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2" yWindow="62" windowWidth="17174" windowHeight="7677" activeTab="2"/>
    <workbookView xWindow="239" yWindow="62" windowWidth="17174" windowHeight="7739"/>
  </bookViews>
  <sheets>
    <sheet name="1primary conso Dike" sheetId="1" r:id="rId1"/>
    <sheet name="2Immediat Sett Dike" sheetId="5" r:id="rId2"/>
    <sheet name="3Time Settlement Dike" sheetId="4" r:id="rId3"/>
    <sheet name="4graph road" sheetId="6" r:id="rId4"/>
    <sheet name="6Land fill" sheetId="2" r:id="rId5"/>
    <sheet name="7Immediat Sett Landfill" sheetId="9" r:id="rId6"/>
    <sheet name="8Time Sett Landfill" sheetId="7" r:id="rId7"/>
    <sheet name="9Graph Landfill" sheetId="8" r:id="rId8"/>
    <sheet name="10 Trial Landfill Sett" sheetId="10" r:id="rId9"/>
  </sheets>
  <definedNames>
    <definedName name="_xlnm.Print_Area" localSheetId="8">'10 Trial Landfill Sett'!$B$1:$J$13</definedName>
    <definedName name="_xlnm.Print_Area" localSheetId="0">'1primary conso Dike'!$A$1:$H$144</definedName>
    <definedName name="_xlnm.Print_Area" localSheetId="1">'2Immediat Sett Dike'!$B$1:$L$32</definedName>
    <definedName name="_xlnm.Print_Area" localSheetId="2">'3Time Settlement Dike'!$B$1:$I$81</definedName>
    <definedName name="_xlnm.Print_Area" localSheetId="3">'4graph road'!$A$1:$I$82</definedName>
    <definedName name="_xlnm.Print_Area" localSheetId="4">'6Land fill'!$A$1:$H$144</definedName>
    <definedName name="_xlnm.Print_Area" localSheetId="5">'7Immediat Sett Landfill'!$A$1:$L$32</definedName>
    <definedName name="_xlnm.Print_Area" localSheetId="6">'8Time Sett Landfill'!$B$1:$I$111</definedName>
    <definedName name="_xlnm.Print_Area" localSheetId="7">'9Graph Landfill'!$A$1:$L$79</definedName>
  </definedNames>
  <calcPr calcId="144525"/>
</workbook>
</file>

<file path=xl/calcChain.xml><?xml version="1.0" encoding="utf-8"?>
<calcChain xmlns="http://schemas.openxmlformats.org/spreadsheetml/2006/main">
  <c r="C7" i="5" l="1"/>
  <c r="E10" i="1"/>
  <c r="E12" i="1" s="1"/>
  <c r="E13" i="1" s="1"/>
  <c r="C74" i="1"/>
  <c r="G74" i="1"/>
  <c r="G75" i="1"/>
  <c r="G76" i="1"/>
  <c r="G77" i="1"/>
  <c r="G78" i="1"/>
  <c r="G79" i="1"/>
  <c r="G80" i="1"/>
  <c r="G81" i="1"/>
  <c r="G82" i="1"/>
  <c r="G83" i="1"/>
  <c r="D73" i="1"/>
  <c r="G73" i="1"/>
  <c r="C73" i="1"/>
  <c r="X33" i="1"/>
  <c r="H65" i="1" s="1"/>
  <c r="X34" i="1"/>
  <c r="H66" i="1" s="1"/>
  <c r="X35" i="1"/>
  <c r="X36" i="1"/>
  <c r="X37" i="1"/>
  <c r="H69" i="1" s="1"/>
  <c r="X38" i="1"/>
  <c r="H70" i="1" s="1"/>
  <c r="X39" i="1"/>
  <c r="H71" i="1" s="1"/>
  <c r="X32" i="1"/>
  <c r="H64" i="1" s="1"/>
  <c r="X31" i="1"/>
  <c r="X30" i="1"/>
  <c r="X29" i="1"/>
  <c r="T30" i="1"/>
  <c r="T31" i="1" s="1"/>
  <c r="D75" i="1" s="1"/>
  <c r="S30" i="1"/>
  <c r="S31" i="1" s="1"/>
  <c r="C75" i="1" s="1"/>
  <c r="V29" i="1"/>
  <c r="F73" i="1" s="1"/>
  <c r="U29" i="1"/>
  <c r="E73" i="1" s="1"/>
  <c r="G96" i="2"/>
  <c r="G97" i="2"/>
  <c r="H31" i="10"/>
  <c r="I31" i="10" s="1"/>
  <c r="D31" i="10"/>
  <c r="H30" i="10"/>
  <c r="I30" i="10" s="1"/>
  <c r="D30" i="10"/>
  <c r="H29" i="10"/>
  <c r="I29" i="10" s="1"/>
  <c r="D29" i="10"/>
  <c r="H28" i="10"/>
  <c r="I28" i="10" s="1"/>
  <c r="D28" i="10"/>
  <c r="H27" i="10"/>
  <c r="I27" i="10" s="1"/>
  <c r="D27" i="10"/>
  <c r="H26" i="10"/>
  <c r="I26" i="10" s="1"/>
  <c r="D26" i="10"/>
  <c r="H25" i="10"/>
  <c r="I25" i="10" s="1"/>
  <c r="D25" i="10"/>
  <c r="H24" i="10"/>
  <c r="I24" i="10" s="1"/>
  <c r="D24" i="10"/>
  <c r="H23" i="10"/>
  <c r="I23" i="10" s="1"/>
  <c r="D23" i="10"/>
  <c r="G92" i="2"/>
  <c r="I6" i="10"/>
  <c r="I10" i="10"/>
  <c r="H6" i="10"/>
  <c r="J6" i="10" s="1"/>
  <c r="H7" i="10"/>
  <c r="J7" i="10" s="1"/>
  <c r="H8" i="10"/>
  <c r="I8" i="10" s="1"/>
  <c r="H9" i="10"/>
  <c r="J9" i="10" s="1"/>
  <c r="H10" i="10"/>
  <c r="J10" i="10" s="1"/>
  <c r="H11" i="10"/>
  <c r="J11" i="10" s="1"/>
  <c r="H12" i="10"/>
  <c r="I12" i="10" s="1"/>
  <c r="H13" i="10"/>
  <c r="J13" i="10" s="1"/>
  <c r="H5" i="10"/>
  <c r="I5" i="10" s="1"/>
  <c r="D6" i="10"/>
  <c r="D7" i="10"/>
  <c r="D8" i="10"/>
  <c r="D9" i="10"/>
  <c r="D10" i="10"/>
  <c r="D11" i="10"/>
  <c r="D12" i="10"/>
  <c r="D13" i="10"/>
  <c r="D5" i="10"/>
  <c r="J5" i="10" s="1"/>
  <c r="F2" i="4"/>
  <c r="F29" i="4" s="1"/>
  <c r="F29" i="7"/>
  <c r="F57" i="7"/>
  <c r="F85" i="7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I4" i="8"/>
  <c r="F4" i="8"/>
  <c r="G86" i="7"/>
  <c r="C13" i="9"/>
  <c r="C11" i="9"/>
  <c r="C10" i="5"/>
  <c r="C10" i="9"/>
  <c r="M28" i="9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F92" i="7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A92" i="7"/>
  <c r="A91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F64" i="7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A64" i="7"/>
  <c r="A63" i="7"/>
  <c r="G58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F36" i="7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A36" i="7"/>
  <c r="E35" i="7"/>
  <c r="E36" i="7" s="1"/>
  <c r="A35" i="7"/>
  <c r="G30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E8" i="7"/>
  <c r="A8" i="7"/>
  <c r="F7" i="7"/>
  <c r="A7" i="7"/>
  <c r="F3" i="7"/>
  <c r="F87" i="7" s="1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F90" i="4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A90" i="4"/>
  <c r="A89" i="4"/>
  <c r="F85" i="4"/>
  <c r="D85" i="4"/>
  <c r="G84" i="4"/>
  <c r="E118" i="2"/>
  <c r="D118" i="2"/>
  <c r="C118" i="2"/>
  <c r="B118" i="2"/>
  <c r="E117" i="2"/>
  <c r="D117" i="2"/>
  <c r="C117" i="2"/>
  <c r="B117" i="2"/>
  <c r="E116" i="2"/>
  <c r="D116" i="2"/>
  <c r="C116" i="2"/>
  <c r="B116" i="2"/>
  <c r="E115" i="2"/>
  <c r="D115" i="2"/>
  <c r="C115" i="2"/>
  <c r="B115" i="2"/>
  <c r="E114" i="2"/>
  <c r="D114" i="2"/>
  <c r="C114" i="2"/>
  <c r="B114" i="2"/>
  <c r="E113" i="2"/>
  <c r="D113" i="2"/>
  <c r="C113" i="2"/>
  <c r="B113" i="2"/>
  <c r="E112" i="2"/>
  <c r="D112" i="2"/>
  <c r="C112" i="2"/>
  <c r="B112" i="2"/>
  <c r="E111" i="2"/>
  <c r="D111" i="2"/>
  <c r="C111" i="2"/>
  <c r="B111" i="2"/>
  <c r="G110" i="2"/>
  <c r="E110" i="2"/>
  <c r="D110" i="2"/>
  <c r="C110" i="2"/>
  <c r="B110" i="2"/>
  <c r="E109" i="2"/>
  <c r="D109" i="2"/>
  <c r="C109" i="2"/>
  <c r="B109" i="2"/>
  <c r="E108" i="2"/>
  <c r="D108" i="2"/>
  <c r="C108" i="2"/>
  <c r="B108" i="2"/>
  <c r="G107" i="2"/>
  <c r="F107" i="2"/>
  <c r="E107" i="2"/>
  <c r="E106" i="2"/>
  <c r="D106" i="2"/>
  <c r="C106" i="2"/>
  <c r="B106" i="2"/>
  <c r="G100" i="2"/>
  <c r="G99" i="2"/>
  <c r="G94" i="2"/>
  <c r="H90" i="2"/>
  <c r="F90" i="2"/>
  <c r="E90" i="2"/>
  <c r="D90" i="2"/>
  <c r="C90" i="2"/>
  <c r="B90" i="2"/>
  <c r="H89" i="2"/>
  <c r="G89" i="2"/>
  <c r="F89" i="2"/>
  <c r="E89" i="2"/>
  <c r="D89" i="2"/>
  <c r="C89" i="2"/>
  <c r="B89" i="2"/>
  <c r="G74" i="2"/>
  <c r="G73" i="2"/>
  <c r="G72" i="2"/>
  <c r="G71" i="2"/>
  <c r="G70" i="2"/>
  <c r="G69" i="2"/>
  <c r="G68" i="2"/>
  <c r="G67" i="2"/>
  <c r="A67" i="2"/>
  <c r="A94" i="2" s="1"/>
  <c r="A111" i="2" s="1"/>
  <c r="A135" i="2" s="1"/>
  <c r="G66" i="2"/>
  <c r="G65" i="2"/>
  <c r="G64" i="2"/>
  <c r="D64" i="2"/>
  <c r="C64" i="2"/>
  <c r="D63" i="2"/>
  <c r="C63" i="2"/>
  <c r="H62" i="2"/>
  <c r="G62" i="2"/>
  <c r="F62" i="2"/>
  <c r="E62" i="2"/>
  <c r="D62" i="2"/>
  <c r="C62" i="2"/>
  <c r="B62" i="2"/>
  <c r="E58" i="2"/>
  <c r="C58" i="2"/>
  <c r="B58" i="2"/>
  <c r="A74" i="2" s="1"/>
  <c r="A101" i="2" s="1"/>
  <c r="A118" i="2" s="1"/>
  <c r="A142" i="2" s="1"/>
  <c r="E57" i="2"/>
  <c r="C57" i="2"/>
  <c r="B57" i="2"/>
  <c r="A73" i="2" s="1"/>
  <c r="A100" i="2" s="1"/>
  <c r="A117" i="2" s="1"/>
  <c r="A141" i="2" s="1"/>
  <c r="E56" i="2"/>
  <c r="C56" i="2"/>
  <c r="B56" i="2"/>
  <c r="A72" i="2" s="1"/>
  <c r="A99" i="2" s="1"/>
  <c r="A116" i="2" s="1"/>
  <c r="A140" i="2" s="1"/>
  <c r="E55" i="2"/>
  <c r="C55" i="2"/>
  <c r="B55" i="2"/>
  <c r="A71" i="2" s="1"/>
  <c r="A98" i="2" s="1"/>
  <c r="A115" i="2" s="1"/>
  <c r="A139" i="2" s="1"/>
  <c r="D54" i="2"/>
  <c r="C54" i="2"/>
  <c r="B54" i="2"/>
  <c r="A70" i="2" s="1"/>
  <c r="A97" i="2" s="1"/>
  <c r="A114" i="2" s="1"/>
  <c r="A138" i="2" s="1"/>
  <c r="C53" i="2"/>
  <c r="B53" i="2"/>
  <c r="A69" i="2" s="1"/>
  <c r="A96" i="2" s="1"/>
  <c r="A113" i="2" s="1"/>
  <c r="A137" i="2" s="1"/>
  <c r="C52" i="2"/>
  <c r="B52" i="2"/>
  <c r="A68" i="2" s="1"/>
  <c r="A95" i="2" s="1"/>
  <c r="A112" i="2" s="1"/>
  <c r="A136" i="2" s="1"/>
  <c r="F51" i="2"/>
  <c r="C51" i="2"/>
  <c r="B51" i="2"/>
  <c r="C50" i="2"/>
  <c r="B50" i="2"/>
  <c r="A66" i="2" s="1"/>
  <c r="A93" i="2" s="1"/>
  <c r="A110" i="2" s="1"/>
  <c r="A134" i="2" s="1"/>
  <c r="C49" i="2"/>
  <c r="B49" i="2"/>
  <c r="A65" i="2" s="1"/>
  <c r="A92" i="2" s="1"/>
  <c r="A109" i="2" s="1"/>
  <c r="A133" i="2" s="1"/>
  <c r="C48" i="2"/>
  <c r="B48" i="2"/>
  <c r="A64" i="2" s="1"/>
  <c r="A91" i="2" s="1"/>
  <c r="A108" i="2" s="1"/>
  <c r="A132" i="2" s="1"/>
  <c r="F46" i="2"/>
  <c r="E46" i="2"/>
  <c r="D46" i="2"/>
  <c r="C46" i="2"/>
  <c r="G101" i="2"/>
  <c r="S39" i="2"/>
  <c r="H74" i="2" s="1"/>
  <c r="L39" i="2"/>
  <c r="F58" i="2" s="1"/>
  <c r="J39" i="2"/>
  <c r="D58" i="2" s="1"/>
  <c r="C39" i="2"/>
  <c r="E39" i="2" s="1"/>
  <c r="S38" i="2"/>
  <c r="H73" i="2" s="1"/>
  <c r="L38" i="2"/>
  <c r="F57" i="2" s="1"/>
  <c r="J38" i="2"/>
  <c r="AE38" i="2" s="1"/>
  <c r="AF38" i="2" s="1"/>
  <c r="C38" i="2"/>
  <c r="E38" i="2" s="1"/>
  <c r="T38" i="2" s="1"/>
  <c r="B100" i="2" s="1"/>
  <c r="S37" i="2"/>
  <c r="H72" i="2" s="1"/>
  <c r="L37" i="2"/>
  <c r="F56" i="2" s="1"/>
  <c r="J37" i="2"/>
  <c r="D56" i="2" s="1"/>
  <c r="E37" i="2"/>
  <c r="M37" i="2" s="1"/>
  <c r="C37" i="2"/>
  <c r="S36" i="2"/>
  <c r="H71" i="2" s="1"/>
  <c r="L36" i="2"/>
  <c r="F55" i="2" s="1"/>
  <c r="J36" i="2"/>
  <c r="D55" i="2" s="1"/>
  <c r="C36" i="2"/>
  <c r="E36" i="2" s="1"/>
  <c r="AF35" i="2"/>
  <c r="G114" i="2" s="1"/>
  <c r="AE35" i="2"/>
  <c r="K35" i="2" s="1"/>
  <c r="E54" i="2" s="1"/>
  <c r="S35" i="2"/>
  <c r="H70" i="2" s="1"/>
  <c r="L35" i="2"/>
  <c r="F54" i="2" s="1"/>
  <c r="J35" i="2"/>
  <c r="C35" i="2"/>
  <c r="E35" i="2" s="1"/>
  <c r="T35" i="2" s="1"/>
  <c r="AF34" i="2"/>
  <c r="G113" i="2" s="1"/>
  <c r="AE34" i="2"/>
  <c r="F113" i="2" s="1"/>
  <c r="S34" i="2"/>
  <c r="H69" i="2" s="1"/>
  <c r="L34" i="2"/>
  <c r="F53" i="2" s="1"/>
  <c r="K34" i="2"/>
  <c r="E53" i="2" s="1"/>
  <c r="J34" i="2"/>
  <c r="D53" i="2" s="1"/>
  <c r="C34" i="2"/>
  <c r="E34" i="2" s="1"/>
  <c r="AF33" i="2"/>
  <c r="G112" i="2" s="1"/>
  <c r="AE33" i="2"/>
  <c r="F112" i="2" s="1"/>
  <c r="G95" i="2"/>
  <c r="S33" i="2"/>
  <c r="H68" i="2" s="1"/>
  <c r="L33" i="2"/>
  <c r="F52" i="2" s="1"/>
  <c r="J33" i="2"/>
  <c r="D52" i="2" s="1"/>
  <c r="C33" i="2"/>
  <c r="E33" i="2" s="1"/>
  <c r="T33" i="2" s="1"/>
  <c r="AF32" i="2"/>
  <c r="G111" i="2" s="1"/>
  <c r="AE32" i="2"/>
  <c r="S32" i="2"/>
  <c r="H67" i="2" s="1"/>
  <c r="L32" i="2"/>
  <c r="J32" i="2"/>
  <c r="D51" i="2" s="1"/>
  <c r="C32" i="2"/>
  <c r="E32" i="2" s="1"/>
  <c r="AF31" i="2"/>
  <c r="AE31" i="2"/>
  <c r="K31" i="2" s="1"/>
  <c r="E50" i="2" s="1"/>
  <c r="G93" i="2"/>
  <c r="S31" i="2"/>
  <c r="H66" i="2" s="1"/>
  <c r="L31" i="2"/>
  <c r="F50" i="2" s="1"/>
  <c r="J31" i="2"/>
  <c r="D50" i="2" s="1"/>
  <c r="E31" i="2"/>
  <c r="M31" i="2" s="1"/>
  <c r="C31" i="2"/>
  <c r="AF30" i="2"/>
  <c r="G109" i="2" s="1"/>
  <c r="AE30" i="2"/>
  <c r="K30" i="2" s="1"/>
  <c r="E49" i="2" s="1"/>
  <c r="S30" i="2"/>
  <c r="H65" i="2" s="1"/>
  <c r="O30" i="2"/>
  <c r="D65" i="2" s="1"/>
  <c r="N30" i="2"/>
  <c r="N31" i="2" s="1"/>
  <c r="L30" i="2"/>
  <c r="F49" i="2" s="1"/>
  <c r="J30" i="2"/>
  <c r="D49" i="2" s="1"/>
  <c r="C30" i="2"/>
  <c r="E30" i="2" s="1"/>
  <c r="AF29" i="2"/>
  <c r="G108" i="2" s="1"/>
  <c r="AE29" i="2"/>
  <c r="F108" i="2" s="1"/>
  <c r="G91" i="2"/>
  <c r="S29" i="2"/>
  <c r="H64" i="2" s="1"/>
  <c r="L29" i="2"/>
  <c r="F48" i="2" s="1"/>
  <c r="J29" i="2"/>
  <c r="D48" i="2" s="1"/>
  <c r="E29" i="2"/>
  <c r="T29" i="2" s="1"/>
  <c r="E10" i="2"/>
  <c r="E12" i="2" s="1"/>
  <c r="E13" i="2" s="1"/>
  <c r="E8" i="2"/>
  <c r="M28" i="5"/>
  <c r="AD30" i="1"/>
  <c r="AD31" i="1"/>
  <c r="G93" i="1" s="1"/>
  <c r="AD32" i="1"/>
  <c r="G94" i="1" s="1"/>
  <c r="AD33" i="1"/>
  <c r="G95" i="1" s="1"/>
  <c r="AD34" i="1"/>
  <c r="AD35" i="1"/>
  <c r="G97" i="1" s="1"/>
  <c r="AD36" i="1"/>
  <c r="G98" i="1" s="1"/>
  <c r="AD37" i="1"/>
  <c r="G99" i="1" s="1"/>
  <c r="AD38" i="1"/>
  <c r="AD39" i="1"/>
  <c r="G101" i="1" s="1"/>
  <c r="AD29" i="1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F62" i="4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A62" i="4"/>
  <c r="A61" i="4"/>
  <c r="I4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6" i="6"/>
  <c r="F4" i="6"/>
  <c r="F34" i="4"/>
  <c r="G28" i="4"/>
  <c r="E33" i="4"/>
  <c r="E34" i="4" s="1"/>
  <c r="G56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F6" i="4"/>
  <c r="C4" i="6" s="1"/>
  <c r="A19" i="4"/>
  <c r="A20" i="4"/>
  <c r="A21" i="4"/>
  <c r="A22" i="4"/>
  <c r="A23" i="4"/>
  <c r="A24" i="4"/>
  <c r="A25" i="4"/>
  <c r="A18" i="4"/>
  <c r="A7" i="4"/>
  <c r="A8" i="4"/>
  <c r="A9" i="4"/>
  <c r="A10" i="4"/>
  <c r="A11" i="4"/>
  <c r="A12" i="4"/>
  <c r="A13" i="4"/>
  <c r="A14" i="4"/>
  <c r="A15" i="4"/>
  <c r="A16" i="4"/>
  <c r="A17" i="4"/>
  <c r="A6" i="4"/>
  <c r="C13" i="5"/>
  <c r="C11" i="5"/>
  <c r="AJ29" i="1"/>
  <c r="F108" i="1" s="1"/>
  <c r="E7" i="4"/>
  <c r="E8" i="4" s="1"/>
  <c r="E9" i="4" s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C106" i="1"/>
  <c r="D106" i="1"/>
  <c r="E106" i="1"/>
  <c r="F107" i="1"/>
  <c r="G107" i="1"/>
  <c r="B106" i="1"/>
  <c r="B90" i="1"/>
  <c r="C90" i="1"/>
  <c r="D90" i="1"/>
  <c r="E90" i="1"/>
  <c r="F90" i="1"/>
  <c r="H90" i="1"/>
  <c r="G91" i="1"/>
  <c r="G92" i="1"/>
  <c r="G96" i="1"/>
  <c r="G100" i="1"/>
  <c r="C89" i="1"/>
  <c r="D89" i="1"/>
  <c r="E89" i="1"/>
  <c r="F89" i="1"/>
  <c r="G89" i="1"/>
  <c r="H89" i="1"/>
  <c r="B89" i="1"/>
  <c r="C60" i="1"/>
  <c r="D60" i="1"/>
  <c r="C61" i="1"/>
  <c r="D61" i="1"/>
  <c r="G61" i="1"/>
  <c r="G62" i="1"/>
  <c r="G63" i="1"/>
  <c r="H63" i="1"/>
  <c r="G64" i="1"/>
  <c r="G65" i="1"/>
  <c r="G66" i="1"/>
  <c r="G67" i="1"/>
  <c r="H67" i="1"/>
  <c r="G68" i="1"/>
  <c r="G69" i="1"/>
  <c r="G70" i="1"/>
  <c r="G71" i="1"/>
  <c r="C59" i="1"/>
  <c r="D59" i="1"/>
  <c r="E59" i="1"/>
  <c r="F59" i="1"/>
  <c r="H59" i="1"/>
  <c r="B59" i="1"/>
  <c r="C55" i="1"/>
  <c r="E55" i="1"/>
  <c r="C56" i="1"/>
  <c r="E56" i="1"/>
  <c r="B47" i="1"/>
  <c r="A62" i="1" s="1"/>
  <c r="B48" i="1"/>
  <c r="A63" i="1" s="1"/>
  <c r="A93" i="1" s="1"/>
  <c r="A110" i="1" s="1"/>
  <c r="A134" i="1" s="1"/>
  <c r="C46" i="1"/>
  <c r="B49" i="1"/>
  <c r="A64" i="1" s="1"/>
  <c r="A94" i="1" s="1"/>
  <c r="A111" i="1" s="1"/>
  <c r="A135" i="1" s="1"/>
  <c r="C47" i="1"/>
  <c r="B50" i="1"/>
  <c r="A65" i="1" s="1"/>
  <c r="A95" i="1" s="1"/>
  <c r="A112" i="1" s="1"/>
  <c r="A136" i="1" s="1"/>
  <c r="C48" i="1"/>
  <c r="B51" i="1"/>
  <c r="A66" i="1" s="1"/>
  <c r="A96" i="1" s="1"/>
  <c r="A113" i="1" s="1"/>
  <c r="A137" i="1" s="1"/>
  <c r="C49" i="1"/>
  <c r="B52" i="1"/>
  <c r="A67" i="1" s="1"/>
  <c r="A97" i="1" s="1"/>
  <c r="A114" i="1" s="1"/>
  <c r="A138" i="1" s="1"/>
  <c r="C50" i="1"/>
  <c r="B53" i="1"/>
  <c r="A68" i="1" s="1"/>
  <c r="A98" i="1" s="1"/>
  <c r="A115" i="1" s="1"/>
  <c r="A139" i="1" s="1"/>
  <c r="C51" i="1"/>
  <c r="B54" i="1"/>
  <c r="A69" i="1" s="1"/>
  <c r="A99" i="1" s="1"/>
  <c r="A116" i="1" s="1"/>
  <c r="A140" i="1" s="1"/>
  <c r="C52" i="1"/>
  <c r="B55" i="1"/>
  <c r="A70" i="1" s="1"/>
  <c r="A100" i="1" s="1"/>
  <c r="A117" i="1" s="1"/>
  <c r="A141" i="1" s="1"/>
  <c r="C53" i="1"/>
  <c r="E53" i="1"/>
  <c r="B56" i="1"/>
  <c r="A71" i="1" s="1"/>
  <c r="A101" i="1" s="1"/>
  <c r="A118" i="1" s="1"/>
  <c r="A142" i="1" s="1"/>
  <c r="C54" i="1"/>
  <c r="E54" i="1"/>
  <c r="B46" i="1"/>
  <c r="A61" i="1" s="1"/>
  <c r="A91" i="1" s="1"/>
  <c r="A108" i="1" s="1"/>
  <c r="A132" i="1" s="1"/>
  <c r="D44" i="1"/>
  <c r="E44" i="1"/>
  <c r="F44" i="1"/>
  <c r="C44" i="1"/>
  <c r="L30" i="1"/>
  <c r="F47" i="1" s="1"/>
  <c r="L31" i="1"/>
  <c r="F48" i="1" s="1"/>
  <c r="L32" i="1"/>
  <c r="F49" i="1" s="1"/>
  <c r="L33" i="1"/>
  <c r="F50" i="1" s="1"/>
  <c r="L34" i="1"/>
  <c r="F51" i="1" s="1"/>
  <c r="L35" i="1"/>
  <c r="F52" i="1" s="1"/>
  <c r="L36" i="1"/>
  <c r="F53" i="1" s="1"/>
  <c r="L37" i="1"/>
  <c r="F54" i="1" s="1"/>
  <c r="L38" i="1"/>
  <c r="F55" i="1" s="1"/>
  <c r="L39" i="1"/>
  <c r="F56" i="1" s="1"/>
  <c r="L29" i="1"/>
  <c r="F46" i="1" s="1"/>
  <c r="J30" i="1"/>
  <c r="D47" i="1" s="1"/>
  <c r="J31" i="1"/>
  <c r="D48" i="1" s="1"/>
  <c r="J32" i="1"/>
  <c r="D49" i="1" s="1"/>
  <c r="J33" i="1"/>
  <c r="D50" i="1" s="1"/>
  <c r="J34" i="1"/>
  <c r="D51" i="1" s="1"/>
  <c r="J35" i="1"/>
  <c r="D52" i="1" s="1"/>
  <c r="J36" i="1"/>
  <c r="AJ36" i="1" s="1"/>
  <c r="AK36" i="1" s="1"/>
  <c r="G115" i="1" s="1"/>
  <c r="J37" i="1"/>
  <c r="AJ37" i="1" s="1"/>
  <c r="AK37" i="1" s="1"/>
  <c r="G116" i="1" s="1"/>
  <c r="J38" i="1"/>
  <c r="AJ38" i="1" s="1"/>
  <c r="AK38" i="1" s="1"/>
  <c r="G117" i="1" s="1"/>
  <c r="J39" i="1"/>
  <c r="AJ39" i="1" s="1"/>
  <c r="AK39" i="1" s="1"/>
  <c r="G118" i="1" s="1"/>
  <c r="J29" i="1"/>
  <c r="D46" i="1" s="1"/>
  <c r="H68" i="1"/>
  <c r="C36" i="1"/>
  <c r="E36" i="1" s="1"/>
  <c r="Y36" i="1" s="1"/>
  <c r="B98" i="1" s="1"/>
  <c r="C37" i="1"/>
  <c r="E37" i="1" s="1"/>
  <c r="C38" i="1"/>
  <c r="E38" i="1" s="1"/>
  <c r="C39" i="1"/>
  <c r="E39" i="1" s="1"/>
  <c r="M39" i="1" s="1"/>
  <c r="Z39" i="1" s="1"/>
  <c r="C101" i="1" s="1"/>
  <c r="O30" i="1"/>
  <c r="O31" i="1" s="1"/>
  <c r="O32" i="1" s="1"/>
  <c r="O33" i="1" s="1"/>
  <c r="O34" i="1" s="1"/>
  <c r="O35" i="1" s="1"/>
  <c r="O36" i="1" s="1"/>
  <c r="D68" i="1" s="1"/>
  <c r="N30" i="1"/>
  <c r="N31" i="1" s="1"/>
  <c r="N32" i="1" s="1"/>
  <c r="N33" i="1" s="1"/>
  <c r="N34" i="1" s="1"/>
  <c r="N35" i="1" s="1"/>
  <c r="N36" i="1" s="1"/>
  <c r="C68" i="1" s="1"/>
  <c r="E8" i="1"/>
  <c r="AK30" i="1"/>
  <c r="G109" i="1" s="1"/>
  <c r="AK31" i="1"/>
  <c r="G110" i="1" s="1"/>
  <c r="AK32" i="1"/>
  <c r="G111" i="1" s="1"/>
  <c r="AK33" i="1"/>
  <c r="G112" i="1" s="1"/>
  <c r="AK34" i="1"/>
  <c r="G113" i="1" s="1"/>
  <c r="AK35" i="1"/>
  <c r="G114" i="1" s="1"/>
  <c r="AK29" i="1"/>
  <c r="G108" i="1" s="1"/>
  <c r="AJ30" i="1"/>
  <c r="F109" i="1" s="1"/>
  <c r="AJ31" i="1"/>
  <c r="F110" i="1" s="1"/>
  <c r="AJ32" i="1"/>
  <c r="F111" i="1" s="1"/>
  <c r="AJ33" i="1"/>
  <c r="F112" i="1" s="1"/>
  <c r="AJ34" i="1"/>
  <c r="F113" i="1" s="1"/>
  <c r="AJ35" i="1"/>
  <c r="F114" i="1" s="1"/>
  <c r="H62" i="1"/>
  <c r="H61" i="1"/>
  <c r="E29" i="1"/>
  <c r="M29" i="1" s="1"/>
  <c r="Z29" i="1" s="1"/>
  <c r="C91" i="1" s="1"/>
  <c r="C31" i="1"/>
  <c r="E31" i="1" s="1"/>
  <c r="M31" i="1" s="1"/>
  <c r="Z31" i="1" s="1"/>
  <c r="C93" i="1" s="1"/>
  <c r="C32" i="1"/>
  <c r="E32" i="1" s="1"/>
  <c r="M32" i="1" s="1"/>
  <c r="Z32" i="1" s="1"/>
  <c r="C94" i="1" s="1"/>
  <c r="C33" i="1"/>
  <c r="E33" i="1" s="1"/>
  <c r="M33" i="1" s="1"/>
  <c r="Z33" i="1" s="1"/>
  <c r="C95" i="1" s="1"/>
  <c r="C34" i="1"/>
  <c r="E34" i="1" s="1"/>
  <c r="M34" i="1" s="1"/>
  <c r="Z34" i="1" s="1"/>
  <c r="C96" i="1" s="1"/>
  <c r="C35" i="1"/>
  <c r="E35" i="1" s="1"/>
  <c r="M35" i="1" s="1"/>
  <c r="Z35" i="1" s="1"/>
  <c r="C97" i="1" s="1"/>
  <c r="C30" i="1"/>
  <c r="E30" i="1" s="1"/>
  <c r="A92" i="1" l="1"/>
  <c r="A109" i="1" s="1"/>
  <c r="A133" i="1" s="1"/>
  <c r="A74" i="1"/>
  <c r="H7" i="7"/>
  <c r="I7" i="7" s="1"/>
  <c r="B6" i="8" s="1"/>
  <c r="G35" i="7"/>
  <c r="H35" i="7" s="1"/>
  <c r="I35" i="7" s="1"/>
  <c r="E6" i="8" s="1"/>
  <c r="C4" i="8"/>
  <c r="A82" i="1"/>
  <c r="A78" i="1"/>
  <c r="K32" i="2"/>
  <c r="E51" i="2" s="1"/>
  <c r="T37" i="2"/>
  <c r="B99" i="2" s="1"/>
  <c r="AE39" i="2"/>
  <c r="D57" i="2"/>
  <c r="I11" i="10"/>
  <c r="A81" i="1"/>
  <c r="A77" i="1"/>
  <c r="A83" i="1"/>
  <c r="F109" i="2"/>
  <c r="F114" i="2"/>
  <c r="G7" i="7"/>
  <c r="I7" i="10"/>
  <c r="A80" i="1"/>
  <c r="A76" i="1"/>
  <c r="D74" i="1"/>
  <c r="K29" i="2"/>
  <c r="E48" i="2" s="1"/>
  <c r="F110" i="2"/>
  <c r="F1" i="7"/>
  <c r="A73" i="1"/>
  <c r="A79" i="1"/>
  <c r="A75" i="1"/>
  <c r="D56" i="1"/>
  <c r="D53" i="1"/>
  <c r="B71" i="1"/>
  <c r="B83" i="1" s="1"/>
  <c r="B61" i="1"/>
  <c r="B73" i="1" s="1"/>
  <c r="V30" i="1"/>
  <c r="F74" i="1" s="1"/>
  <c r="D54" i="1"/>
  <c r="B66" i="1"/>
  <c r="B78" i="1" s="1"/>
  <c r="B64" i="1"/>
  <c r="B76" i="1" s="1"/>
  <c r="F118" i="1"/>
  <c r="F116" i="1"/>
  <c r="U30" i="1"/>
  <c r="E74" i="1" s="1"/>
  <c r="D55" i="1"/>
  <c r="B63" i="1"/>
  <c r="B75" i="1" s="1"/>
  <c r="B67" i="1"/>
  <c r="B79" i="1" s="1"/>
  <c r="B65" i="1"/>
  <c r="B77" i="1" s="1"/>
  <c r="F117" i="1"/>
  <c r="F115" i="1"/>
  <c r="AB29" i="1"/>
  <c r="E91" i="1" s="1"/>
  <c r="T32" i="1"/>
  <c r="D76" i="1" s="1"/>
  <c r="V31" i="1"/>
  <c r="F75" i="1" s="1"/>
  <c r="S32" i="1"/>
  <c r="C76" i="1" s="1"/>
  <c r="U31" i="1"/>
  <c r="E75" i="1" s="1"/>
  <c r="D65" i="1"/>
  <c r="D62" i="1"/>
  <c r="D66" i="1"/>
  <c r="D67" i="1"/>
  <c r="D63" i="1"/>
  <c r="D64" i="1"/>
  <c r="C64" i="1"/>
  <c r="C67" i="1"/>
  <c r="C63" i="1"/>
  <c r="C66" i="1"/>
  <c r="C65" i="1"/>
  <c r="C62" i="1"/>
  <c r="J23" i="10"/>
  <c r="J24" i="10"/>
  <c r="J25" i="10"/>
  <c r="J26" i="10"/>
  <c r="J27" i="10"/>
  <c r="J28" i="10"/>
  <c r="J29" i="10"/>
  <c r="J30" i="10"/>
  <c r="J31" i="10"/>
  <c r="J12" i="10"/>
  <c r="J8" i="10"/>
  <c r="I13" i="10"/>
  <c r="I9" i="10"/>
  <c r="V36" i="2"/>
  <c r="D98" i="2" s="1"/>
  <c r="C6" i="9"/>
  <c r="C17" i="9" s="1"/>
  <c r="L4" i="7" s="1"/>
  <c r="F57" i="4"/>
  <c r="F59" i="7"/>
  <c r="F31" i="7"/>
  <c r="F8" i="7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E37" i="7"/>
  <c r="E63" i="7"/>
  <c r="G36" i="7"/>
  <c r="H36" i="7" s="1"/>
  <c r="I36" i="7" s="1"/>
  <c r="G8" i="7"/>
  <c r="H8" i="7" s="1"/>
  <c r="I8" i="7" s="1"/>
  <c r="E9" i="7"/>
  <c r="G9" i="7" s="1"/>
  <c r="B91" i="2"/>
  <c r="T30" i="2"/>
  <c r="B92" i="2" s="1"/>
  <c r="M30" i="2"/>
  <c r="W30" i="2"/>
  <c r="N32" i="2"/>
  <c r="C66" i="2"/>
  <c r="P31" i="2"/>
  <c r="E66" i="2" s="1"/>
  <c r="B72" i="2"/>
  <c r="U37" i="2"/>
  <c r="C99" i="2" s="1"/>
  <c r="G117" i="2"/>
  <c r="B66" i="2"/>
  <c r="U31" i="2"/>
  <c r="C93" i="2" s="1"/>
  <c r="B95" i="2"/>
  <c r="B97" i="2"/>
  <c r="T32" i="2"/>
  <c r="B94" i="2" s="1"/>
  <c r="M32" i="2"/>
  <c r="M34" i="2"/>
  <c r="T34" i="2"/>
  <c r="B96" i="2" s="1"/>
  <c r="M36" i="2"/>
  <c r="T36" i="2"/>
  <c r="B98" i="2" s="1"/>
  <c r="M39" i="2"/>
  <c r="T39" i="2"/>
  <c r="Z30" i="2"/>
  <c r="H92" i="2" s="1"/>
  <c r="M33" i="2"/>
  <c r="M35" i="2"/>
  <c r="F117" i="2"/>
  <c r="AE37" i="2"/>
  <c r="V38" i="2"/>
  <c r="M29" i="2"/>
  <c r="Q30" i="2"/>
  <c r="F65" i="2" s="1"/>
  <c r="V30" i="2"/>
  <c r="O31" i="2"/>
  <c r="T31" i="2"/>
  <c r="V32" i="2"/>
  <c r="K33" i="2"/>
  <c r="E52" i="2" s="1"/>
  <c r="V34" i="2"/>
  <c r="AE36" i="2"/>
  <c r="V37" i="2"/>
  <c r="C65" i="2"/>
  <c r="F111" i="2"/>
  <c r="V29" i="2"/>
  <c r="V31" i="2"/>
  <c r="V33" i="2"/>
  <c r="V35" i="2"/>
  <c r="V39" i="2"/>
  <c r="M38" i="2"/>
  <c r="G98" i="2"/>
  <c r="P30" i="2"/>
  <c r="E65" i="2" s="1"/>
  <c r="G6" i="4"/>
  <c r="G34" i="4"/>
  <c r="G33" i="4"/>
  <c r="H33" i="4" s="1"/>
  <c r="I33" i="4" s="1"/>
  <c r="E6" i="6" s="1"/>
  <c r="E35" i="4"/>
  <c r="G35" i="4" s="1"/>
  <c r="E61" i="4"/>
  <c r="G61" i="4" s="1"/>
  <c r="H34" i="4"/>
  <c r="I34" i="4" s="1"/>
  <c r="F35" i="4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E36" i="4"/>
  <c r="G36" i="4" s="1"/>
  <c r="H6" i="4"/>
  <c r="I6" i="4" s="1"/>
  <c r="B6" i="6" s="1"/>
  <c r="K29" i="1"/>
  <c r="E46" i="1" s="1"/>
  <c r="F7" i="4"/>
  <c r="E10" i="4"/>
  <c r="K32" i="1"/>
  <c r="E49" i="1" s="1"/>
  <c r="K33" i="1"/>
  <c r="E50" i="1" s="1"/>
  <c r="K34" i="1"/>
  <c r="E51" i="1" s="1"/>
  <c r="K30" i="1"/>
  <c r="E47" i="1" s="1"/>
  <c r="K35" i="1"/>
  <c r="E52" i="1" s="1"/>
  <c r="K31" i="1"/>
  <c r="E48" i="1" s="1"/>
  <c r="Y38" i="1"/>
  <c r="B100" i="1" s="1"/>
  <c r="M38" i="1"/>
  <c r="Y37" i="1"/>
  <c r="B99" i="1" s="1"/>
  <c r="M37" i="1"/>
  <c r="M36" i="1"/>
  <c r="Y39" i="1"/>
  <c r="B101" i="1" s="1"/>
  <c r="N37" i="1"/>
  <c r="C69" i="1" s="1"/>
  <c r="O37" i="1"/>
  <c r="D69" i="1" s="1"/>
  <c r="Y31" i="1"/>
  <c r="B93" i="1" s="1"/>
  <c r="Y32" i="1"/>
  <c r="B94" i="1" s="1"/>
  <c r="Y35" i="1"/>
  <c r="B97" i="1" s="1"/>
  <c r="Y33" i="1"/>
  <c r="B95" i="1" s="1"/>
  <c r="Y29" i="1"/>
  <c r="B91" i="1" s="1"/>
  <c r="AB30" i="1"/>
  <c r="E92" i="1" s="1"/>
  <c r="Y34" i="1"/>
  <c r="B96" i="1" s="1"/>
  <c r="Y30" i="1"/>
  <c r="B92" i="1" s="1"/>
  <c r="P29" i="1"/>
  <c r="E61" i="1" s="1"/>
  <c r="Q29" i="1"/>
  <c r="F61" i="1" s="1"/>
  <c r="M30" i="1"/>
  <c r="Q31" i="1"/>
  <c r="F63" i="1" s="1"/>
  <c r="P31" i="1"/>
  <c r="E63" i="1" s="1"/>
  <c r="AF39" i="2" l="1"/>
  <c r="G118" i="2" s="1"/>
  <c r="F118" i="2"/>
  <c r="Z30" i="1"/>
  <c r="C92" i="1" s="1"/>
  <c r="B62" i="1"/>
  <c r="B74" i="1" s="1"/>
  <c r="Z37" i="1"/>
  <c r="C99" i="1" s="1"/>
  <c r="B69" i="1"/>
  <c r="B81" i="1" s="1"/>
  <c r="Z36" i="1"/>
  <c r="C98" i="1" s="1"/>
  <c r="B68" i="1"/>
  <c r="B80" i="1" s="1"/>
  <c r="Z38" i="1"/>
  <c r="C100" i="1" s="1"/>
  <c r="B70" i="1"/>
  <c r="B82" i="1" s="1"/>
  <c r="AE29" i="1"/>
  <c r="H91" i="1" s="1"/>
  <c r="T33" i="1"/>
  <c r="D77" i="1" s="1"/>
  <c r="V32" i="1"/>
  <c r="F76" i="1" s="1"/>
  <c r="S33" i="1"/>
  <c r="C77" i="1" s="1"/>
  <c r="U32" i="1"/>
  <c r="E76" i="1" s="1"/>
  <c r="H9" i="7"/>
  <c r="I9" i="7" s="1"/>
  <c r="E10" i="7"/>
  <c r="G63" i="7"/>
  <c r="H63" i="7" s="1"/>
  <c r="I63" i="7" s="1"/>
  <c r="H6" i="8" s="1"/>
  <c r="E64" i="7"/>
  <c r="E38" i="7"/>
  <c r="G37" i="7"/>
  <c r="H37" i="7" s="1"/>
  <c r="I37" i="7" s="1"/>
  <c r="D95" i="2"/>
  <c r="AF36" i="2"/>
  <c r="F115" i="2"/>
  <c r="D94" i="2"/>
  <c r="F116" i="2"/>
  <c r="AF37" i="2"/>
  <c r="D97" i="2"/>
  <c r="D100" i="2"/>
  <c r="B74" i="2"/>
  <c r="U39" i="2"/>
  <c r="C101" i="2" s="1"/>
  <c r="D66" i="2"/>
  <c r="O32" i="2"/>
  <c r="Q31" i="2"/>
  <c r="F66" i="2" s="1"/>
  <c r="B70" i="2"/>
  <c r="U35" i="2"/>
  <c r="C97" i="2" s="1"/>
  <c r="B73" i="2"/>
  <c r="U38" i="2"/>
  <c r="C100" i="2" s="1"/>
  <c r="D93" i="2"/>
  <c r="D96" i="2"/>
  <c r="B93" i="2"/>
  <c r="B69" i="2"/>
  <c r="U34" i="2"/>
  <c r="C96" i="2" s="1"/>
  <c r="E92" i="2"/>
  <c r="W31" i="2"/>
  <c r="B68" i="2"/>
  <c r="U33" i="2"/>
  <c r="C95" i="2" s="1"/>
  <c r="N33" i="2"/>
  <c r="P32" i="2"/>
  <c r="E67" i="2" s="1"/>
  <c r="C67" i="2"/>
  <c r="D91" i="2"/>
  <c r="D99" i="2"/>
  <c r="D92" i="2"/>
  <c r="X30" i="2"/>
  <c r="B71" i="2"/>
  <c r="U36" i="2"/>
  <c r="C98" i="2" s="1"/>
  <c r="D101" i="2"/>
  <c r="B64" i="2"/>
  <c r="W29" i="2"/>
  <c r="X29" i="2" s="1"/>
  <c r="P29" i="2"/>
  <c r="E64" i="2" s="1"/>
  <c r="U29" i="2"/>
  <c r="C91" i="2" s="1"/>
  <c r="Q29" i="2"/>
  <c r="F64" i="2" s="1"/>
  <c r="B101" i="2"/>
  <c r="B67" i="2"/>
  <c r="U32" i="2"/>
  <c r="C94" i="2" s="1"/>
  <c r="B65" i="2"/>
  <c r="U30" i="2"/>
  <c r="C92" i="2" s="1"/>
  <c r="E62" i="4"/>
  <c r="H61" i="4"/>
  <c r="I61" i="4" s="1"/>
  <c r="E37" i="4"/>
  <c r="G37" i="4" s="1"/>
  <c r="H36" i="4"/>
  <c r="I36" i="4" s="1"/>
  <c r="E9" i="6" s="1"/>
  <c r="H35" i="4"/>
  <c r="I35" i="4" s="1"/>
  <c r="E8" i="6" s="1"/>
  <c r="E7" i="6" s="1"/>
  <c r="F8" i="4"/>
  <c r="G8" i="4" s="1"/>
  <c r="H8" i="4" s="1"/>
  <c r="I8" i="4" s="1"/>
  <c r="B8" i="6" s="1"/>
  <c r="B7" i="6" s="1"/>
  <c r="G7" i="4"/>
  <c r="H7" i="4" s="1"/>
  <c r="I7" i="4" s="1"/>
  <c r="AA32" i="1"/>
  <c r="D94" i="1" s="1"/>
  <c r="C6" i="5"/>
  <c r="C17" i="5" s="1"/>
  <c r="L3" i="4" s="1"/>
  <c r="AA35" i="1"/>
  <c r="D97" i="1" s="1"/>
  <c r="AA34" i="1"/>
  <c r="D96" i="1" s="1"/>
  <c r="AA33" i="1"/>
  <c r="D95" i="1" s="1"/>
  <c r="AA39" i="1"/>
  <c r="D101" i="1" s="1"/>
  <c r="AA31" i="1"/>
  <c r="D93" i="1" s="1"/>
  <c r="AA37" i="1"/>
  <c r="D99" i="1" s="1"/>
  <c r="AA30" i="1"/>
  <c r="D92" i="1" s="1"/>
  <c r="AA29" i="1"/>
  <c r="D91" i="1" s="1"/>
  <c r="AA36" i="1"/>
  <c r="D98" i="1" s="1"/>
  <c r="AA38" i="1"/>
  <c r="D100" i="1" s="1"/>
  <c r="E11" i="4"/>
  <c r="Q36" i="1"/>
  <c r="F68" i="1" s="1"/>
  <c r="P36" i="1"/>
  <c r="E68" i="1" s="1"/>
  <c r="O38" i="1"/>
  <c r="D70" i="1" s="1"/>
  <c r="Q37" i="1"/>
  <c r="F69" i="1" s="1"/>
  <c r="P37" i="1"/>
  <c r="E69" i="1" s="1"/>
  <c r="N38" i="1"/>
  <c r="C70" i="1" s="1"/>
  <c r="AB31" i="1"/>
  <c r="E93" i="1" s="1"/>
  <c r="AE30" i="1"/>
  <c r="H92" i="1" s="1"/>
  <c r="Q30" i="1"/>
  <c r="F62" i="1" s="1"/>
  <c r="P30" i="1"/>
  <c r="E62" i="1" s="1"/>
  <c r="Q32" i="1"/>
  <c r="F64" i="1" s="1"/>
  <c r="P32" i="1"/>
  <c r="E64" i="1" s="1"/>
  <c r="G62" i="4" l="1"/>
  <c r="E89" i="4"/>
  <c r="H6" i="6"/>
  <c r="L4" i="8"/>
  <c r="T34" i="1"/>
  <c r="D78" i="1" s="1"/>
  <c r="V33" i="1"/>
  <c r="F77" i="1" s="1"/>
  <c r="S34" i="1"/>
  <c r="C78" i="1" s="1"/>
  <c r="U33" i="1"/>
  <c r="E77" i="1" s="1"/>
  <c r="E39" i="7"/>
  <c r="G38" i="7"/>
  <c r="H38" i="7" s="1"/>
  <c r="I38" i="7" s="1"/>
  <c r="E9" i="8" s="1"/>
  <c r="E8" i="8" s="1"/>
  <c r="E7" i="8" s="1"/>
  <c r="G10" i="7"/>
  <c r="H10" i="7" s="1"/>
  <c r="I10" i="7" s="1"/>
  <c r="B9" i="8" s="1"/>
  <c r="B8" i="8" s="1"/>
  <c r="B7" i="8" s="1"/>
  <c r="E11" i="7"/>
  <c r="G64" i="7"/>
  <c r="H64" i="7" s="1"/>
  <c r="I64" i="7" s="1"/>
  <c r="E91" i="7"/>
  <c r="E65" i="7"/>
  <c r="F91" i="2"/>
  <c r="N34" i="2"/>
  <c r="P33" i="2"/>
  <c r="E68" i="2" s="1"/>
  <c r="C68" i="2"/>
  <c r="O33" i="2"/>
  <c r="Q32" i="2"/>
  <c r="F67" i="2" s="1"/>
  <c r="D67" i="2"/>
  <c r="G116" i="2"/>
  <c r="AG30" i="2"/>
  <c r="F92" i="2"/>
  <c r="AH30" i="2"/>
  <c r="AI30" i="2"/>
  <c r="D133" i="2" s="1"/>
  <c r="E93" i="2"/>
  <c r="W32" i="2"/>
  <c r="Z31" i="2"/>
  <c r="H93" i="2" s="1"/>
  <c r="E91" i="2"/>
  <c r="Z29" i="2"/>
  <c r="H91" i="2" s="1"/>
  <c r="G115" i="2"/>
  <c r="X31" i="2"/>
  <c r="E63" i="4"/>
  <c r="G63" i="4" s="1"/>
  <c r="H62" i="4"/>
  <c r="I62" i="4" s="1"/>
  <c r="E38" i="4"/>
  <c r="G38" i="4" s="1"/>
  <c r="H37" i="4"/>
  <c r="I37" i="4" s="1"/>
  <c r="E10" i="6" s="1"/>
  <c r="F9" i="4"/>
  <c r="G9" i="4" s="1"/>
  <c r="H9" i="4" s="1"/>
  <c r="I9" i="4" s="1"/>
  <c r="B9" i="6" s="1"/>
  <c r="AC30" i="1"/>
  <c r="F92" i="1" s="1"/>
  <c r="AC29" i="1"/>
  <c r="F91" i="1" s="1"/>
  <c r="E12" i="4"/>
  <c r="N39" i="1"/>
  <c r="C71" i="1" s="1"/>
  <c r="P38" i="1"/>
  <c r="E70" i="1" s="1"/>
  <c r="Q38" i="1"/>
  <c r="F70" i="1" s="1"/>
  <c r="O39" i="1"/>
  <c r="D71" i="1" s="1"/>
  <c r="AB32" i="1"/>
  <c r="E94" i="1" s="1"/>
  <c r="AE31" i="1"/>
  <c r="H93" i="1" s="1"/>
  <c r="AC31" i="1"/>
  <c r="F93" i="1" s="1"/>
  <c r="P33" i="1"/>
  <c r="E65" i="1" s="1"/>
  <c r="Q33" i="1"/>
  <c r="F65" i="1" s="1"/>
  <c r="AH29" i="2" l="1"/>
  <c r="G89" i="4"/>
  <c r="H89" i="4" s="1"/>
  <c r="I89" i="4" s="1"/>
  <c r="E90" i="4"/>
  <c r="T35" i="1"/>
  <c r="D79" i="1" s="1"/>
  <c r="V34" i="1"/>
  <c r="F78" i="1" s="1"/>
  <c r="S35" i="1"/>
  <c r="C79" i="1" s="1"/>
  <c r="U34" i="1"/>
  <c r="E78" i="1" s="1"/>
  <c r="AG29" i="2"/>
  <c r="B132" i="2" s="1"/>
  <c r="E40" i="7"/>
  <c r="G39" i="7"/>
  <c r="H39" i="7" s="1"/>
  <c r="I39" i="7" s="1"/>
  <c r="E10" i="8" s="1"/>
  <c r="E92" i="7"/>
  <c r="G92" i="7" s="1"/>
  <c r="G91" i="7"/>
  <c r="H91" i="7" s="1"/>
  <c r="I91" i="7" s="1"/>
  <c r="K6" i="8" s="1"/>
  <c r="G65" i="7"/>
  <c r="H65" i="7" s="1"/>
  <c r="I65" i="7" s="1"/>
  <c r="E66" i="7"/>
  <c r="G11" i="7"/>
  <c r="H11" i="7" s="1"/>
  <c r="I11" i="7" s="1"/>
  <c r="B10" i="8" s="1"/>
  <c r="E12" i="7"/>
  <c r="E94" i="2"/>
  <c r="W33" i="2"/>
  <c r="Z32" i="2"/>
  <c r="H94" i="2" s="1"/>
  <c r="X32" i="2"/>
  <c r="C132" i="2"/>
  <c r="AK29" i="2"/>
  <c r="C133" i="2"/>
  <c r="AK30" i="2"/>
  <c r="F133" i="2" s="1"/>
  <c r="AI31" i="2"/>
  <c r="D134" i="2" s="1"/>
  <c r="AH31" i="2"/>
  <c r="F93" i="2"/>
  <c r="AG31" i="2"/>
  <c r="O34" i="2"/>
  <c r="Q33" i="2"/>
  <c r="F68" i="2" s="1"/>
  <c r="D68" i="2"/>
  <c r="B133" i="2"/>
  <c r="AJ30" i="2"/>
  <c r="N35" i="2"/>
  <c r="P34" i="2"/>
  <c r="E69" i="2" s="1"/>
  <c r="C69" i="2"/>
  <c r="AI29" i="2"/>
  <c r="D132" i="2" s="1"/>
  <c r="E64" i="4"/>
  <c r="G64" i="4" s="1"/>
  <c r="H63" i="4"/>
  <c r="I63" i="4" s="1"/>
  <c r="H8" i="6" s="1"/>
  <c r="H7" i="6" s="1"/>
  <c r="E39" i="4"/>
  <c r="G39" i="4" s="1"/>
  <c r="H38" i="4"/>
  <c r="I38" i="4" s="1"/>
  <c r="E11" i="6" s="1"/>
  <c r="F10" i="4"/>
  <c r="G10" i="4" s="1"/>
  <c r="H10" i="4" s="1"/>
  <c r="I10" i="4" s="1"/>
  <c r="B10" i="6" s="1"/>
  <c r="AN30" i="1"/>
  <c r="D133" i="1" s="1"/>
  <c r="AL30" i="1"/>
  <c r="B133" i="1" s="1"/>
  <c r="AN29" i="1"/>
  <c r="D132" i="1" s="1"/>
  <c r="AM30" i="1"/>
  <c r="C133" i="1" s="1"/>
  <c r="AM29" i="1"/>
  <c r="AP29" i="1" s="1"/>
  <c r="AL29" i="1"/>
  <c r="E13" i="4"/>
  <c r="Q39" i="1"/>
  <c r="F71" i="1" s="1"/>
  <c r="P39" i="1"/>
  <c r="E71" i="1" s="1"/>
  <c r="AB33" i="1"/>
  <c r="E95" i="1" s="1"/>
  <c r="AE32" i="1"/>
  <c r="H94" i="1" s="1"/>
  <c r="AC32" i="1"/>
  <c r="F94" i="1" s="1"/>
  <c r="AL31" i="1"/>
  <c r="AM31" i="1"/>
  <c r="AP31" i="1" s="1"/>
  <c r="AN31" i="1"/>
  <c r="D134" i="1" s="1"/>
  <c r="Q34" i="1"/>
  <c r="F66" i="1" s="1"/>
  <c r="P34" i="1"/>
  <c r="E66" i="1" s="1"/>
  <c r="G90" i="4" l="1"/>
  <c r="H90" i="4" s="1"/>
  <c r="I90" i="4" s="1"/>
  <c r="E91" i="4"/>
  <c r="T36" i="1"/>
  <c r="D80" i="1" s="1"/>
  <c r="V35" i="1"/>
  <c r="F79" i="1" s="1"/>
  <c r="S36" i="1"/>
  <c r="C80" i="1" s="1"/>
  <c r="U35" i="1"/>
  <c r="E79" i="1" s="1"/>
  <c r="AJ29" i="2"/>
  <c r="AL29" i="2" s="1"/>
  <c r="G132" i="2" s="1"/>
  <c r="E41" i="7"/>
  <c r="G40" i="7"/>
  <c r="H40" i="7" s="1"/>
  <c r="I40" i="7" s="1"/>
  <c r="E11" i="8" s="1"/>
  <c r="G66" i="7"/>
  <c r="H66" i="7" s="1"/>
  <c r="I66" i="7" s="1"/>
  <c r="H9" i="8" s="1"/>
  <c r="H8" i="8" s="1"/>
  <c r="H7" i="8" s="1"/>
  <c r="E67" i="7"/>
  <c r="E93" i="7"/>
  <c r="G93" i="7" s="1"/>
  <c r="H92" i="7"/>
  <c r="I92" i="7" s="1"/>
  <c r="G12" i="7"/>
  <c r="H12" i="7" s="1"/>
  <c r="I12" i="7" s="1"/>
  <c r="B11" i="8" s="1"/>
  <c r="E13" i="7"/>
  <c r="B134" i="2"/>
  <c r="AJ31" i="2"/>
  <c r="AG32" i="2"/>
  <c r="F94" i="2"/>
  <c r="AH32" i="2"/>
  <c r="AI32" i="2"/>
  <c r="D135" i="2" s="1"/>
  <c r="D69" i="2"/>
  <c r="O35" i="2"/>
  <c r="Q34" i="2"/>
  <c r="F69" i="2" s="1"/>
  <c r="C134" i="2"/>
  <c r="AK31" i="2"/>
  <c r="F134" i="2" s="1"/>
  <c r="F132" i="2"/>
  <c r="E95" i="2"/>
  <c r="W34" i="2"/>
  <c r="Z33" i="2"/>
  <c r="H95" i="2" s="1"/>
  <c r="X33" i="2"/>
  <c r="E133" i="2"/>
  <c r="AL30" i="2"/>
  <c r="G133" i="2" s="1"/>
  <c r="C70" i="2"/>
  <c r="N36" i="2"/>
  <c r="P35" i="2"/>
  <c r="E70" i="2" s="1"/>
  <c r="H64" i="4"/>
  <c r="I64" i="4" s="1"/>
  <c r="H9" i="6" s="1"/>
  <c r="E65" i="4"/>
  <c r="G65" i="4" s="1"/>
  <c r="E40" i="4"/>
  <c r="G40" i="4" s="1"/>
  <c r="H39" i="4"/>
  <c r="I39" i="4" s="1"/>
  <c r="E12" i="6" s="1"/>
  <c r="F11" i="4"/>
  <c r="G11" i="4" s="1"/>
  <c r="H11" i="4" s="1"/>
  <c r="I11" i="4" s="1"/>
  <c r="B11" i="6" s="1"/>
  <c r="AO29" i="1"/>
  <c r="E132" i="1" s="1"/>
  <c r="AO30" i="1"/>
  <c r="E133" i="1" s="1"/>
  <c r="AP30" i="1"/>
  <c r="C132" i="1"/>
  <c r="AO31" i="1"/>
  <c r="E134" i="1" s="1"/>
  <c r="C134" i="1"/>
  <c r="B132" i="1"/>
  <c r="E14" i="4"/>
  <c r="B134" i="1"/>
  <c r="F132" i="1"/>
  <c r="AB34" i="1"/>
  <c r="E96" i="1" s="1"/>
  <c r="AE33" i="1"/>
  <c r="H95" i="1" s="1"/>
  <c r="AC33" i="1"/>
  <c r="F95" i="1" s="1"/>
  <c r="AL32" i="1"/>
  <c r="AM32" i="1"/>
  <c r="AN32" i="1"/>
  <c r="D135" i="1" s="1"/>
  <c r="Q35" i="1"/>
  <c r="F67" i="1" s="1"/>
  <c r="P35" i="1"/>
  <c r="E67" i="1" s="1"/>
  <c r="G91" i="4" l="1"/>
  <c r="H91" i="4" s="1"/>
  <c r="I91" i="4" s="1"/>
  <c r="E92" i="4"/>
  <c r="S37" i="1"/>
  <c r="C81" i="1" s="1"/>
  <c r="U36" i="1"/>
  <c r="E80" i="1" s="1"/>
  <c r="T37" i="1"/>
  <c r="D81" i="1" s="1"/>
  <c r="V36" i="1"/>
  <c r="F80" i="1" s="1"/>
  <c r="E132" i="2"/>
  <c r="E42" i="7"/>
  <c r="G41" i="7"/>
  <c r="H41" i="7" s="1"/>
  <c r="I41" i="7" s="1"/>
  <c r="E12" i="8" s="1"/>
  <c r="E94" i="7"/>
  <c r="G94" i="7" s="1"/>
  <c r="H93" i="7"/>
  <c r="I93" i="7" s="1"/>
  <c r="G13" i="7"/>
  <c r="H13" i="7" s="1"/>
  <c r="I13" i="7" s="1"/>
  <c r="B12" i="8" s="1"/>
  <c r="E14" i="7"/>
  <c r="G67" i="7"/>
  <c r="H67" i="7" s="1"/>
  <c r="I67" i="7" s="1"/>
  <c r="H10" i="8" s="1"/>
  <c r="E68" i="7"/>
  <c r="C135" i="2"/>
  <c r="AK32" i="2"/>
  <c r="F135" i="2" s="1"/>
  <c r="E96" i="2"/>
  <c r="W35" i="2"/>
  <c r="Z34" i="2"/>
  <c r="H96" i="2" s="1"/>
  <c r="X34" i="2"/>
  <c r="E134" i="2"/>
  <c r="AL31" i="2"/>
  <c r="G134" i="2" s="1"/>
  <c r="D70" i="2"/>
  <c r="O36" i="2"/>
  <c r="Q35" i="2"/>
  <c r="F70" i="2" s="1"/>
  <c r="B135" i="2"/>
  <c r="AJ32" i="2"/>
  <c r="P36" i="2"/>
  <c r="E71" i="2" s="1"/>
  <c r="C71" i="2"/>
  <c r="N37" i="2"/>
  <c r="AI33" i="2"/>
  <c r="D136" i="2" s="1"/>
  <c r="AH33" i="2"/>
  <c r="F95" i="2"/>
  <c r="AG33" i="2"/>
  <c r="E66" i="4"/>
  <c r="G66" i="4" s="1"/>
  <c r="H65" i="4"/>
  <c r="I65" i="4" s="1"/>
  <c r="H10" i="6" s="1"/>
  <c r="E41" i="4"/>
  <c r="G41" i="4" s="1"/>
  <c r="H40" i="4"/>
  <c r="I40" i="4" s="1"/>
  <c r="E13" i="6" s="1"/>
  <c r="F12" i="4"/>
  <c r="G12" i="4" s="1"/>
  <c r="H12" i="4" s="1"/>
  <c r="I12" i="4" s="1"/>
  <c r="B12" i="6" s="1"/>
  <c r="AQ29" i="1"/>
  <c r="G132" i="1" s="1"/>
  <c r="AQ30" i="1"/>
  <c r="G133" i="1" s="1"/>
  <c r="F133" i="1"/>
  <c r="C135" i="1"/>
  <c r="AP32" i="1"/>
  <c r="AO32" i="1"/>
  <c r="E15" i="4"/>
  <c r="AQ31" i="1"/>
  <c r="G134" i="1" s="1"/>
  <c r="F134" i="1"/>
  <c r="B135" i="1"/>
  <c r="AB35" i="1"/>
  <c r="AE34" i="1"/>
  <c r="H96" i="1" s="1"/>
  <c r="AC34" i="1"/>
  <c r="F96" i="1" s="1"/>
  <c r="AN33" i="1"/>
  <c r="D136" i="1" s="1"/>
  <c r="AL33" i="1"/>
  <c r="AM33" i="1"/>
  <c r="G92" i="4" l="1"/>
  <c r="H92" i="4" s="1"/>
  <c r="I92" i="4" s="1"/>
  <c r="E93" i="4"/>
  <c r="AB36" i="1"/>
  <c r="E98" i="1" s="1"/>
  <c r="E97" i="1"/>
  <c r="S38" i="1"/>
  <c r="C82" i="1" s="1"/>
  <c r="U37" i="1"/>
  <c r="E81" i="1" s="1"/>
  <c r="T38" i="1"/>
  <c r="D82" i="1" s="1"/>
  <c r="V37" i="1"/>
  <c r="F81" i="1" s="1"/>
  <c r="E43" i="7"/>
  <c r="G42" i="7"/>
  <c r="H42" i="7" s="1"/>
  <c r="I42" i="7" s="1"/>
  <c r="E13" i="8" s="1"/>
  <c r="E95" i="7"/>
  <c r="G95" i="7" s="1"/>
  <c r="H94" i="7"/>
  <c r="I94" i="7" s="1"/>
  <c r="K9" i="8" s="1"/>
  <c r="K8" i="8" s="1"/>
  <c r="K7" i="8" s="1"/>
  <c r="G14" i="7"/>
  <c r="H14" i="7" s="1"/>
  <c r="I14" i="7" s="1"/>
  <c r="B13" i="8" s="1"/>
  <c r="E15" i="7"/>
  <c r="G68" i="7"/>
  <c r="H68" i="7" s="1"/>
  <c r="I68" i="7" s="1"/>
  <c r="H11" i="8" s="1"/>
  <c r="E69" i="7"/>
  <c r="C136" i="2"/>
  <c r="AK33" i="2"/>
  <c r="F136" i="2" s="1"/>
  <c r="E97" i="2"/>
  <c r="W36" i="2"/>
  <c r="Z35" i="2"/>
  <c r="H97" i="2" s="1"/>
  <c r="X35" i="2"/>
  <c r="E135" i="2"/>
  <c r="AL32" i="2"/>
  <c r="G135" i="2" s="1"/>
  <c r="B136" i="2"/>
  <c r="AJ33" i="2"/>
  <c r="P37" i="2"/>
  <c r="E72" i="2" s="1"/>
  <c r="C72" i="2"/>
  <c r="N38" i="2"/>
  <c r="Q36" i="2"/>
  <c r="F71" i="2" s="1"/>
  <c r="D71" i="2"/>
  <c r="O37" i="2"/>
  <c r="AG34" i="2"/>
  <c r="AI34" i="2"/>
  <c r="D137" i="2" s="1"/>
  <c r="F96" i="2"/>
  <c r="AH34" i="2"/>
  <c r="H66" i="4"/>
  <c r="I66" i="4" s="1"/>
  <c r="H11" i="6" s="1"/>
  <c r="E67" i="4"/>
  <c r="G67" i="4" s="1"/>
  <c r="E42" i="4"/>
  <c r="G42" i="4" s="1"/>
  <c r="H41" i="4"/>
  <c r="I41" i="4" s="1"/>
  <c r="E14" i="6" s="1"/>
  <c r="F13" i="4"/>
  <c r="G13" i="4" s="1"/>
  <c r="H13" i="4" s="1"/>
  <c r="I13" i="4" s="1"/>
  <c r="B13" i="6" s="1"/>
  <c r="C136" i="1"/>
  <c r="AP33" i="1"/>
  <c r="E135" i="1"/>
  <c r="AO33" i="1"/>
  <c r="E136" i="1" s="1"/>
  <c r="F14" i="4"/>
  <c r="G14" i="4" s="1"/>
  <c r="E16" i="4"/>
  <c r="B136" i="1"/>
  <c r="AQ32" i="1"/>
  <c r="G135" i="1" s="1"/>
  <c r="F135" i="1"/>
  <c r="AN34" i="1"/>
  <c r="D137" i="1" s="1"/>
  <c r="AL34" i="1"/>
  <c r="AM34" i="1"/>
  <c r="AE35" i="1"/>
  <c r="H97" i="1" s="1"/>
  <c r="AC35" i="1"/>
  <c r="F97" i="1" s="1"/>
  <c r="G93" i="4" l="1"/>
  <c r="H93" i="4" s="1"/>
  <c r="I93" i="4" s="1"/>
  <c r="E94" i="4"/>
  <c r="AC36" i="1"/>
  <c r="F98" i="1" s="1"/>
  <c r="AE36" i="1"/>
  <c r="H98" i="1" s="1"/>
  <c r="AB37" i="1"/>
  <c r="E99" i="1" s="1"/>
  <c r="S39" i="1"/>
  <c r="U38" i="1"/>
  <c r="E82" i="1" s="1"/>
  <c r="T39" i="1"/>
  <c r="V38" i="1"/>
  <c r="F82" i="1" s="1"/>
  <c r="E44" i="7"/>
  <c r="G43" i="7"/>
  <c r="H43" i="7" s="1"/>
  <c r="I43" i="7" s="1"/>
  <c r="E14" i="8" s="1"/>
  <c r="G15" i="7"/>
  <c r="H15" i="7" s="1"/>
  <c r="I15" i="7" s="1"/>
  <c r="B14" i="8" s="1"/>
  <c r="E16" i="7"/>
  <c r="E96" i="7"/>
  <c r="G96" i="7" s="1"/>
  <c r="H95" i="7"/>
  <c r="I95" i="7" s="1"/>
  <c r="K10" i="8" s="1"/>
  <c r="G69" i="7"/>
  <c r="H69" i="7" s="1"/>
  <c r="I69" i="7" s="1"/>
  <c r="H12" i="8" s="1"/>
  <c r="E70" i="7"/>
  <c r="C137" i="2"/>
  <c r="AK34" i="2"/>
  <c r="O38" i="2"/>
  <c r="D72" i="2"/>
  <c r="Q37" i="2"/>
  <c r="F72" i="2" s="1"/>
  <c r="E98" i="2"/>
  <c r="W37" i="2"/>
  <c r="X36" i="2"/>
  <c r="Z36" i="2"/>
  <c r="H98" i="2" s="1"/>
  <c r="B137" i="2"/>
  <c r="AJ34" i="2"/>
  <c r="N39" i="2"/>
  <c r="C73" i="2"/>
  <c r="P38" i="2"/>
  <c r="E73" i="2" s="1"/>
  <c r="E136" i="2"/>
  <c r="AL33" i="2"/>
  <c r="G136" i="2" s="1"/>
  <c r="AI35" i="2"/>
  <c r="D138" i="2" s="1"/>
  <c r="AG35" i="2"/>
  <c r="AH35" i="2"/>
  <c r="F97" i="2"/>
  <c r="H67" i="4"/>
  <c r="I67" i="4" s="1"/>
  <c r="H12" i="6" s="1"/>
  <c r="E68" i="4"/>
  <c r="G68" i="4" s="1"/>
  <c r="E43" i="4"/>
  <c r="G43" i="4" s="1"/>
  <c r="H42" i="4"/>
  <c r="I42" i="4" s="1"/>
  <c r="E15" i="6" s="1"/>
  <c r="C137" i="1"/>
  <c r="AP34" i="1"/>
  <c r="F137" i="1" s="1"/>
  <c r="AO34" i="1"/>
  <c r="E137" i="1" s="1"/>
  <c r="F15" i="4"/>
  <c r="G15" i="4" s="1"/>
  <c r="H14" i="4"/>
  <c r="I14" i="4" s="1"/>
  <c r="B14" i="6" s="1"/>
  <c r="E17" i="4"/>
  <c r="AQ33" i="1"/>
  <c r="G136" i="1" s="1"/>
  <c r="F136" i="1"/>
  <c r="B137" i="1"/>
  <c r="AE37" i="1"/>
  <c r="H99" i="1" s="1"/>
  <c r="AL36" i="1"/>
  <c r="AN35" i="1"/>
  <c r="D138" i="1" s="1"/>
  <c r="AM35" i="1"/>
  <c r="AL35" i="1"/>
  <c r="U39" i="1" l="1"/>
  <c r="E83" i="1" s="1"/>
  <c r="C83" i="1"/>
  <c r="V39" i="1"/>
  <c r="F83" i="1" s="1"/>
  <c r="D83" i="1"/>
  <c r="G94" i="4"/>
  <c r="H94" i="4" s="1"/>
  <c r="I94" i="4" s="1"/>
  <c r="E95" i="4"/>
  <c r="AC37" i="1"/>
  <c r="F99" i="1" s="1"/>
  <c r="AM36" i="1"/>
  <c r="AP36" i="1" s="1"/>
  <c r="AN36" i="1"/>
  <c r="D139" i="1" s="1"/>
  <c r="AB38" i="1"/>
  <c r="E100" i="1" s="1"/>
  <c r="E97" i="7"/>
  <c r="G97" i="7" s="1"/>
  <c r="H96" i="7"/>
  <c r="I96" i="7" s="1"/>
  <c r="K11" i="8" s="1"/>
  <c r="E45" i="7"/>
  <c r="G44" i="7"/>
  <c r="H44" i="7" s="1"/>
  <c r="I44" i="7" s="1"/>
  <c r="E15" i="8" s="1"/>
  <c r="G70" i="7"/>
  <c r="H70" i="7" s="1"/>
  <c r="I70" i="7" s="1"/>
  <c r="H13" i="8" s="1"/>
  <c r="E71" i="7"/>
  <c r="G16" i="7"/>
  <c r="H16" i="7" s="1"/>
  <c r="I16" i="7" s="1"/>
  <c r="B15" i="8" s="1"/>
  <c r="E17" i="7"/>
  <c r="C138" i="2"/>
  <c r="AK35" i="2"/>
  <c r="F138" i="2" s="1"/>
  <c r="C74" i="2"/>
  <c r="P39" i="2"/>
  <c r="E74" i="2" s="1"/>
  <c r="AH36" i="2"/>
  <c r="AG36" i="2"/>
  <c r="F98" i="2"/>
  <c r="AI36" i="2"/>
  <c r="D139" i="2" s="1"/>
  <c r="F137" i="2"/>
  <c r="B138" i="2"/>
  <c r="AJ35" i="2"/>
  <c r="AL34" i="2"/>
  <c r="G137" i="2" s="1"/>
  <c r="E137" i="2"/>
  <c r="E99" i="2"/>
  <c r="W38" i="2"/>
  <c r="Z37" i="2"/>
  <c r="H99" i="2" s="1"/>
  <c r="X37" i="2"/>
  <c r="O39" i="2"/>
  <c r="D73" i="2"/>
  <c r="Q38" i="2"/>
  <c r="F73" i="2" s="1"/>
  <c r="E69" i="4"/>
  <c r="G69" i="4" s="1"/>
  <c r="H68" i="4"/>
  <c r="I68" i="4" s="1"/>
  <c r="H13" i="6" s="1"/>
  <c r="E44" i="4"/>
  <c r="G44" i="4" s="1"/>
  <c r="H43" i="4"/>
  <c r="I43" i="4" s="1"/>
  <c r="E16" i="6" s="1"/>
  <c r="AO36" i="1"/>
  <c r="E139" i="1" s="1"/>
  <c r="AO35" i="1"/>
  <c r="E138" i="1" s="1"/>
  <c r="C138" i="1"/>
  <c r="AP35" i="1"/>
  <c r="F16" i="4"/>
  <c r="G16" i="4" s="1"/>
  <c r="H15" i="4"/>
  <c r="I15" i="4" s="1"/>
  <c r="B15" i="6" s="1"/>
  <c r="E18" i="4"/>
  <c r="B139" i="1"/>
  <c r="B138" i="1"/>
  <c r="AE38" i="1"/>
  <c r="H100" i="1" s="1"/>
  <c r="AC38" i="1"/>
  <c r="F100" i="1" s="1"/>
  <c r="AB39" i="1"/>
  <c r="E101" i="1" s="1"/>
  <c r="AN37" i="1"/>
  <c r="D140" i="1" s="1"/>
  <c r="AQ34" i="1"/>
  <c r="G137" i="1" s="1"/>
  <c r="G95" i="4" l="1"/>
  <c r="H95" i="4" s="1"/>
  <c r="I95" i="4" s="1"/>
  <c r="E96" i="4"/>
  <c r="AM37" i="1"/>
  <c r="AP37" i="1" s="1"/>
  <c r="AL37" i="1"/>
  <c r="B140" i="1" s="1"/>
  <c r="C139" i="1"/>
  <c r="E46" i="7"/>
  <c r="G45" i="7"/>
  <c r="H45" i="7" s="1"/>
  <c r="I45" i="7" s="1"/>
  <c r="E16" i="8" s="1"/>
  <c r="E98" i="7"/>
  <c r="G98" i="7" s="1"/>
  <c r="H97" i="7"/>
  <c r="I97" i="7" s="1"/>
  <c r="K12" i="8" s="1"/>
  <c r="G71" i="7"/>
  <c r="H71" i="7" s="1"/>
  <c r="I71" i="7" s="1"/>
  <c r="H14" i="8" s="1"/>
  <c r="E72" i="7"/>
  <c r="G17" i="7"/>
  <c r="H17" i="7" s="1"/>
  <c r="I17" i="7" s="1"/>
  <c r="B16" i="8" s="1"/>
  <c r="E18" i="7"/>
  <c r="C139" i="2"/>
  <c r="AK36" i="2"/>
  <c r="AG37" i="2"/>
  <c r="AI37" i="2"/>
  <c r="D140" i="2" s="1"/>
  <c r="F99" i="2"/>
  <c r="AH37" i="2"/>
  <c r="B139" i="2"/>
  <c r="AJ36" i="2"/>
  <c r="D74" i="2"/>
  <c r="Q39" i="2"/>
  <c r="F74" i="2" s="1"/>
  <c r="E100" i="2"/>
  <c r="W39" i="2"/>
  <c r="Z38" i="2"/>
  <c r="H100" i="2" s="1"/>
  <c r="X38" i="2"/>
  <c r="E138" i="2"/>
  <c r="AL35" i="2"/>
  <c r="G138" i="2" s="1"/>
  <c r="E70" i="4"/>
  <c r="G70" i="4" s="1"/>
  <c r="H69" i="4"/>
  <c r="I69" i="4" s="1"/>
  <c r="H14" i="6" s="1"/>
  <c r="E45" i="4"/>
  <c r="G45" i="4" s="1"/>
  <c r="H44" i="4"/>
  <c r="I44" i="4" s="1"/>
  <c r="E17" i="6" s="1"/>
  <c r="AO37" i="1"/>
  <c r="E140" i="1" s="1"/>
  <c r="F17" i="4"/>
  <c r="G17" i="4" s="1"/>
  <c r="H16" i="4"/>
  <c r="I16" i="4" s="1"/>
  <c r="B16" i="6" s="1"/>
  <c r="E19" i="4"/>
  <c r="AQ35" i="1"/>
  <c r="G138" i="1" s="1"/>
  <c r="F138" i="1"/>
  <c r="AQ36" i="1"/>
  <c r="G139" i="1" s="1"/>
  <c r="F139" i="1"/>
  <c r="AN38" i="1"/>
  <c r="D141" i="1" s="1"/>
  <c r="AL38" i="1"/>
  <c r="AM38" i="1"/>
  <c r="AC39" i="1"/>
  <c r="F101" i="1" s="1"/>
  <c r="AE39" i="1"/>
  <c r="H101" i="1" s="1"/>
  <c r="G96" i="4" l="1"/>
  <c r="H96" i="4" s="1"/>
  <c r="I96" i="4" s="1"/>
  <c r="E97" i="4"/>
  <c r="C140" i="1"/>
  <c r="E99" i="7"/>
  <c r="G99" i="7" s="1"/>
  <c r="H98" i="7"/>
  <c r="I98" i="7" s="1"/>
  <c r="K13" i="8" s="1"/>
  <c r="E47" i="7"/>
  <c r="G46" i="7"/>
  <c r="H46" i="7" s="1"/>
  <c r="I46" i="7" s="1"/>
  <c r="E17" i="8" s="1"/>
  <c r="G72" i="7"/>
  <c r="H72" i="7" s="1"/>
  <c r="I72" i="7" s="1"/>
  <c r="H15" i="8" s="1"/>
  <c r="E73" i="7"/>
  <c r="G18" i="7"/>
  <c r="H18" i="7" s="1"/>
  <c r="I18" i="7" s="1"/>
  <c r="B17" i="8" s="1"/>
  <c r="E19" i="7"/>
  <c r="E101" i="2"/>
  <c r="Z39" i="2"/>
  <c r="H101" i="2" s="1"/>
  <c r="X39" i="2"/>
  <c r="F139" i="2"/>
  <c r="F100" i="2"/>
  <c r="AG38" i="2"/>
  <c r="AH38" i="2"/>
  <c r="AI38" i="2"/>
  <c r="D141" i="2" s="1"/>
  <c r="C140" i="2"/>
  <c r="AK37" i="2"/>
  <c r="F140" i="2" s="1"/>
  <c r="B140" i="2"/>
  <c r="AJ37" i="2"/>
  <c r="AL36" i="2"/>
  <c r="G139" i="2" s="1"/>
  <c r="E139" i="2"/>
  <c r="H70" i="4"/>
  <c r="I70" i="4" s="1"/>
  <c r="H15" i="6" s="1"/>
  <c r="E71" i="4"/>
  <c r="G71" i="4" s="1"/>
  <c r="E46" i="4"/>
  <c r="G46" i="4" s="1"/>
  <c r="H45" i="4"/>
  <c r="I45" i="4" s="1"/>
  <c r="E18" i="6" s="1"/>
  <c r="AO38" i="1"/>
  <c r="E141" i="1" s="1"/>
  <c r="C141" i="1"/>
  <c r="AP38" i="1"/>
  <c r="F18" i="4"/>
  <c r="G18" i="4" s="1"/>
  <c r="H17" i="4"/>
  <c r="I17" i="4" s="1"/>
  <c r="B17" i="6" s="1"/>
  <c r="E20" i="4"/>
  <c r="B141" i="1"/>
  <c r="AQ37" i="1"/>
  <c r="G140" i="1" s="1"/>
  <c r="F140" i="1"/>
  <c r="AN39" i="1"/>
  <c r="D142" i="1" s="1"/>
  <c r="AL39" i="1"/>
  <c r="AM39" i="1"/>
  <c r="G97" i="4" l="1"/>
  <c r="H97" i="4" s="1"/>
  <c r="I97" i="4" s="1"/>
  <c r="E98" i="4"/>
  <c r="E48" i="7"/>
  <c r="G47" i="7"/>
  <c r="H47" i="7" s="1"/>
  <c r="I47" i="7" s="1"/>
  <c r="E18" i="8" s="1"/>
  <c r="E100" i="7"/>
  <c r="G100" i="7" s="1"/>
  <c r="H99" i="7"/>
  <c r="I99" i="7" s="1"/>
  <c r="K14" i="8" s="1"/>
  <c r="G73" i="7"/>
  <c r="H73" i="7" s="1"/>
  <c r="I73" i="7" s="1"/>
  <c r="H16" i="8" s="1"/>
  <c r="E74" i="7"/>
  <c r="G19" i="7"/>
  <c r="H19" i="7" s="1"/>
  <c r="I19" i="7" s="1"/>
  <c r="B18" i="8" s="1"/>
  <c r="E20" i="7"/>
  <c r="E140" i="2"/>
  <c r="AL37" i="2"/>
  <c r="G140" i="2" s="1"/>
  <c r="B141" i="2"/>
  <c r="AJ38" i="2"/>
  <c r="AI39" i="2"/>
  <c r="D142" i="2" s="1"/>
  <c r="AH39" i="2"/>
  <c r="F101" i="2"/>
  <c r="AG39" i="2"/>
  <c r="C141" i="2"/>
  <c r="AK38" i="2"/>
  <c r="F141" i="2" s="1"/>
  <c r="E72" i="4"/>
  <c r="G72" i="4" s="1"/>
  <c r="H71" i="4"/>
  <c r="I71" i="4" s="1"/>
  <c r="H16" i="6" s="1"/>
  <c r="E47" i="4"/>
  <c r="G47" i="4" s="1"/>
  <c r="H46" i="4"/>
  <c r="I46" i="4" s="1"/>
  <c r="E19" i="6" s="1"/>
  <c r="AO39" i="1"/>
  <c r="AO42" i="1" s="1"/>
  <c r="C142" i="1"/>
  <c r="AP39" i="1"/>
  <c r="AP42" i="1" s="1"/>
  <c r="F19" i="4"/>
  <c r="G19" i="4" s="1"/>
  <c r="H18" i="4"/>
  <c r="I18" i="4" s="1"/>
  <c r="B18" i="6" s="1"/>
  <c r="E21" i="4"/>
  <c r="B142" i="1"/>
  <c r="AQ38" i="1"/>
  <c r="G141" i="1" s="1"/>
  <c r="F141" i="1"/>
  <c r="G98" i="4" l="1"/>
  <c r="H98" i="4" s="1"/>
  <c r="I98" i="4" s="1"/>
  <c r="E99" i="4"/>
  <c r="E101" i="7"/>
  <c r="G101" i="7" s="1"/>
  <c r="H100" i="7"/>
  <c r="I100" i="7" s="1"/>
  <c r="K15" i="8" s="1"/>
  <c r="E49" i="7"/>
  <c r="G48" i="7"/>
  <c r="H48" i="7" s="1"/>
  <c r="I48" i="7" s="1"/>
  <c r="E19" i="8" s="1"/>
  <c r="G74" i="7"/>
  <c r="H74" i="7" s="1"/>
  <c r="I74" i="7" s="1"/>
  <c r="H17" i="8" s="1"/>
  <c r="E75" i="7"/>
  <c r="G20" i="7"/>
  <c r="H20" i="7" s="1"/>
  <c r="I20" i="7" s="1"/>
  <c r="B19" i="8" s="1"/>
  <c r="E21" i="7"/>
  <c r="C142" i="2"/>
  <c r="AK39" i="2"/>
  <c r="B142" i="2"/>
  <c r="AJ39" i="2"/>
  <c r="AL38" i="2"/>
  <c r="G141" i="2" s="1"/>
  <c r="E141" i="2"/>
  <c r="E73" i="4"/>
  <c r="G73" i="4" s="1"/>
  <c r="H72" i="4"/>
  <c r="I72" i="4" s="1"/>
  <c r="H17" i="6" s="1"/>
  <c r="E48" i="4"/>
  <c r="G48" i="4" s="1"/>
  <c r="H47" i="4"/>
  <c r="I47" i="4" s="1"/>
  <c r="E20" i="6" s="1"/>
  <c r="F20" i="4"/>
  <c r="G20" i="4" s="1"/>
  <c r="H19" i="4"/>
  <c r="I19" i="4" s="1"/>
  <c r="B19" i="6" s="1"/>
  <c r="E22" i="4"/>
  <c r="E17" i="1"/>
  <c r="E142" i="1"/>
  <c r="E144" i="1" s="1"/>
  <c r="AQ39" i="1"/>
  <c r="G142" i="1" s="1"/>
  <c r="F142" i="1"/>
  <c r="F144" i="1" s="1"/>
  <c r="E18" i="1"/>
  <c r="G99" i="4" l="1"/>
  <c r="H99" i="4" s="1"/>
  <c r="I99" i="4" s="1"/>
  <c r="E100" i="4"/>
  <c r="E50" i="7"/>
  <c r="G49" i="7"/>
  <c r="H49" i="7" s="1"/>
  <c r="I49" i="7" s="1"/>
  <c r="E20" i="8" s="1"/>
  <c r="E102" i="7"/>
  <c r="G102" i="7" s="1"/>
  <c r="H101" i="7"/>
  <c r="I101" i="7" s="1"/>
  <c r="K16" i="8" s="1"/>
  <c r="G75" i="7"/>
  <c r="H75" i="7" s="1"/>
  <c r="I75" i="7" s="1"/>
  <c r="H18" i="8" s="1"/>
  <c r="E76" i="7"/>
  <c r="G21" i="7"/>
  <c r="H21" i="7" s="1"/>
  <c r="I21" i="7" s="1"/>
  <c r="B20" i="8" s="1"/>
  <c r="E22" i="7"/>
  <c r="E142" i="2"/>
  <c r="E144" i="2" s="1"/>
  <c r="AL39" i="2"/>
  <c r="G142" i="2" s="1"/>
  <c r="AJ42" i="2"/>
  <c r="F142" i="2"/>
  <c r="F144" i="2" s="1"/>
  <c r="AK42" i="2"/>
  <c r="E18" i="2" s="1"/>
  <c r="H73" i="4"/>
  <c r="I73" i="4" s="1"/>
  <c r="H18" i="6" s="1"/>
  <c r="E74" i="4"/>
  <c r="G74" i="4" s="1"/>
  <c r="E49" i="4"/>
  <c r="G49" i="4" s="1"/>
  <c r="H48" i="4"/>
  <c r="I48" i="4" s="1"/>
  <c r="E21" i="6" s="1"/>
  <c r="F21" i="4"/>
  <c r="G21" i="4" s="1"/>
  <c r="H20" i="4"/>
  <c r="I20" i="4" s="1"/>
  <c r="B20" i="6" s="1"/>
  <c r="E23" i="4"/>
  <c r="G144" i="1"/>
  <c r="D2" i="4" s="1"/>
  <c r="E19" i="1"/>
  <c r="AQ42" i="1"/>
  <c r="G100" i="4" l="1"/>
  <c r="H100" i="4" s="1"/>
  <c r="I100" i="4" s="1"/>
  <c r="E101" i="4"/>
  <c r="B104" i="4"/>
  <c r="J104" i="4" s="1"/>
  <c r="B98" i="4"/>
  <c r="J98" i="4" s="1"/>
  <c r="B94" i="4"/>
  <c r="J94" i="4" s="1"/>
  <c r="B107" i="4"/>
  <c r="J107" i="4" s="1"/>
  <c r="B105" i="4"/>
  <c r="J105" i="4" s="1"/>
  <c r="B103" i="4"/>
  <c r="J103" i="4" s="1"/>
  <c r="B101" i="4"/>
  <c r="J101" i="4" s="1"/>
  <c r="B99" i="4"/>
  <c r="J99" i="4" s="1"/>
  <c r="B97" i="4"/>
  <c r="J97" i="4" s="1"/>
  <c r="B95" i="4"/>
  <c r="J95" i="4" s="1"/>
  <c r="B93" i="4"/>
  <c r="J93" i="4" s="1"/>
  <c r="B91" i="4"/>
  <c r="J91" i="4" s="1"/>
  <c r="B106" i="4"/>
  <c r="J106" i="4" s="1"/>
  <c r="B100" i="4"/>
  <c r="J100" i="4" s="1"/>
  <c r="B92" i="4"/>
  <c r="J92" i="4" s="1"/>
  <c r="B90" i="4"/>
  <c r="J90" i="4" s="1"/>
  <c r="B89" i="4"/>
  <c r="J89" i="4" s="1"/>
  <c r="B108" i="4"/>
  <c r="J108" i="4" s="1"/>
  <c r="B102" i="4"/>
  <c r="J102" i="4" s="1"/>
  <c r="B96" i="4"/>
  <c r="J96" i="4" s="1"/>
  <c r="E103" i="7"/>
  <c r="G103" i="7" s="1"/>
  <c r="H102" i="7"/>
  <c r="I102" i="7" s="1"/>
  <c r="K17" i="8" s="1"/>
  <c r="E51" i="7"/>
  <c r="G50" i="7"/>
  <c r="H50" i="7" s="1"/>
  <c r="I50" i="7" s="1"/>
  <c r="E21" i="8" s="1"/>
  <c r="G76" i="7"/>
  <c r="H76" i="7" s="1"/>
  <c r="I76" i="7" s="1"/>
  <c r="H19" i="8" s="1"/>
  <c r="E77" i="7"/>
  <c r="G22" i="7"/>
  <c r="H22" i="7" s="1"/>
  <c r="I22" i="7" s="1"/>
  <c r="B21" i="8" s="1"/>
  <c r="E23" i="7"/>
  <c r="G144" i="2"/>
  <c r="B62" i="4"/>
  <c r="J62" i="4" s="1"/>
  <c r="B38" i="4"/>
  <c r="J38" i="4" s="1"/>
  <c r="F11" i="6" s="1"/>
  <c r="B50" i="4"/>
  <c r="J50" i="4" s="1"/>
  <c r="F23" i="6" s="1"/>
  <c r="B44" i="4"/>
  <c r="J44" i="4" s="1"/>
  <c r="F17" i="6" s="1"/>
  <c r="B63" i="4"/>
  <c r="J63" i="4" s="1"/>
  <c r="I8" i="6" s="1"/>
  <c r="I7" i="6" s="1"/>
  <c r="B71" i="4"/>
  <c r="J71" i="4" s="1"/>
  <c r="I16" i="6" s="1"/>
  <c r="B79" i="4"/>
  <c r="J79" i="4" s="1"/>
  <c r="I24" i="6" s="1"/>
  <c r="B70" i="4"/>
  <c r="J70" i="4" s="1"/>
  <c r="I15" i="6" s="1"/>
  <c r="B78" i="4"/>
  <c r="J78" i="4" s="1"/>
  <c r="I23" i="6" s="1"/>
  <c r="B37" i="4"/>
  <c r="J37" i="4" s="1"/>
  <c r="F10" i="6" s="1"/>
  <c r="B45" i="4"/>
  <c r="J45" i="4" s="1"/>
  <c r="F18" i="6" s="1"/>
  <c r="D57" i="4"/>
  <c r="B42" i="4"/>
  <c r="J42" i="4" s="1"/>
  <c r="F15" i="6" s="1"/>
  <c r="B36" i="4"/>
  <c r="J36" i="4" s="1"/>
  <c r="F9" i="6" s="1"/>
  <c r="B61" i="4"/>
  <c r="J61" i="4" s="1"/>
  <c r="I6" i="6" s="1"/>
  <c r="B69" i="4"/>
  <c r="J69" i="4" s="1"/>
  <c r="I14" i="6" s="1"/>
  <c r="B77" i="4"/>
  <c r="J77" i="4" s="1"/>
  <c r="I22" i="6" s="1"/>
  <c r="B68" i="4"/>
  <c r="J68" i="4" s="1"/>
  <c r="I13" i="6" s="1"/>
  <c r="B76" i="4"/>
  <c r="J76" i="4" s="1"/>
  <c r="I21" i="6" s="1"/>
  <c r="B35" i="4"/>
  <c r="J35" i="4" s="1"/>
  <c r="F8" i="6" s="1"/>
  <c r="F7" i="6" s="1"/>
  <c r="B43" i="4"/>
  <c r="J43" i="4" s="1"/>
  <c r="F16" i="6" s="1"/>
  <c r="B51" i="4"/>
  <c r="J51" i="4" s="1"/>
  <c r="F24" i="6" s="1"/>
  <c r="B46" i="4"/>
  <c r="J46" i="4" s="1"/>
  <c r="F19" i="6" s="1"/>
  <c r="B34" i="4"/>
  <c r="J34" i="4" s="1"/>
  <c r="B48" i="4"/>
  <c r="J48" i="4" s="1"/>
  <c r="F21" i="6" s="1"/>
  <c r="D29" i="4"/>
  <c r="B67" i="4"/>
  <c r="J67" i="4" s="1"/>
  <c r="I12" i="6" s="1"/>
  <c r="B75" i="4"/>
  <c r="J75" i="4" s="1"/>
  <c r="I20" i="6" s="1"/>
  <c r="B66" i="4"/>
  <c r="J66" i="4" s="1"/>
  <c r="I11" i="6" s="1"/>
  <c r="B74" i="4"/>
  <c r="J74" i="4" s="1"/>
  <c r="I19" i="6" s="1"/>
  <c r="B33" i="4"/>
  <c r="J33" i="4" s="1"/>
  <c r="F6" i="6" s="1"/>
  <c r="B41" i="4"/>
  <c r="J41" i="4" s="1"/>
  <c r="F14" i="6" s="1"/>
  <c r="B49" i="4"/>
  <c r="J49" i="4" s="1"/>
  <c r="F22" i="6" s="1"/>
  <c r="B40" i="4"/>
  <c r="J40" i="4" s="1"/>
  <c r="F13" i="6" s="1"/>
  <c r="B52" i="4"/>
  <c r="J52" i="4" s="1"/>
  <c r="F25" i="6" s="1"/>
  <c r="B65" i="4"/>
  <c r="J65" i="4" s="1"/>
  <c r="I10" i="6" s="1"/>
  <c r="B73" i="4"/>
  <c r="J73" i="4" s="1"/>
  <c r="I18" i="6" s="1"/>
  <c r="B64" i="4"/>
  <c r="J64" i="4" s="1"/>
  <c r="I9" i="6" s="1"/>
  <c r="B72" i="4"/>
  <c r="J72" i="4" s="1"/>
  <c r="I17" i="6" s="1"/>
  <c r="B80" i="4"/>
  <c r="J80" i="4" s="1"/>
  <c r="I25" i="6" s="1"/>
  <c r="B39" i="4"/>
  <c r="J39" i="4" s="1"/>
  <c r="F12" i="6" s="1"/>
  <c r="B47" i="4"/>
  <c r="J47" i="4" s="1"/>
  <c r="F20" i="6" s="1"/>
  <c r="E17" i="2"/>
  <c r="E19" i="2" s="1"/>
  <c r="D3" i="7" s="1"/>
  <c r="AL42" i="2"/>
  <c r="E75" i="4"/>
  <c r="G75" i="4" s="1"/>
  <c r="H74" i="4"/>
  <c r="I74" i="4" s="1"/>
  <c r="H19" i="6" s="1"/>
  <c r="E50" i="4"/>
  <c r="G50" i="4" s="1"/>
  <c r="H49" i="4"/>
  <c r="I49" i="4" s="1"/>
  <c r="E22" i="6" s="1"/>
  <c r="E21" i="1"/>
  <c r="F22" i="4"/>
  <c r="G22" i="4" s="1"/>
  <c r="H21" i="4"/>
  <c r="I21" i="4" s="1"/>
  <c r="B21" i="6" s="1"/>
  <c r="E24" i="4"/>
  <c r="E20" i="1"/>
  <c r="G101" i="4" l="1"/>
  <c r="H101" i="4" s="1"/>
  <c r="I101" i="4" s="1"/>
  <c r="E102" i="4"/>
  <c r="B109" i="7"/>
  <c r="J109" i="7" s="1"/>
  <c r="L24" i="8" s="1"/>
  <c r="B9" i="7"/>
  <c r="J9" i="7" s="1"/>
  <c r="B71" i="7"/>
  <c r="J71" i="7" s="1"/>
  <c r="I14" i="8" s="1"/>
  <c r="B8" i="7"/>
  <c r="J8" i="7" s="1"/>
  <c r="B37" i="7"/>
  <c r="J37" i="7" s="1"/>
  <c r="B53" i="7"/>
  <c r="J53" i="7" s="1"/>
  <c r="F24" i="8" s="1"/>
  <c r="B39" i="7"/>
  <c r="J39" i="7" s="1"/>
  <c r="F10" i="8" s="1"/>
  <c r="D59" i="7"/>
  <c r="B102" i="7"/>
  <c r="J102" i="7" s="1"/>
  <c r="L17" i="8" s="1"/>
  <c r="B91" i="7"/>
  <c r="J91" i="7" s="1"/>
  <c r="L6" i="8" s="1"/>
  <c r="B44" i="7"/>
  <c r="J44" i="7" s="1"/>
  <c r="F15" i="8" s="1"/>
  <c r="B52" i="7"/>
  <c r="J52" i="7" s="1"/>
  <c r="F23" i="8" s="1"/>
  <c r="B97" i="7"/>
  <c r="J97" i="7" s="1"/>
  <c r="L12" i="8" s="1"/>
  <c r="B105" i="7"/>
  <c r="J105" i="7" s="1"/>
  <c r="L20" i="8" s="1"/>
  <c r="B10" i="7"/>
  <c r="J10" i="7" s="1"/>
  <c r="C9" i="8" s="1"/>
  <c r="C8" i="8" s="1"/>
  <c r="C7" i="8" s="1"/>
  <c r="B14" i="7"/>
  <c r="J14" i="7" s="1"/>
  <c r="C13" i="8" s="1"/>
  <c r="B18" i="7"/>
  <c r="J18" i="7" s="1"/>
  <c r="C17" i="8" s="1"/>
  <c r="B22" i="7"/>
  <c r="J22" i="7" s="1"/>
  <c r="C21" i="8" s="1"/>
  <c r="B26" i="7"/>
  <c r="J26" i="7" s="1"/>
  <c r="C25" i="8" s="1"/>
  <c r="B66" i="7"/>
  <c r="J66" i="7" s="1"/>
  <c r="I9" i="8" s="1"/>
  <c r="I8" i="8" s="1"/>
  <c r="I7" i="8" s="1"/>
  <c r="B70" i="7"/>
  <c r="J70" i="7" s="1"/>
  <c r="I13" i="8" s="1"/>
  <c r="B74" i="7"/>
  <c r="J74" i="7" s="1"/>
  <c r="I17" i="8" s="1"/>
  <c r="B78" i="7"/>
  <c r="J78" i="7" s="1"/>
  <c r="I21" i="8" s="1"/>
  <c r="B82" i="7"/>
  <c r="J82" i="7" s="1"/>
  <c r="I25" i="8" s="1"/>
  <c r="B36" i="7"/>
  <c r="J36" i="7" s="1"/>
  <c r="B49" i="7"/>
  <c r="J49" i="7" s="1"/>
  <c r="F20" i="8" s="1"/>
  <c r="B92" i="7"/>
  <c r="J92" i="7" s="1"/>
  <c r="B51" i="7"/>
  <c r="J51" i="7" s="1"/>
  <c r="F22" i="8" s="1"/>
  <c r="B100" i="7"/>
  <c r="J100" i="7" s="1"/>
  <c r="L15" i="8" s="1"/>
  <c r="B110" i="7"/>
  <c r="J110" i="7" s="1"/>
  <c r="L25" i="8" s="1"/>
  <c r="B42" i="7"/>
  <c r="J42" i="7" s="1"/>
  <c r="F13" i="8" s="1"/>
  <c r="B50" i="7"/>
  <c r="J50" i="7" s="1"/>
  <c r="F21" i="8" s="1"/>
  <c r="B95" i="7"/>
  <c r="J95" i="7" s="1"/>
  <c r="L10" i="8" s="1"/>
  <c r="B103" i="7"/>
  <c r="J103" i="7" s="1"/>
  <c r="L18" i="8" s="1"/>
  <c r="B13" i="7"/>
  <c r="J13" i="7" s="1"/>
  <c r="C12" i="8" s="1"/>
  <c r="B17" i="7"/>
  <c r="J17" i="7" s="1"/>
  <c r="C16" i="8" s="1"/>
  <c r="B21" i="7"/>
  <c r="J21" i="7" s="1"/>
  <c r="C20" i="8" s="1"/>
  <c r="B25" i="7"/>
  <c r="J25" i="7" s="1"/>
  <c r="C24" i="8" s="1"/>
  <c r="B65" i="7"/>
  <c r="J65" i="7" s="1"/>
  <c r="B69" i="7"/>
  <c r="J69" i="7" s="1"/>
  <c r="I12" i="8" s="1"/>
  <c r="B73" i="7"/>
  <c r="J73" i="7" s="1"/>
  <c r="I16" i="8" s="1"/>
  <c r="B77" i="7"/>
  <c r="J77" i="7" s="1"/>
  <c r="I20" i="8" s="1"/>
  <c r="B81" i="7"/>
  <c r="J81" i="7" s="1"/>
  <c r="I24" i="8" s="1"/>
  <c r="D87" i="7"/>
  <c r="B45" i="7"/>
  <c r="J45" i="7" s="1"/>
  <c r="F16" i="8" s="1"/>
  <c r="B108" i="7"/>
  <c r="J108" i="7" s="1"/>
  <c r="L23" i="8" s="1"/>
  <c r="B47" i="7"/>
  <c r="J47" i="7" s="1"/>
  <c r="F18" i="8" s="1"/>
  <c r="B98" i="7"/>
  <c r="J98" i="7" s="1"/>
  <c r="L13" i="8" s="1"/>
  <c r="B106" i="7"/>
  <c r="J106" i="7" s="1"/>
  <c r="L21" i="8" s="1"/>
  <c r="B40" i="7"/>
  <c r="J40" i="7" s="1"/>
  <c r="F11" i="8" s="1"/>
  <c r="B48" i="7"/>
  <c r="J48" i="7" s="1"/>
  <c r="F19" i="8" s="1"/>
  <c r="B93" i="7"/>
  <c r="J93" i="7" s="1"/>
  <c r="B101" i="7"/>
  <c r="J101" i="7" s="1"/>
  <c r="L16" i="8" s="1"/>
  <c r="B12" i="7"/>
  <c r="J12" i="7" s="1"/>
  <c r="C11" i="8" s="1"/>
  <c r="B16" i="7"/>
  <c r="J16" i="7" s="1"/>
  <c r="C15" i="8" s="1"/>
  <c r="B20" i="7"/>
  <c r="J20" i="7" s="1"/>
  <c r="C19" i="8" s="1"/>
  <c r="B24" i="7"/>
  <c r="J24" i="7" s="1"/>
  <c r="C23" i="8" s="1"/>
  <c r="B64" i="7"/>
  <c r="J64" i="7" s="1"/>
  <c r="B68" i="7"/>
  <c r="J68" i="7" s="1"/>
  <c r="I11" i="8" s="1"/>
  <c r="B72" i="7"/>
  <c r="J72" i="7" s="1"/>
  <c r="I15" i="8" s="1"/>
  <c r="B76" i="7"/>
  <c r="J76" i="7" s="1"/>
  <c r="I19" i="8" s="1"/>
  <c r="B80" i="7"/>
  <c r="J80" i="7" s="1"/>
  <c r="I23" i="8" s="1"/>
  <c r="B35" i="7"/>
  <c r="J35" i="7" s="1"/>
  <c r="F6" i="8" s="1"/>
  <c r="B41" i="7"/>
  <c r="J41" i="7" s="1"/>
  <c r="F12" i="8" s="1"/>
  <c r="B94" i="7"/>
  <c r="J94" i="7" s="1"/>
  <c r="L9" i="8" s="1"/>
  <c r="L8" i="8" s="1"/>
  <c r="L7" i="8" s="1"/>
  <c r="B43" i="7"/>
  <c r="J43" i="7" s="1"/>
  <c r="F14" i="8" s="1"/>
  <c r="B96" i="7"/>
  <c r="J96" i="7" s="1"/>
  <c r="L11" i="8" s="1"/>
  <c r="B104" i="7"/>
  <c r="J104" i="7" s="1"/>
  <c r="L19" i="8" s="1"/>
  <c r="B38" i="7"/>
  <c r="J38" i="7" s="1"/>
  <c r="F9" i="8" s="1"/>
  <c r="F8" i="8" s="1"/>
  <c r="F7" i="8" s="1"/>
  <c r="B46" i="7"/>
  <c r="J46" i="7" s="1"/>
  <c r="F17" i="8" s="1"/>
  <c r="B54" i="7"/>
  <c r="J54" i="7" s="1"/>
  <c r="F25" i="8" s="1"/>
  <c r="B99" i="7"/>
  <c r="J99" i="7" s="1"/>
  <c r="L14" i="8" s="1"/>
  <c r="B107" i="7"/>
  <c r="J107" i="7" s="1"/>
  <c r="L22" i="8" s="1"/>
  <c r="B7" i="7"/>
  <c r="J7" i="7" s="1"/>
  <c r="C6" i="8" s="1"/>
  <c r="B11" i="7"/>
  <c r="J11" i="7" s="1"/>
  <c r="C10" i="8" s="1"/>
  <c r="B15" i="7"/>
  <c r="J15" i="7" s="1"/>
  <c r="C14" i="8" s="1"/>
  <c r="B19" i="7"/>
  <c r="J19" i="7" s="1"/>
  <c r="C18" i="8" s="1"/>
  <c r="B23" i="7"/>
  <c r="J23" i="7" s="1"/>
  <c r="C22" i="8" s="1"/>
  <c r="D31" i="7"/>
  <c r="B67" i="7"/>
  <c r="J67" i="7" s="1"/>
  <c r="I10" i="8" s="1"/>
  <c r="B75" i="7"/>
  <c r="J75" i="7" s="1"/>
  <c r="I18" i="8" s="1"/>
  <c r="B79" i="7"/>
  <c r="J79" i="7" s="1"/>
  <c r="I22" i="8" s="1"/>
  <c r="B63" i="7"/>
  <c r="J63" i="7" s="1"/>
  <c r="I6" i="8" s="1"/>
  <c r="E52" i="7"/>
  <c r="G51" i="7"/>
  <c r="H51" i="7" s="1"/>
  <c r="I51" i="7" s="1"/>
  <c r="E22" i="8" s="1"/>
  <c r="E104" i="7"/>
  <c r="G104" i="7" s="1"/>
  <c r="H103" i="7"/>
  <c r="I103" i="7" s="1"/>
  <c r="K18" i="8" s="1"/>
  <c r="G77" i="7"/>
  <c r="H77" i="7" s="1"/>
  <c r="I77" i="7" s="1"/>
  <c r="H20" i="8" s="1"/>
  <c r="E78" i="7"/>
  <c r="G23" i="7"/>
  <c r="H23" i="7" s="1"/>
  <c r="I23" i="7" s="1"/>
  <c r="B22" i="8" s="1"/>
  <c r="E24" i="7"/>
  <c r="E21" i="2"/>
  <c r="E20" i="2"/>
  <c r="E76" i="4"/>
  <c r="G76" i="4" s="1"/>
  <c r="H75" i="4"/>
  <c r="I75" i="4" s="1"/>
  <c r="H20" i="6" s="1"/>
  <c r="E51" i="4"/>
  <c r="G51" i="4" s="1"/>
  <c r="H50" i="4"/>
  <c r="I50" i="4" s="1"/>
  <c r="E23" i="6" s="1"/>
  <c r="B22" i="4"/>
  <c r="J22" i="4" s="1"/>
  <c r="C22" i="6" s="1"/>
  <c r="B13" i="4"/>
  <c r="J13" i="4" s="1"/>
  <c r="C13" i="6" s="1"/>
  <c r="B8" i="4"/>
  <c r="J8" i="4" s="1"/>
  <c r="C8" i="6" s="1"/>
  <c r="C7" i="6" s="1"/>
  <c r="B24" i="4"/>
  <c r="J24" i="4" s="1"/>
  <c r="C24" i="6" s="1"/>
  <c r="B19" i="4"/>
  <c r="J19" i="4" s="1"/>
  <c r="C19" i="6" s="1"/>
  <c r="B14" i="4"/>
  <c r="J14" i="4" s="1"/>
  <c r="C14" i="6" s="1"/>
  <c r="B25" i="4"/>
  <c r="J25" i="4" s="1"/>
  <c r="C25" i="6" s="1"/>
  <c r="B10" i="4"/>
  <c r="J10" i="4" s="1"/>
  <c r="C10" i="6" s="1"/>
  <c r="B21" i="4"/>
  <c r="J21" i="4" s="1"/>
  <c r="C21" i="6" s="1"/>
  <c r="B11" i="4"/>
  <c r="J11" i="4" s="1"/>
  <c r="C11" i="6" s="1"/>
  <c r="B17" i="4"/>
  <c r="J17" i="4" s="1"/>
  <c r="C17" i="6" s="1"/>
  <c r="B12" i="4"/>
  <c r="J12" i="4" s="1"/>
  <c r="C12" i="6" s="1"/>
  <c r="B7" i="4"/>
  <c r="J7" i="4" s="1"/>
  <c r="B23" i="4"/>
  <c r="J23" i="4" s="1"/>
  <c r="C23" i="6" s="1"/>
  <c r="B18" i="4"/>
  <c r="J18" i="4" s="1"/>
  <c r="C18" i="6" s="1"/>
  <c r="B9" i="4"/>
  <c r="J9" i="4" s="1"/>
  <c r="C9" i="6" s="1"/>
  <c r="B20" i="4"/>
  <c r="J20" i="4" s="1"/>
  <c r="C20" i="6" s="1"/>
  <c r="B15" i="4"/>
  <c r="J15" i="4" s="1"/>
  <c r="C15" i="6" s="1"/>
  <c r="B16" i="4"/>
  <c r="J16" i="4" s="1"/>
  <c r="C16" i="6" s="1"/>
  <c r="B6" i="4"/>
  <c r="J6" i="4" s="1"/>
  <c r="C6" i="6" s="1"/>
  <c r="F23" i="4"/>
  <c r="G23" i="4" s="1"/>
  <c r="H22" i="4"/>
  <c r="I22" i="4" s="1"/>
  <c r="B22" i="6" s="1"/>
  <c r="E25" i="4"/>
  <c r="G102" i="4" l="1"/>
  <c r="H102" i="4" s="1"/>
  <c r="I102" i="4" s="1"/>
  <c r="E103" i="4"/>
  <c r="E105" i="7"/>
  <c r="G105" i="7" s="1"/>
  <c r="H104" i="7"/>
  <c r="I104" i="7" s="1"/>
  <c r="K19" i="8" s="1"/>
  <c r="G24" i="7"/>
  <c r="H24" i="7" s="1"/>
  <c r="I24" i="7" s="1"/>
  <c r="B23" i="8" s="1"/>
  <c r="E25" i="7"/>
  <c r="E53" i="7"/>
  <c r="G52" i="7"/>
  <c r="H52" i="7" s="1"/>
  <c r="I52" i="7" s="1"/>
  <c r="E23" i="8" s="1"/>
  <c r="G78" i="7"/>
  <c r="H78" i="7" s="1"/>
  <c r="I78" i="7" s="1"/>
  <c r="H21" i="8" s="1"/>
  <c r="E79" i="7"/>
  <c r="E77" i="4"/>
  <c r="G77" i="4" s="1"/>
  <c r="H76" i="4"/>
  <c r="I76" i="4" s="1"/>
  <c r="H21" i="6" s="1"/>
  <c r="E52" i="4"/>
  <c r="H51" i="4"/>
  <c r="I51" i="4" s="1"/>
  <c r="E24" i="6" s="1"/>
  <c r="F24" i="4"/>
  <c r="G24" i="4" s="1"/>
  <c r="H23" i="4"/>
  <c r="I23" i="4" s="1"/>
  <c r="B23" i="6" s="1"/>
  <c r="G103" i="4" l="1"/>
  <c r="H103" i="4" s="1"/>
  <c r="I103" i="4" s="1"/>
  <c r="E104" i="4"/>
  <c r="G79" i="7"/>
  <c r="H79" i="7" s="1"/>
  <c r="I79" i="7" s="1"/>
  <c r="H22" i="8" s="1"/>
  <c r="E80" i="7"/>
  <c r="G25" i="7"/>
  <c r="H25" i="7" s="1"/>
  <c r="I25" i="7" s="1"/>
  <c r="B24" i="8" s="1"/>
  <c r="E26" i="7"/>
  <c r="G26" i="7" s="1"/>
  <c r="H26" i="7" s="1"/>
  <c r="I26" i="7" s="1"/>
  <c r="B25" i="8" s="1"/>
  <c r="E54" i="7"/>
  <c r="G54" i="7" s="1"/>
  <c r="H54" i="7" s="1"/>
  <c r="I54" i="7" s="1"/>
  <c r="E25" i="8" s="1"/>
  <c r="G53" i="7"/>
  <c r="H53" i="7" s="1"/>
  <c r="I53" i="7" s="1"/>
  <c r="E24" i="8" s="1"/>
  <c r="E106" i="7"/>
  <c r="G106" i="7" s="1"/>
  <c r="H105" i="7"/>
  <c r="I105" i="7" s="1"/>
  <c r="K20" i="8" s="1"/>
  <c r="H52" i="4"/>
  <c r="I52" i="4" s="1"/>
  <c r="E25" i="6" s="1"/>
  <c r="G52" i="4"/>
  <c r="E78" i="4"/>
  <c r="G78" i="4" s="1"/>
  <c r="H77" i="4"/>
  <c r="I77" i="4" s="1"/>
  <c r="H22" i="6" s="1"/>
  <c r="F25" i="4"/>
  <c r="H24" i="4"/>
  <c r="I24" i="4" s="1"/>
  <c r="B24" i="6" s="1"/>
  <c r="G104" i="4" l="1"/>
  <c r="H104" i="4" s="1"/>
  <c r="I104" i="4" s="1"/>
  <c r="E105" i="4"/>
  <c r="G80" i="7"/>
  <c r="H80" i="7" s="1"/>
  <c r="I80" i="7" s="1"/>
  <c r="H23" i="8" s="1"/>
  <c r="E81" i="7"/>
  <c r="E107" i="7"/>
  <c r="G107" i="7" s="1"/>
  <c r="H106" i="7"/>
  <c r="I106" i="7" s="1"/>
  <c r="K21" i="8" s="1"/>
  <c r="H78" i="4"/>
  <c r="I78" i="4" s="1"/>
  <c r="H23" i="6" s="1"/>
  <c r="E79" i="4"/>
  <c r="G79" i="4" s="1"/>
  <c r="G25" i="4"/>
  <c r="H25" i="4" s="1"/>
  <c r="I25" i="4" s="1"/>
  <c r="B25" i="6" s="1"/>
  <c r="G105" i="4" l="1"/>
  <c r="H105" i="4" s="1"/>
  <c r="I105" i="4" s="1"/>
  <c r="E106" i="4"/>
  <c r="G81" i="7"/>
  <c r="H81" i="7" s="1"/>
  <c r="I81" i="7" s="1"/>
  <c r="H24" i="8" s="1"/>
  <c r="E82" i="7"/>
  <c r="G82" i="7" s="1"/>
  <c r="H82" i="7" s="1"/>
  <c r="I82" i="7" s="1"/>
  <c r="H25" i="8" s="1"/>
  <c r="E108" i="7"/>
  <c r="G108" i="7" s="1"/>
  <c r="H107" i="7"/>
  <c r="I107" i="7" s="1"/>
  <c r="K22" i="8" s="1"/>
  <c r="E80" i="4"/>
  <c r="H79" i="4"/>
  <c r="I79" i="4" s="1"/>
  <c r="H24" i="6" s="1"/>
  <c r="G106" i="4" l="1"/>
  <c r="H106" i="4" s="1"/>
  <c r="I106" i="4" s="1"/>
  <c r="E107" i="4"/>
  <c r="E109" i="7"/>
  <c r="G109" i="7" s="1"/>
  <c r="H108" i="7"/>
  <c r="I108" i="7" s="1"/>
  <c r="K23" i="8" s="1"/>
  <c r="G80" i="4"/>
  <c r="H80" i="4" s="1"/>
  <c r="I80" i="4" s="1"/>
  <c r="H25" i="6" s="1"/>
  <c r="G107" i="4" l="1"/>
  <c r="H107" i="4" s="1"/>
  <c r="I107" i="4" s="1"/>
  <c r="E108" i="4"/>
  <c r="E110" i="7"/>
  <c r="H109" i="7"/>
  <c r="I109" i="7" s="1"/>
  <c r="K24" i="8" s="1"/>
  <c r="G110" i="7" l="1"/>
  <c r="H110" i="7" s="1"/>
  <c r="I110" i="7" s="1"/>
  <c r="K25" i="8" s="1"/>
  <c r="G108" i="4"/>
  <c r="H108" i="4" s="1"/>
  <c r="I108" i="4" s="1"/>
</calcChain>
</file>

<file path=xl/sharedStrings.xml><?xml version="1.0" encoding="utf-8"?>
<sst xmlns="http://schemas.openxmlformats.org/spreadsheetml/2006/main" count="613" uniqueCount="200">
  <si>
    <t>Road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</si>
  <si>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</si>
  <si>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</si>
  <si>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</si>
  <si>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</si>
  <si>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</si>
  <si>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</si>
  <si>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</si>
  <si>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</si>
  <si>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</si>
  <si>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</si>
  <si>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</si>
  <si>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Level Range</t>
  </si>
  <si>
    <t>Depth, H</t>
  </si>
  <si>
    <t>Density</t>
  </si>
  <si>
    <t>Action Load</t>
  </si>
  <si>
    <t>z</t>
  </si>
  <si>
    <t>z average</t>
  </si>
  <si>
    <t>a</t>
  </si>
  <si>
    <t>b</t>
  </si>
  <si>
    <t>a/z</t>
  </si>
  <si>
    <t>b/z</t>
  </si>
  <si>
    <t>I</t>
  </si>
  <si>
    <t>I*2</t>
  </si>
  <si>
    <t>dP</t>
  </si>
  <si>
    <t>Po'</t>
  </si>
  <si>
    <t>Po'+dP</t>
  </si>
  <si>
    <t>e0</t>
  </si>
  <si>
    <t>cv</t>
  </si>
  <si>
    <t>(cm2/s)</t>
  </si>
  <si>
    <t>Range H</t>
  </si>
  <si>
    <t>Cc/(1+e0)</t>
  </si>
  <si>
    <t>Pm'</t>
  </si>
  <si>
    <t>OCR</t>
  </si>
  <si>
    <t>Cc</t>
  </si>
  <si>
    <t>Cr</t>
  </si>
  <si>
    <t>Cr/(1+e0)</t>
  </si>
  <si>
    <t>log(Pm'/Po')</t>
  </si>
  <si>
    <t>log((Po'+dP)/Pm')</t>
  </si>
  <si>
    <t>log((Po'+dP)/Po')</t>
  </si>
  <si>
    <t>Case Po'+dP &lt; Pm'</t>
  </si>
  <si>
    <t>Case Po'+dP &gt; Pm'</t>
  </si>
  <si>
    <t>Overconso Sett.</t>
  </si>
  <si>
    <t>Normal Sett.</t>
  </si>
  <si>
    <t>(m)</t>
  </si>
  <si>
    <t>t/m2</t>
  </si>
  <si>
    <t>(t/m2)</t>
  </si>
  <si>
    <t>Total Sett.</t>
  </si>
  <si>
    <t>m</t>
  </si>
  <si>
    <t xml:space="preserve">Unit Weight </t>
  </si>
  <si>
    <t>t/m3</t>
  </si>
  <si>
    <t>DL</t>
  </si>
  <si>
    <t>LL</t>
  </si>
  <si>
    <t>Over Consolidation =</t>
  </si>
  <si>
    <t>Normally Consolidation =</t>
  </si>
  <si>
    <t>Total settlement=</t>
  </si>
  <si>
    <r>
      <rPr>
        <sz val="14"/>
        <color theme="1"/>
        <rFont val="Symbol"/>
        <family val="1"/>
        <charset val="2"/>
      </rPr>
      <t>g</t>
    </r>
    <r>
      <rPr>
        <sz val="14"/>
        <color theme="1"/>
        <rFont val="Calibri"/>
        <family val="2"/>
        <charset val="222"/>
        <scheme val="minor"/>
      </rPr>
      <t>' (t/m3)</t>
    </r>
  </si>
  <si>
    <t>Total Consolidation =</t>
  </si>
  <si>
    <t>Top Level</t>
  </si>
  <si>
    <t>Height of Compacted Soil</t>
  </si>
  <si>
    <t>Final Level =</t>
  </si>
  <si>
    <t>%</t>
  </si>
  <si>
    <t>wn</t>
  </si>
  <si>
    <t>CR</t>
  </si>
  <si>
    <t>Estimate Calculation of CR/RR</t>
  </si>
  <si>
    <t>Height Loss =</t>
  </si>
  <si>
    <t>Settlement</t>
  </si>
  <si>
    <t>CR=</t>
  </si>
  <si>
    <t>RR =</t>
  </si>
  <si>
    <t>Consolidation Data Input</t>
  </si>
  <si>
    <t>Thickness &amp; Level</t>
  </si>
  <si>
    <t>Factor</t>
  </si>
  <si>
    <t>Layer</t>
  </si>
  <si>
    <t>Action Load Input:</t>
  </si>
  <si>
    <t>Depth &amp; Unit weight</t>
  </si>
  <si>
    <t>Blue fonts = Input Data</t>
  </si>
  <si>
    <t>Brown fonts = Calculation Results</t>
  </si>
  <si>
    <t>Black fonts = Calculation Results</t>
  </si>
  <si>
    <t>Input</t>
  </si>
  <si>
    <t>Output</t>
  </si>
  <si>
    <t>Estimated Calculation of CR/ RR</t>
  </si>
  <si>
    <t>Influence factor</t>
  </si>
  <si>
    <t>RR=</t>
  </si>
  <si>
    <t>log
(Pm'/Po')</t>
  </si>
  <si>
    <t>log
((Po'+dP)/Pm')</t>
  </si>
  <si>
    <t>log
((Po'+dP)/Po')</t>
  </si>
  <si>
    <t>Normal
 Sett.</t>
  </si>
  <si>
    <t>Total 
Sett.</t>
  </si>
  <si>
    <t>Over
conso. Sett.</t>
  </si>
  <si>
    <t>Total Settlement</t>
  </si>
  <si>
    <t>Settement</t>
  </si>
  <si>
    <t>U (%)</t>
  </si>
  <si>
    <t>Tv</t>
  </si>
  <si>
    <r>
      <t>Cv (cm</t>
    </r>
    <r>
      <rPr>
        <b/>
        <vertAlign val="superscript"/>
        <sz val="16"/>
        <color theme="1"/>
        <rFont val="TH SarabunPSK"/>
        <family val="2"/>
      </rPr>
      <t>2</t>
    </r>
    <r>
      <rPr>
        <b/>
        <sz val="16"/>
        <color theme="1"/>
        <rFont val="TH SarabunPSK"/>
        <family val="2"/>
      </rPr>
      <t>/sec)</t>
    </r>
  </si>
  <si>
    <t>t (sec)</t>
  </si>
  <si>
    <t>Time (days)</t>
  </si>
  <si>
    <t>Time (years)</t>
  </si>
  <si>
    <t>Original Level</t>
  </si>
  <si>
    <t>Total Settlement:</t>
  </si>
  <si>
    <t>Case:</t>
  </si>
  <si>
    <r>
      <t>Consolidation Settlement Prediction (From BH-3</t>
    </r>
    <r>
      <rPr>
        <b/>
        <sz val="20"/>
        <color theme="1"/>
        <rFont val="TH SarabunPSK"/>
        <family val="2"/>
      </rPr>
      <t>)</t>
    </r>
  </si>
  <si>
    <t>H(m)</t>
  </si>
  <si>
    <t>settlement</t>
  </si>
  <si>
    <t>Case: Road LL 2 T/m2, +2.75m</t>
  </si>
  <si>
    <t>Case: Road LL 2 T/m2, +4.10m</t>
  </si>
  <si>
    <t>Case: Road LL 2 T/m2, +5.70m</t>
  </si>
  <si>
    <t>Case: Land Fill LL 0.5 T/m2, +2.75m</t>
  </si>
  <si>
    <t>Case: Land Fill LL 0.5 T/m2, +4.10m</t>
  </si>
  <si>
    <t>Case: Land Fill LL 0.5 T/m2, +2,55m</t>
  </si>
  <si>
    <t>(Over Conso)</t>
  </si>
  <si>
    <t>(Normal Conso)</t>
  </si>
  <si>
    <t>Se = A1.A2.q0.B/Es</t>
  </si>
  <si>
    <t>A1 =</t>
  </si>
  <si>
    <t>A2 =</t>
  </si>
  <si>
    <t>q0 =</t>
  </si>
  <si>
    <t>B =</t>
  </si>
  <si>
    <t>Reference: Janbu et al (1956)</t>
  </si>
  <si>
    <t>H =</t>
  </si>
  <si>
    <t>Su =</t>
  </si>
  <si>
    <t>H/B =</t>
  </si>
  <si>
    <t>Df/B =</t>
  </si>
  <si>
    <t>L/B =</t>
  </si>
  <si>
    <t>Se =</t>
  </si>
  <si>
    <t>Drain path:</t>
  </si>
  <si>
    <t>direction</t>
  </si>
  <si>
    <t>calculation</t>
  </si>
  <si>
    <t>actual</t>
  </si>
  <si>
    <t>Time Year</t>
  </si>
  <si>
    <t>Settlemt</t>
  </si>
  <si>
    <t>GRAPH Present</t>
  </si>
  <si>
    <t>Time</t>
  </si>
  <si>
    <t>Sett</t>
  </si>
  <si>
    <t>Cv =</t>
  </si>
  <si>
    <t>Estimated Calculation</t>
  </si>
  <si>
    <t>U%</t>
  </si>
  <si>
    <t>Actual Settlement</t>
  </si>
  <si>
    <t>A</t>
  </si>
  <si>
    <t>B</t>
  </si>
  <si>
    <t>C</t>
  </si>
  <si>
    <t>immediat sett.=</t>
  </si>
  <si>
    <t>Data Set 1</t>
  </si>
  <si>
    <t>Data Set 2</t>
  </si>
  <si>
    <t>Data Set 3</t>
  </si>
  <si>
    <t>Data Set 4</t>
  </si>
  <si>
    <t>Immediat Settlement Calculation</t>
  </si>
  <si>
    <t>RR/CR</t>
  </si>
  <si>
    <t>D</t>
  </si>
  <si>
    <t>Data Set 5</t>
  </si>
  <si>
    <t>Date: 4 Dec 2013</t>
  </si>
  <si>
    <t>Consolidation Data 1</t>
  </si>
  <si>
    <t>Consolidation Data 2</t>
  </si>
  <si>
    <t>Consolidation Data 3 &amp; Summary Settlement</t>
  </si>
  <si>
    <t>Es = 250 Su =</t>
  </si>
  <si>
    <t>Landfill 100*100 m</t>
  </si>
  <si>
    <t>AA</t>
  </si>
  <si>
    <t>BB</t>
  </si>
  <si>
    <t>CC</t>
  </si>
  <si>
    <t>DD</t>
  </si>
  <si>
    <t>Case: Road , +2.75m</t>
  </si>
  <si>
    <t>Case: Road , +4.10m</t>
  </si>
  <si>
    <t>Case: Road , +5.70m</t>
  </si>
  <si>
    <t>Case: Land Fill , +2.75m</t>
  </si>
  <si>
    <t>Case: Land Fill , +4.10m</t>
  </si>
  <si>
    <t>Case: Land Fill LL , +2,55m</t>
  </si>
  <si>
    <t>Case: Road, +5.70m</t>
  </si>
  <si>
    <t>Case: Land Fill, +2.75m</t>
  </si>
  <si>
    <t>Case: Land Fill LL, +4.10m</t>
  </si>
  <si>
    <t>Case: Land Fill LL, +2,55m</t>
  </si>
  <si>
    <t>Case: Road, +2.75m</t>
  </si>
  <si>
    <t>Case: Road, +4.10m</t>
  </si>
  <si>
    <t>Case: Land Fill, +4.10m</t>
  </si>
  <si>
    <t>Case: Land Fill, +2,55m</t>
  </si>
  <si>
    <t>Landfill</t>
  </si>
  <si>
    <t>Settlement Analysis for Landfill concept</t>
  </si>
  <si>
    <t>Cv (cm2/s)=</t>
  </si>
  <si>
    <t>Case: Land Fil, +2.75m</t>
  </si>
  <si>
    <t>Landfill 
Level</t>
  </si>
  <si>
    <t>Landfill
Thickness</t>
  </si>
  <si>
    <t xml:space="preserve">  - Original Ground Level</t>
  </si>
  <si>
    <t>Increment
Load</t>
  </si>
  <si>
    <t>Immediat
Settlement</t>
  </si>
  <si>
    <t>Primary
Conso.</t>
  </si>
  <si>
    <t>Total
 Settlement</t>
  </si>
  <si>
    <t>T/m2</t>
  </si>
  <si>
    <t>No.</t>
  </si>
  <si>
    <t>Settlement estimation for Landfill 100*100 m</t>
  </si>
  <si>
    <t>Final Level</t>
  </si>
  <si>
    <t>Case: Over Consolidation Ratio = 1 (Normally Consolidation)</t>
  </si>
  <si>
    <t>This settlement below is too high if the soil is considered to be normallly soil</t>
  </si>
  <si>
    <t>Landfill Thick Loss</t>
  </si>
  <si>
    <r>
      <t>I</t>
    </r>
    <r>
      <rPr>
        <vertAlign val="subscript"/>
        <sz val="14"/>
        <color theme="1"/>
        <rFont val="Calibri"/>
        <family val="2"/>
        <scheme val="minor"/>
      </rPr>
      <t>1</t>
    </r>
  </si>
  <si>
    <r>
      <t>I</t>
    </r>
    <r>
      <rPr>
        <vertAlign val="subscript"/>
        <sz val="14"/>
        <color theme="1"/>
        <rFont val="Calibri"/>
        <family val="2"/>
        <scheme val="minor"/>
      </rPr>
      <t>2</t>
    </r>
  </si>
  <si>
    <r>
      <t>I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charset val="222"/>
        <scheme val="minor"/>
      </rPr>
      <t>+I</t>
    </r>
    <r>
      <rPr>
        <vertAlign val="subscript"/>
        <sz val="14"/>
        <color theme="1"/>
        <rFont val="Calibri"/>
        <family val="2"/>
        <scheme val="minor"/>
      </rPr>
      <t>2</t>
    </r>
  </si>
  <si>
    <t>Date: 29 Jan, 2014</t>
  </si>
  <si>
    <t>for primary conso.</t>
  </si>
  <si>
    <t>Settlement Analysis for Road concept</t>
  </si>
  <si>
    <t>from somkiat k.</t>
  </si>
  <si>
    <t>แบ่งดินเป็น 11 ชั้น (A0-A11)</t>
  </si>
  <si>
    <t>ตารางมองไปทางขวา คือสูตรคำนวณ ==========&gt;&gt;&gt;&gt;&gt;&gt;&gt;&gt;&gt;</t>
  </si>
  <si>
    <t>vertical for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</si>
</sst>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0.000"/>
    <numFmt numFmtId="167" formatCode="0.0E+00"/>
    <numFmt numFmtId="168" formatCode="_-* #,##0.000_-;\-* #,##0.000_-;_-* &quot;-&quot;??_-;_-@_-"/>
    <numFmt numFmtId="169" formatCode="0.0000"/>
  </numFmts>
  <fonts count="22">
    <font>
      <sz val="14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4"/>
      <color rgb="FF0070C0"/>
      <name val="Calibri"/>
      <family val="2"/>
      <charset val="222"/>
      <scheme val="minor"/>
    </font>
    <font>
      <sz val="14"/>
      <color theme="9" tint="-0.499984740745262"/>
      <name val="Calibri"/>
      <family val="2"/>
      <charset val="222"/>
      <scheme val="minor"/>
    </font>
    <font>
      <sz val="16"/>
      <color rgb="FF0070C0"/>
      <name val="Calibri"/>
      <family val="2"/>
      <charset val="222"/>
      <scheme val="minor"/>
    </font>
    <font>
      <sz val="14"/>
      <name val="Calibri"/>
      <family val="2"/>
      <charset val="222"/>
      <scheme val="minor"/>
    </font>
    <font>
      <sz val="14"/>
      <color theme="1"/>
      <name val="Symbol"/>
      <family val="1"/>
      <charset val="2"/>
    </font>
    <font>
      <b/>
      <sz val="14"/>
      <color rgb="FF0070C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u/>
      <sz val="14"/>
      <color theme="1"/>
      <name val="Calibri"/>
      <family val="2"/>
      <charset val="222"/>
      <scheme val="minor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70C0"/>
      <name val="TH SarabunPSK"/>
      <family val="2"/>
    </font>
    <font>
      <sz val="16"/>
      <color theme="9" tint="-0.499984740745262"/>
      <name val="TH SarabunPSK"/>
      <family val="2"/>
    </font>
    <font>
      <sz val="16"/>
      <name val="TH SarabunPSK"/>
      <family val="2"/>
    </font>
    <font>
      <sz val="14"/>
      <color rgb="FF002060"/>
      <name val="Calibri"/>
      <family val="2"/>
      <charset val="222"/>
      <scheme val="minor"/>
    </font>
    <font>
      <sz val="14"/>
      <color rgb="FFFF0000"/>
      <name val="Calibri"/>
      <family val="2"/>
      <charset val="222"/>
      <scheme val="minor"/>
    </font>
    <font>
      <b/>
      <sz val="20"/>
      <color rgb="FF0070C0"/>
      <name val="TH SarabunPSK"/>
      <family val="2"/>
    </font>
    <font>
      <b/>
      <sz val="14"/>
      <color rgb="FF00206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5" fontId="3" fillId="0" borderId="0" xfId="0" applyNumberFormat="1" applyFon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2" fontId="2" fillId="0" borderId="10" xfId="0" applyNumberFormat="1" applyFont="1" applyBorder="1"/>
    <xf numFmtId="2" fontId="3" fillId="0" borderId="10" xfId="0" applyNumberFormat="1" applyFont="1" applyBorder="1"/>
    <xf numFmtId="166" fontId="2" fillId="0" borderId="10" xfId="0" applyNumberFormat="1" applyFont="1" applyBorder="1"/>
    <xf numFmtId="166" fontId="3" fillId="0" borderId="10" xfId="0" applyNumberFormat="1" applyFont="1" applyBorder="1"/>
    <xf numFmtId="2" fontId="5" fillId="2" borderId="10" xfId="0" applyNumberFormat="1" applyFont="1" applyFill="1" applyBorder="1"/>
    <xf numFmtId="2" fontId="0" fillId="2" borderId="10" xfId="0" applyNumberFormat="1" applyFill="1" applyBorder="1"/>
    <xf numFmtId="0" fontId="2" fillId="0" borderId="10" xfId="0" applyFont="1" applyBorder="1"/>
    <xf numFmtId="167" fontId="2" fillId="0" borderId="10" xfId="0" applyNumberFormat="1" applyFont="1" applyBorder="1"/>
    <xf numFmtId="166" fontId="0" fillId="0" borderId="10" xfId="0" applyNumberFormat="1" applyBorder="1"/>
    <xf numFmtId="168" fontId="0" fillId="0" borderId="10" xfId="1" applyNumberFormat="1" applyFont="1" applyBorder="1"/>
    <xf numFmtId="164" fontId="0" fillId="0" borderId="10" xfId="0" applyNumberFormat="1" applyBorder="1"/>
    <xf numFmtId="0" fontId="3" fillId="0" borderId="10" xfId="0" applyFont="1" applyBorder="1"/>
    <xf numFmtId="0" fontId="0" fillId="3" borderId="10" xfId="0" applyFill="1" applyBorder="1"/>
    <xf numFmtId="0" fontId="0" fillId="0" borderId="11" xfId="0" applyBorder="1"/>
    <xf numFmtId="2" fontId="0" fillId="0" borderId="12" xfId="0" applyNumberFormat="1" applyBorder="1"/>
    <xf numFmtId="0" fontId="2" fillId="0" borderId="12" xfId="0" applyFont="1" applyBorder="1"/>
    <xf numFmtId="0" fontId="3" fillId="0" borderId="12" xfId="0" applyFont="1" applyBorder="1"/>
    <xf numFmtId="0" fontId="0" fillId="0" borderId="12" xfId="0" applyBorder="1"/>
    <xf numFmtId="2" fontId="3" fillId="0" borderId="12" xfId="0" applyNumberFormat="1" applyFont="1" applyBorder="1"/>
    <xf numFmtId="166" fontId="2" fillId="0" borderId="12" xfId="0" applyNumberFormat="1" applyFont="1" applyBorder="1"/>
    <xf numFmtId="166" fontId="3" fillId="0" borderId="12" xfId="0" applyNumberFormat="1" applyFont="1" applyBorder="1"/>
    <xf numFmtId="2" fontId="0" fillId="0" borderId="0" xfId="0" applyNumberFormat="1" applyBorder="1"/>
    <xf numFmtId="0" fontId="2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/>
    <xf numFmtId="166" fontId="2" fillId="0" borderId="0" xfId="0" applyNumberFormat="1" applyFont="1" applyBorder="1"/>
    <xf numFmtId="166" fontId="3" fillId="0" borderId="0" xfId="0" applyNumberFormat="1" applyFont="1" applyBorder="1"/>
    <xf numFmtId="0" fontId="0" fillId="0" borderId="12" xfId="0" applyFill="1" applyBorder="1"/>
    <xf numFmtId="0" fontId="0" fillId="0" borderId="0" xfId="0" applyFill="1" applyBorder="1"/>
    <xf numFmtId="2" fontId="5" fillId="0" borderId="10" xfId="0" applyNumberFormat="1" applyFont="1" applyFill="1" applyBorder="1"/>
    <xf numFmtId="2" fontId="0" fillId="0" borderId="10" xfId="0" applyNumberFormat="1" applyFill="1" applyBorder="1"/>
    <xf numFmtId="2" fontId="5" fillId="0" borderId="12" xfId="0" applyNumberFormat="1" applyFont="1" applyFill="1" applyBorder="1"/>
    <xf numFmtId="2" fontId="0" fillId="0" borderId="12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/>
    <xf numFmtId="2" fontId="3" fillId="0" borderId="11" xfId="0" applyNumberFormat="1" applyFont="1" applyBorder="1"/>
    <xf numFmtId="164" fontId="8" fillId="2" borderId="8" xfId="0" applyNumberFormat="1" applyFont="1" applyFill="1" applyBorder="1"/>
    <xf numFmtId="0" fontId="3" fillId="0" borderId="11" xfId="0" applyFont="1" applyBorder="1"/>
    <xf numFmtId="0" fontId="0" fillId="0" borderId="14" xfId="0" applyBorder="1"/>
    <xf numFmtId="0" fontId="0" fillId="0" borderId="15" xfId="0" applyBorder="1"/>
    <xf numFmtId="164" fontId="8" fillId="0" borderId="10" xfId="0" applyNumberFormat="1" applyFont="1" applyBorder="1"/>
    <xf numFmtId="164" fontId="8" fillId="2" borderId="10" xfId="0" applyNumberFormat="1" applyFont="1" applyFill="1" applyBorder="1"/>
    <xf numFmtId="2" fontId="2" fillId="0" borderId="0" xfId="0" applyNumberFormat="1" applyFont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164" fontId="8" fillId="2" borderId="1" xfId="0" applyNumberFormat="1" applyFont="1" applyFill="1" applyBorder="1"/>
    <xf numFmtId="164" fontId="3" fillId="4" borderId="0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Fill="1" applyBorder="1"/>
    <xf numFmtId="0" fontId="0" fillId="0" borderId="27" xfId="0" applyBorder="1"/>
    <xf numFmtId="0" fontId="0" fillId="0" borderId="29" xfId="0" applyFill="1" applyBorder="1"/>
    <xf numFmtId="0" fontId="2" fillId="0" borderId="30" xfId="0" applyFont="1" applyBorder="1"/>
    <xf numFmtId="0" fontId="0" fillId="0" borderId="30" xfId="0" applyBorder="1"/>
    <xf numFmtId="0" fontId="0" fillId="5" borderId="10" xfId="0" applyFill="1" applyBorder="1" applyAlignment="1">
      <alignment horizontal="center"/>
    </xf>
    <xf numFmtId="0" fontId="0" fillId="2" borderId="10" xfId="0" applyFill="1" applyBorder="1"/>
    <xf numFmtId="0" fontId="9" fillId="0" borderId="0" xfId="0" applyFont="1"/>
    <xf numFmtId="164" fontId="0" fillId="0" borderId="0" xfId="1" applyFont="1"/>
    <xf numFmtId="164" fontId="0" fillId="0" borderId="10" xfId="1" applyFont="1" applyBorder="1"/>
    <xf numFmtId="164" fontId="0" fillId="0" borderId="10" xfId="1" applyFont="1" applyBorder="1" applyAlignment="1">
      <alignment horizontal="center"/>
    </xf>
    <xf numFmtId="164" fontId="0" fillId="0" borderId="23" xfId="1" applyFont="1" applyBorder="1"/>
    <xf numFmtId="164" fontId="0" fillId="0" borderId="13" xfId="1" applyFont="1" applyBorder="1"/>
    <xf numFmtId="164" fontId="0" fillId="0" borderId="11" xfId="1" applyFont="1" applyBorder="1"/>
    <xf numFmtId="164" fontId="0" fillId="6" borderId="10" xfId="1" applyFont="1" applyFill="1" applyBorder="1"/>
    <xf numFmtId="0" fontId="0" fillId="6" borderId="22" xfId="0" applyFill="1" applyBorder="1" applyAlignment="1">
      <alignment horizontal="center"/>
    </xf>
    <xf numFmtId="168" fontId="0" fillId="6" borderId="22" xfId="0" applyNumberFormat="1" applyFill="1" applyBorder="1" applyAlignment="1">
      <alignment horizontal="center" wrapText="1"/>
    </xf>
    <xf numFmtId="0" fontId="0" fillId="6" borderId="14" xfId="0" applyFill="1" applyBorder="1" applyAlignment="1">
      <alignment horizontal="center"/>
    </xf>
    <xf numFmtId="168" fontId="0" fillId="6" borderId="14" xfId="0" applyNumberFormat="1" applyFill="1" applyBorder="1"/>
    <xf numFmtId="168" fontId="0" fillId="6" borderId="14" xfId="0" applyNumberFormat="1" applyFill="1" applyBorder="1" applyAlignment="1">
      <alignment horizontal="center"/>
    </xf>
    <xf numFmtId="164" fontId="2" fillId="0" borderId="10" xfId="1" applyFont="1" applyBorder="1"/>
    <xf numFmtId="164" fontId="3" fillId="0" borderId="10" xfId="1" applyFont="1" applyBorder="1"/>
    <xf numFmtId="164" fontId="4" fillId="0" borderId="10" xfId="1" applyFont="1" applyBorder="1"/>
    <xf numFmtId="164" fontId="7" fillId="2" borderId="1" xfId="1" applyFont="1" applyFill="1" applyBorder="1"/>
    <xf numFmtId="164" fontId="2" fillId="0" borderId="0" xfId="1" applyFont="1" applyBorder="1"/>
    <xf numFmtId="164" fontId="3" fillId="0" borderId="0" xfId="1" applyFont="1" applyBorder="1"/>
    <xf numFmtId="164" fontId="3" fillId="0" borderId="8" xfId="1" applyFont="1" applyBorder="1"/>
    <xf numFmtId="164" fontId="2" fillId="0" borderId="27" xfId="1" applyFont="1" applyBorder="1"/>
    <xf numFmtId="0" fontId="0" fillId="6" borderId="14" xfId="0" applyFill="1" applyBorder="1"/>
    <xf numFmtId="0" fontId="0" fillId="6" borderId="19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8" xfId="0" applyFill="1" applyBorder="1" applyAlignment="1">
      <alignment horizontal="right"/>
    </xf>
    <xf numFmtId="0" fontId="0" fillId="6" borderId="14" xfId="0" applyFill="1" applyBorder="1" applyAlignment="1">
      <alignment horizontal="right"/>
    </xf>
    <xf numFmtId="0" fontId="0" fillId="6" borderId="31" xfId="0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0" fontId="0" fillId="6" borderId="24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5" fillId="0" borderId="0" xfId="0" applyNumberFormat="1" applyFont="1" applyBorder="1"/>
    <xf numFmtId="0" fontId="10" fillId="0" borderId="0" xfId="0" applyFont="1" applyBorder="1" applyAlignment="1"/>
    <xf numFmtId="0" fontId="11" fillId="0" borderId="3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3" fillId="0" borderId="14" xfId="0" applyFont="1" applyBorder="1"/>
    <xf numFmtId="169" fontId="13" fillId="0" borderId="14" xfId="0" applyNumberFormat="1" applyFont="1" applyBorder="1"/>
    <xf numFmtId="1" fontId="13" fillId="0" borderId="14" xfId="0" applyNumberFormat="1" applyFont="1" applyBorder="1"/>
    <xf numFmtId="0" fontId="13" fillId="0" borderId="10" xfId="0" applyFont="1" applyBorder="1"/>
    <xf numFmtId="169" fontId="13" fillId="0" borderId="10" xfId="0" applyNumberFormat="1" applyFont="1" applyBorder="1"/>
    <xf numFmtId="2" fontId="13" fillId="0" borderId="16" xfId="0" applyNumberFormat="1" applyFont="1" applyBorder="1"/>
    <xf numFmtId="0" fontId="13" fillId="0" borderId="17" xfId="0" applyFont="1" applyBorder="1"/>
    <xf numFmtId="169" fontId="13" fillId="0" borderId="17" xfId="0" applyNumberFormat="1" applyFont="1" applyBorder="1"/>
    <xf numFmtId="166" fontId="7" fillId="0" borderId="10" xfId="0" applyNumberFormat="1" applyFont="1" applyBorder="1"/>
    <xf numFmtId="167" fontId="0" fillId="0" borderId="10" xfId="1" applyNumberFormat="1" applyFont="1" applyBorder="1"/>
    <xf numFmtId="1" fontId="13" fillId="0" borderId="35" xfId="0" applyNumberFormat="1" applyFont="1" applyBorder="1" applyAlignment="1">
      <alignment horizontal="center"/>
    </xf>
    <xf numFmtId="2" fontId="13" fillId="0" borderId="35" xfId="0" applyNumberFormat="1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0" fontId="14" fillId="0" borderId="14" xfId="0" applyFont="1" applyBorder="1"/>
    <xf numFmtId="2" fontId="14" fillId="0" borderId="14" xfId="0" applyNumberFormat="1" applyFont="1" applyBorder="1"/>
    <xf numFmtId="2" fontId="0" fillId="0" borderId="0" xfId="0" applyNumberFormat="1"/>
    <xf numFmtId="0" fontId="11" fillId="0" borderId="0" xfId="0" applyFont="1" applyFill="1" applyBorder="1" applyAlignment="1">
      <alignment horizontal="center"/>
    </xf>
    <xf numFmtId="2" fontId="15" fillId="0" borderId="34" xfId="0" applyNumberFormat="1" applyFont="1" applyBorder="1"/>
    <xf numFmtId="2" fontId="15" fillId="0" borderId="20" xfId="0" applyNumberFormat="1" applyFont="1" applyBorder="1"/>
    <xf numFmtId="2" fontId="16" fillId="0" borderId="14" xfId="0" applyNumberFormat="1" applyFont="1" applyBorder="1"/>
    <xf numFmtId="0" fontId="16" fillId="0" borderId="14" xfId="0" applyFont="1" applyBorder="1"/>
    <xf numFmtId="0" fontId="17" fillId="0" borderId="0" xfId="0" applyFont="1"/>
    <xf numFmtId="0" fontId="17" fillId="2" borderId="10" xfId="0" applyFont="1" applyFill="1" applyBorder="1"/>
    <xf numFmtId="0" fontId="10" fillId="0" borderId="8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9" fontId="0" fillId="0" borderId="0" xfId="2" applyFont="1"/>
    <xf numFmtId="0" fontId="17" fillId="6" borderId="0" xfId="0" applyFont="1" applyFill="1"/>
    <xf numFmtId="164" fontId="2" fillId="0" borderId="0" xfId="0" applyNumberFormat="1" applyFont="1"/>
    <xf numFmtId="166" fontId="18" fillId="0" borderId="10" xfId="0" applyNumberFormat="1" applyFont="1" applyBorder="1"/>
    <xf numFmtId="164" fontId="0" fillId="2" borderId="0" xfId="0" applyNumberFormat="1" applyFill="1"/>
    <xf numFmtId="0" fontId="0" fillId="0" borderId="30" xfId="0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11" fontId="14" fillId="0" borderId="14" xfId="0" applyNumberFormat="1" applyFont="1" applyBorder="1"/>
    <xf numFmtId="0" fontId="0" fillId="0" borderId="0" xfId="0" applyAlignment="1">
      <alignment horizontal="right"/>
    </xf>
    <xf numFmtId="0" fontId="0" fillId="0" borderId="26" xfId="0" applyBorder="1"/>
    <xf numFmtId="0" fontId="0" fillId="0" borderId="29" xfId="0" applyBorder="1"/>
    <xf numFmtId="0" fontId="0" fillId="2" borderId="0" xfId="0" applyFill="1"/>
    <xf numFmtId="2" fontId="0" fillId="7" borderId="0" xfId="0" applyNumberFormat="1" applyFill="1"/>
    <xf numFmtId="0" fontId="0" fillId="0" borderId="0" xfId="0" applyFill="1"/>
    <xf numFmtId="11" fontId="0" fillId="0" borderId="9" xfId="0" applyNumberForma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/>
    </xf>
    <xf numFmtId="164" fontId="0" fillId="2" borderId="1" xfId="0" applyNumberFormat="1" applyFill="1" applyBorder="1"/>
    <xf numFmtId="0" fontId="19" fillId="2" borderId="8" xfId="0" applyFont="1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2" fontId="2" fillId="10" borderId="38" xfId="0" applyNumberFormat="1" applyFont="1" applyFill="1" applyBorder="1"/>
    <xf numFmtId="2" fontId="2" fillId="10" borderId="39" xfId="0" applyNumberFormat="1" applyFont="1" applyFill="1" applyBorder="1"/>
    <xf numFmtId="0" fontId="0" fillId="9" borderId="22" xfId="0" applyFill="1" applyBorder="1" applyAlignment="1">
      <alignment horizontal="center"/>
    </xf>
    <xf numFmtId="0" fontId="0" fillId="9" borderId="14" xfId="0" applyFill="1" applyBorder="1"/>
    <xf numFmtId="166" fontId="7" fillId="11" borderId="10" xfId="0" applyNumberFormat="1" applyFont="1" applyFill="1" applyBorder="1"/>
    <xf numFmtId="166" fontId="2" fillId="11" borderId="10" xfId="0" applyNumberFormat="1" applyFont="1" applyFill="1" applyBorder="1"/>
    <xf numFmtId="164" fontId="0" fillId="11" borderId="10" xfId="1" applyFont="1" applyFill="1" applyBorder="1"/>
    <xf numFmtId="0" fontId="2" fillId="0" borderId="11" xfId="0" applyFont="1" applyBorder="1"/>
    <xf numFmtId="166" fontId="0" fillId="0" borderId="0" xfId="0" applyNumberFormat="1" applyBorder="1"/>
    <xf numFmtId="164" fontId="0" fillId="2" borderId="37" xfId="0" applyNumberFormat="1" applyFill="1" applyBorder="1"/>
    <xf numFmtId="0" fontId="11" fillId="11" borderId="20" xfId="0" applyFont="1" applyFill="1" applyBorder="1" applyAlignment="1">
      <alignment horizontal="center"/>
    </xf>
    <xf numFmtId="0" fontId="11" fillId="11" borderId="42" xfId="0" applyFont="1" applyFill="1" applyBorder="1" applyAlignment="1">
      <alignment horizontal="center"/>
    </xf>
    <xf numFmtId="0" fontId="0" fillId="11" borderId="20" xfId="0" applyFill="1" applyBorder="1"/>
    <xf numFmtId="2" fontId="0" fillId="11" borderId="42" xfId="0" applyNumberFormat="1" applyFill="1" applyBorder="1"/>
    <xf numFmtId="2" fontId="0" fillId="11" borderId="20" xfId="0" applyNumberFormat="1" applyFill="1" applyBorder="1"/>
    <xf numFmtId="0" fontId="0" fillId="11" borderId="42" xfId="0" applyFill="1" applyBorder="1"/>
    <xf numFmtId="2" fontId="0" fillId="11" borderId="16" xfId="0" applyNumberFormat="1" applyFill="1" applyBorder="1"/>
    <xf numFmtId="0" fontId="0" fillId="11" borderId="36" xfId="0" applyFill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0" fillId="0" borderId="29" xfId="0" applyFont="1" applyBorder="1" applyAlignment="1"/>
    <xf numFmtId="0" fontId="19" fillId="0" borderId="27" xfId="0" applyFont="1" applyBorder="1" applyAlignment="1">
      <alignment horizontal="center"/>
    </xf>
    <xf numFmtId="0" fontId="0" fillId="11" borderId="26" xfId="0" applyFill="1" applyBorder="1"/>
    <xf numFmtId="0" fontId="0" fillId="11" borderId="27" xfId="0" applyFill="1" applyBorder="1"/>
    <xf numFmtId="0" fontId="0" fillId="11" borderId="29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0" xfId="0" applyFill="1" applyBorder="1"/>
    <xf numFmtId="11" fontId="0" fillId="0" borderId="0" xfId="0" applyNumberFormat="1"/>
    <xf numFmtId="2" fontId="0" fillId="8" borderId="10" xfId="0" applyNumberFormat="1" applyFill="1" applyBorder="1"/>
    <xf numFmtId="0" fontId="0" fillId="8" borderId="10" xfId="0" applyFill="1" applyBorder="1"/>
    <xf numFmtId="0" fontId="0" fillId="0" borderId="10" xfId="0" applyFill="1" applyBorder="1"/>
    <xf numFmtId="11" fontId="0" fillId="11" borderId="6" xfId="0" applyNumberFormat="1" applyFill="1" applyBorder="1"/>
    <xf numFmtId="2" fontId="0" fillId="0" borderId="14" xfId="0" applyNumberFormat="1" applyBorder="1"/>
    <xf numFmtId="0" fontId="0" fillId="0" borderId="32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33" xfId="0" applyBorder="1" applyAlignment="1">
      <alignment horizontal="right"/>
    </xf>
    <xf numFmtId="164" fontId="8" fillId="0" borderId="0" xfId="0" applyNumberFormat="1" applyFont="1"/>
    <xf numFmtId="0" fontId="0" fillId="0" borderId="24" xfId="0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23" xfId="0" applyBorder="1"/>
    <xf numFmtId="2" fontId="0" fillId="0" borderId="23" xfId="0" applyNumberFormat="1" applyBorder="1"/>
    <xf numFmtId="2" fontId="3" fillId="0" borderId="10" xfId="0" applyNumberFormat="1" applyFont="1" applyBorder="1" applyAlignment="1">
      <alignment horizontal="center"/>
    </xf>
    <xf numFmtId="10" fontId="3" fillId="0" borderId="10" xfId="2" applyNumberFormat="1" applyFont="1" applyBorder="1" applyAlignment="1">
      <alignment horizontal="center"/>
    </xf>
    <xf numFmtId="164" fontId="20" fillId="2" borderId="8" xfId="0" applyNumberFormat="1" applyFont="1" applyFill="1" applyBorder="1"/>
    <xf numFmtId="0" fontId="0" fillId="12" borderId="0" xfId="0" applyFill="1"/>
    <xf numFmtId="0" fontId="0" fillId="12" borderId="22" xfId="0" applyFill="1" applyBorder="1"/>
    <xf numFmtId="0" fontId="0" fillId="12" borderId="13" xfId="0" applyFill="1" applyBorder="1"/>
    <xf numFmtId="0" fontId="0" fillId="12" borderId="23" xfId="0" applyFill="1" applyBorder="1"/>
    <xf numFmtId="2" fontId="0" fillId="12" borderId="23" xfId="0" applyNumberFormat="1" applyFill="1" applyBorder="1"/>
    <xf numFmtId="0" fontId="0" fillId="12" borderId="11" xfId="0" applyFill="1" applyBorder="1"/>
    <xf numFmtId="0" fontId="0" fillId="12" borderId="24" xfId="0" applyFill="1" applyBorder="1" applyAlignment="1">
      <alignment horizontal="center"/>
    </xf>
    <xf numFmtId="0" fontId="0" fillId="12" borderId="24" xfId="0" applyFill="1" applyBorder="1" applyAlignment="1">
      <alignment horizontal="center" wrapText="1"/>
    </xf>
    <xf numFmtId="0" fontId="0" fillId="12" borderId="14" xfId="0" applyFill="1" applyBorder="1"/>
    <xf numFmtId="0" fontId="0" fillId="12" borderId="14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2" fontId="0" fillId="12" borderId="10" xfId="0" applyNumberFormat="1" applyFill="1" applyBorder="1" applyAlignment="1">
      <alignment horizontal="center"/>
    </xf>
    <xf numFmtId="2" fontId="3" fillId="12" borderId="10" xfId="0" applyNumberFormat="1" applyFont="1" applyFill="1" applyBorder="1" applyAlignment="1">
      <alignment horizontal="center"/>
    </xf>
    <xf numFmtId="10" fontId="3" fillId="12" borderId="10" xfId="2" applyNumberFormat="1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4" xfId="0" applyFill="1" applyBorder="1"/>
    <xf numFmtId="0" fontId="0" fillId="10" borderId="2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4" xfId="0" applyFill="1" applyBorder="1"/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1" borderId="4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'3Time Settlement Dike'!$I$6:$I$25</c:f>
              <c:numCache>
                <c:formatCode>0.00</c:formatCode>
                <c:ptCount val="20"/>
                <c:pt idx="0">
                  <c:v>0</c:v>
                </c:pt>
                <c:pt idx="1">
                  <c:v>9.0599405667898827E-2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'3Time Settlement Dike'!$J$6:$J$25</c:f>
              <c:numCache>
                <c:formatCode>0.00</c:formatCode>
                <c:ptCount val="20"/>
                <c:pt idx="0">
                  <c:v>0</c:v>
                </c:pt>
                <c:pt idx="1">
                  <c:v>-9.7947820793349002E-2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68064"/>
        <c:axId val="118569600"/>
      </c:scatterChart>
      <c:valAx>
        <c:axId val="118568064"/>
        <c:scaling>
          <c:orientation val="minMax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nextTo"/>
        <c:crossAx val="118569600"/>
        <c:crosses val="autoZero"/>
        <c:crossBetween val="midCat"/>
      </c:valAx>
      <c:valAx>
        <c:axId val="118569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568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'3Time Settlement Dike'!$I$6:$I$25</c:f>
              <c:numCache>
                <c:formatCode>0.00</c:formatCode>
                <c:ptCount val="20"/>
                <c:pt idx="0">
                  <c:v>0</c:v>
                </c:pt>
                <c:pt idx="1">
                  <c:v>9.0599405667898827E-2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'3Time Settlement Dike'!$J$6:$J$25</c:f>
              <c:numCache>
                <c:formatCode>0.00</c:formatCode>
                <c:ptCount val="20"/>
                <c:pt idx="0">
                  <c:v>0</c:v>
                </c:pt>
                <c:pt idx="1">
                  <c:v>-9.7947820793349002E-2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99296"/>
        <c:axId val="119930880"/>
      </c:scatterChart>
      <c:valAx>
        <c:axId val="11899929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19930880"/>
        <c:crosses val="autoZero"/>
        <c:crossBetween val="midCat"/>
      </c:valAx>
      <c:valAx>
        <c:axId val="119930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999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49843034326585E-2"/>
          <c:y val="8.0453041195937505E-2"/>
          <c:w val="0.8998919252740466"/>
          <c:h val="0.83909391760812624"/>
        </c:manualLayout>
      </c:layout>
      <c:scatterChart>
        <c:scatterStyle val="smoothMarker"/>
        <c:varyColors val="0"/>
        <c:ser>
          <c:idx val="0"/>
          <c:order val="0"/>
          <c:tx>
            <c:v>Cv Set1 =7e-4 cm2/sec</c:v>
          </c:tx>
          <c:xVal>
            <c:numRef>
              <c:f>'4graph road'!$B$6:$B$25</c:f>
              <c:numCache>
                <c:formatCode>0.00</c:formatCode>
                <c:ptCount val="20"/>
                <c:pt idx="0">
                  <c:v>0</c:v>
                </c:pt>
                <c:pt idx="1">
                  <c:v>0.35333768210480543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'4graph road'!$C$6:$C$25</c:f>
              <c:numCache>
                <c:formatCode>0.00</c:formatCode>
                <c:ptCount val="20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ser>
          <c:idx val="1"/>
          <c:order val="1"/>
          <c:tx>
            <c:v>Cv set2 = 2.5 e -4 cm2/sec</c:v>
          </c:tx>
          <c:xVal>
            <c:numRef>
              <c:f>'4graph road'!$E$6:$E$25</c:f>
              <c:numCache>
                <c:formatCode>0.00</c:formatCode>
                <c:ptCount val="20"/>
                <c:pt idx="0">
                  <c:v>0</c:v>
                </c:pt>
                <c:pt idx="1">
                  <c:v>0.98934550989345504</c:v>
                </c:pt>
                <c:pt idx="2">
                  <c:v>0.98934550989345504</c:v>
                </c:pt>
                <c:pt idx="3">
                  <c:v>2.2450532724505328</c:v>
                </c:pt>
                <c:pt idx="4">
                  <c:v>3.9827498731608313</c:v>
                </c:pt>
                <c:pt idx="5">
                  <c:v>6.2278031456113654</c:v>
                </c:pt>
                <c:pt idx="6">
                  <c:v>8.9675291730086251</c:v>
                </c:pt>
                <c:pt idx="7">
                  <c:v>12.201927955352613</c:v>
                </c:pt>
                <c:pt idx="8">
                  <c:v>15.981735159817351</c:v>
                </c:pt>
                <c:pt idx="9">
                  <c:v>20.167427701674278</c:v>
                </c:pt>
                <c:pt idx="10">
                  <c:v>24.987316083206494</c:v>
                </c:pt>
                <c:pt idx="11">
                  <c:v>30.314561136478947</c:v>
                </c:pt>
                <c:pt idx="12">
                  <c:v>36.276002029426685</c:v>
                </c:pt>
                <c:pt idx="13">
                  <c:v>43.378995433789953</c:v>
                </c:pt>
                <c:pt idx="14">
                  <c:v>51.116184677828514</c:v>
                </c:pt>
                <c:pt idx="15">
                  <c:v>60.502283105022826</c:v>
                </c:pt>
                <c:pt idx="16">
                  <c:v>71.917808219178085</c:v>
                </c:pt>
                <c:pt idx="17">
                  <c:v>85.48959918822932</c:v>
                </c:pt>
                <c:pt idx="18">
                  <c:v>107.55961440892949</c:v>
                </c:pt>
                <c:pt idx="19">
                  <c:v>143.20142059868087</c:v>
                </c:pt>
              </c:numCache>
            </c:numRef>
          </c:xVal>
          <c:yVal>
            <c:numRef>
              <c:f>'4graph road'!$F$6:$F$25</c:f>
              <c:numCache>
                <c:formatCode>0.00</c:formatCode>
                <c:ptCount val="20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ser>
          <c:idx val="2"/>
          <c:order val="2"/>
          <c:tx>
            <c:v>Cv set3= 2.5e-3 cm2/sec</c:v>
          </c:tx>
          <c:xVal>
            <c:numRef>
              <c:f>'4graph road'!$H$6:$H$25</c:f>
              <c:numCache>
                <c:formatCode>0.00</c:formatCode>
                <c:ptCount val="20"/>
                <c:pt idx="0">
                  <c:v>0</c:v>
                </c:pt>
                <c:pt idx="1">
                  <c:v>9.8934550989345518E-2</c:v>
                </c:pt>
                <c:pt idx="2">
                  <c:v>9.8934550989345518E-2</c:v>
                </c:pt>
                <c:pt idx="3">
                  <c:v>0.22450532724505326</c:v>
                </c:pt>
                <c:pt idx="4">
                  <c:v>0.39827498731608318</c:v>
                </c:pt>
                <c:pt idx="5">
                  <c:v>0.62278031456113647</c:v>
                </c:pt>
                <c:pt idx="6">
                  <c:v>0.8967529173008626</c:v>
                </c:pt>
                <c:pt idx="7">
                  <c:v>1.2201927955352614</c:v>
                </c:pt>
                <c:pt idx="8">
                  <c:v>1.5981735159817352</c:v>
                </c:pt>
                <c:pt idx="9">
                  <c:v>2.0167427701674274</c:v>
                </c:pt>
                <c:pt idx="10">
                  <c:v>2.4987316083206497</c:v>
                </c:pt>
                <c:pt idx="11">
                  <c:v>3.0314561136478946</c:v>
                </c:pt>
                <c:pt idx="12">
                  <c:v>3.627600202942669</c:v>
                </c:pt>
                <c:pt idx="13">
                  <c:v>4.3378995433789953</c:v>
                </c:pt>
                <c:pt idx="14">
                  <c:v>5.1116184677828507</c:v>
                </c:pt>
                <c:pt idx="15">
                  <c:v>6.0502283105022832</c:v>
                </c:pt>
                <c:pt idx="16">
                  <c:v>7.1917808219178081</c:v>
                </c:pt>
                <c:pt idx="17">
                  <c:v>8.5489599188229324</c:v>
                </c:pt>
                <c:pt idx="18">
                  <c:v>10.755961440892948</c:v>
                </c:pt>
                <c:pt idx="19">
                  <c:v>14.320142059868088</c:v>
                </c:pt>
              </c:numCache>
            </c:numRef>
          </c:xVal>
          <c:yVal>
            <c:numRef>
              <c:f>'4graph road'!$I$6:$I$25</c:f>
              <c:numCache>
                <c:formatCode>0.00</c:formatCode>
                <c:ptCount val="20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52192"/>
        <c:axId val="119753728"/>
      </c:scatterChart>
      <c:valAx>
        <c:axId val="11975219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19753728"/>
        <c:crosses val="autoZero"/>
        <c:crossBetween val="midCat"/>
      </c:valAx>
      <c:valAx>
        <c:axId val="1197537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97521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753348710750698"/>
          <c:y val="0.21772354461534144"/>
          <c:w val="0.2069298106320164"/>
          <c:h val="0.460036543632149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5011698478684E-2"/>
          <c:y val="5.3830419023782022E-2"/>
          <c:w val="0.91719294332897605"/>
          <c:h val="0.89233916195243512"/>
        </c:manualLayout>
      </c:layout>
      <c:scatterChart>
        <c:scatterStyle val="smoothMarker"/>
        <c:varyColors val="0"/>
        <c:ser>
          <c:idx val="0"/>
          <c:order val="0"/>
          <c:tx>
            <c:v>Cv set1 Cv=0.0007</c:v>
          </c:tx>
          <c:xVal>
            <c:numRef>
              <c:f>'4graph road'!$B$6:$B$16</c:f>
              <c:numCache>
                <c:formatCode>0.00</c:formatCode>
                <c:ptCount val="11"/>
                <c:pt idx="0">
                  <c:v>0</c:v>
                </c:pt>
                <c:pt idx="1">
                  <c:v>0.35333768210480543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</c:numCache>
            </c:numRef>
          </c:xVal>
          <c:yVal>
            <c:numRef>
              <c:f>'4graph road'!$C$6:$C$16</c:f>
              <c:numCache>
                <c:formatCode>0.00</c:formatCode>
                <c:ptCount val="11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</c:numCache>
            </c:numRef>
          </c:yVal>
          <c:smooth val="1"/>
        </c:ser>
        <c:ser>
          <c:idx val="1"/>
          <c:order val="1"/>
          <c:tx>
            <c:v>Cv set2= 2.5 e -4 cm2/sec</c:v>
          </c:tx>
          <c:xVal>
            <c:numRef>
              <c:f>'4graph road'!$E$6:$E$16</c:f>
              <c:numCache>
                <c:formatCode>0.00</c:formatCode>
                <c:ptCount val="11"/>
                <c:pt idx="0">
                  <c:v>0</c:v>
                </c:pt>
                <c:pt idx="1">
                  <c:v>0.98934550989345504</c:v>
                </c:pt>
                <c:pt idx="2">
                  <c:v>0.98934550989345504</c:v>
                </c:pt>
                <c:pt idx="3">
                  <c:v>2.2450532724505328</c:v>
                </c:pt>
                <c:pt idx="4">
                  <c:v>3.9827498731608313</c:v>
                </c:pt>
                <c:pt idx="5">
                  <c:v>6.2278031456113654</c:v>
                </c:pt>
                <c:pt idx="6">
                  <c:v>8.9675291730086251</c:v>
                </c:pt>
                <c:pt idx="7">
                  <c:v>12.201927955352613</c:v>
                </c:pt>
                <c:pt idx="8">
                  <c:v>15.981735159817351</c:v>
                </c:pt>
                <c:pt idx="9">
                  <c:v>20.167427701674278</c:v>
                </c:pt>
                <c:pt idx="10">
                  <c:v>24.987316083206494</c:v>
                </c:pt>
              </c:numCache>
            </c:numRef>
          </c:xVal>
          <c:yVal>
            <c:numRef>
              <c:f>'4graph road'!$F$6:$F$16</c:f>
              <c:numCache>
                <c:formatCode>0.00</c:formatCode>
                <c:ptCount val="11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</c:numCache>
            </c:numRef>
          </c:yVal>
          <c:smooth val="1"/>
        </c:ser>
        <c:ser>
          <c:idx val="2"/>
          <c:order val="2"/>
          <c:tx>
            <c:v>Cv set3 = 2.5e-3 cm2/sec</c:v>
          </c:tx>
          <c:xVal>
            <c:numRef>
              <c:f>'4graph road'!$H$6:$H$16</c:f>
              <c:numCache>
                <c:formatCode>0.00</c:formatCode>
                <c:ptCount val="11"/>
                <c:pt idx="0">
                  <c:v>0</c:v>
                </c:pt>
                <c:pt idx="1">
                  <c:v>9.8934550989345518E-2</c:v>
                </c:pt>
                <c:pt idx="2">
                  <c:v>9.8934550989345518E-2</c:v>
                </c:pt>
                <c:pt idx="3">
                  <c:v>0.22450532724505326</c:v>
                </c:pt>
                <c:pt idx="4">
                  <c:v>0.39827498731608318</c:v>
                </c:pt>
                <c:pt idx="5">
                  <c:v>0.62278031456113647</c:v>
                </c:pt>
                <c:pt idx="6">
                  <c:v>0.8967529173008626</c:v>
                </c:pt>
                <c:pt idx="7">
                  <c:v>1.2201927955352614</c:v>
                </c:pt>
                <c:pt idx="8">
                  <c:v>1.5981735159817352</c:v>
                </c:pt>
                <c:pt idx="9">
                  <c:v>2.0167427701674274</c:v>
                </c:pt>
                <c:pt idx="10">
                  <c:v>2.4987316083206497</c:v>
                </c:pt>
              </c:numCache>
            </c:numRef>
          </c:xVal>
          <c:yVal>
            <c:numRef>
              <c:f>'4graph road'!$I$6:$I$16</c:f>
              <c:numCache>
                <c:formatCode>0.00</c:formatCode>
                <c:ptCount val="11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64416"/>
        <c:axId val="119965952"/>
      </c:scatterChart>
      <c:valAx>
        <c:axId val="11996441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19965952"/>
        <c:crosses val="autoZero"/>
        <c:crossBetween val="midCat"/>
      </c:valAx>
      <c:valAx>
        <c:axId val="119965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9964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372742724340147"/>
          <c:y val="0.17584572761738121"/>
          <c:w val="0.19169919178604886"/>
          <c:h val="0.5590325167687372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40857392825898"/>
          <c:y val="5.1400554097404488E-2"/>
          <c:w val="0.82545581802274715"/>
          <c:h val="0.89719889180519152"/>
        </c:manualLayout>
      </c:layout>
      <c:scatterChart>
        <c:scatterStyle val="smoothMarker"/>
        <c:varyColors val="0"/>
        <c:ser>
          <c:idx val="0"/>
          <c:order val="0"/>
          <c:tx>
            <c:v>Cv Set3 = 2.5e-3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'4graph road'!$H$6:$H$25</c:f>
              <c:numCache>
                <c:formatCode>0.00</c:formatCode>
                <c:ptCount val="20"/>
                <c:pt idx="0">
                  <c:v>0</c:v>
                </c:pt>
                <c:pt idx="1">
                  <c:v>9.8934550989345518E-2</c:v>
                </c:pt>
                <c:pt idx="2">
                  <c:v>9.8934550989345518E-2</c:v>
                </c:pt>
                <c:pt idx="3">
                  <c:v>0.22450532724505326</c:v>
                </c:pt>
                <c:pt idx="4">
                  <c:v>0.39827498731608318</c:v>
                </c:pt>
                <c:pt idx="5">
                  <c:v>0.62278031456113647</c:v>
                </c:pt>
                <c:pt idx="6">
                  <c:v>0.8967529173008626</c:v>
                </c:pt>
                <c:pt idx="7">
                  <c:v>1.2201927955352614</c:v>
                </c:pt>
                <c:pt idx="8">
                  <c:v>1.5981735159817352</c:v>
                </c:pt>
                <c:pt idx="9">
                  <c:v>2.0167427701674274</c:v>
                </c:pt>
                <c:pt idx="10">
                  <c:v>2.4987316083206497</c:v>
                </c:pt>
                <c:pt idx="11">
                  <c:v>3.0314561136478946</c:v>
                </c:pt>
                <c:pt idx="12">
                  <c:v>3.627600202942669</c:v>
                </c:pt>
                <c:pt idx="13">
                  <c:v>4.3378995433789953</c:v>
                </c:pt>
                <c:pt idx="14">
                  <c:v>5.1116184677828507</c:v>
                </c:pt>
                <c:pt idx="15">
                  <c:v>6.0502283105022832</c:v>
                </c:pt>
                <c:pt idx="16">
                  <c:v>7.1917808219178081</c:v>
                </c:pt>
                <c:pt idx="17">
                  <c:v>8.5489599188229324</c:v>
                </c:pt>
                <c:pt idx="18">
                  <c:v>10.755961440892948</c:v>
                </c:pt>
                <c:pt idx="19">
                  <c:v>14.320142059868088</c:v>
                </c:pt>
              </c:numCache>
            </c:numRef>
          </c:xVal>
          <c:yVal>
            <c:numRef>
              <c:f>'4graph road'!$I$6:$I$25</c:f>
              <c:numCache>
                <c:formatCode>0.00</c:formatCode>
                <c:ptCount val="20"/>
                <c:pt idx="0">
                  <c:v>0</c:v>
                </c:pt>
                <c:pt idx="1">
                  <c:v>-0.116710041586698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84480"/>
        <c:axId val="119690752"/>
      </c:scatterChart>
      <c:valAx>
        <c:axId val="119684480"/>
        <c:scaling>
          <c:orientation val="minMax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nextTo"/>
        <c:crossAx val="119690752"/>
        <c:crosses val="autoZero"/>
        <c:crossBetween val="midCat"/>
      </c:valAx>
      <c:valAx>
        <c:axId val="119690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9684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243635441909063"/>
          <c:y val="0.28956330458692664"/>
          <c:w val="0.13285960873701647"/>
          <c:h val="0.1981889763779527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'3Time Settlement Dike'!$I$6:$I$25</c:f>
              <c:numCache>
                <c:formatCode>0.00</c:formatCode>
                <c:ptCount val="20"/>
                <c:pt idx="0">
                  <c:v>0</c:v>
                </c:pt>
                <c:pt idx="1">
                  <c:v>9.0599405667898827E-2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'3Time Settlement Dike'!$J$6:$J$25</c:f>
              <c:numCache>
                <c:formatCode>0.00</c:formatCode>
                <c:ptCount val="20"/>
                <c:pt idx="0">
                  <c:v>0</c:v>
                </c:pt>
                <c:pt idx="1">
                  <c:v>-9.7947820793349002E-2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45792"/>
        <c:axId val="120147328"/>
      </c:scatterChart>
      <c:valAx>
        <c:axId val="120145792"/>
        <c:scaling>
          <c:orientation val="minMax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nextTo"/>
        <c:crossAx val="120147328"/>
        <c:crosses val="autoZero"/>
        <c:crossBetween val="midCat"/>
      </c:valAx>
      <c:valAx>
        <c:axId val="1201473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145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'3Time Settlement Dike'!$I$6:$I$25</c:f>
              <c:numCache>
                <c:formatCode>0.00</c:formatCode>
                <c:ptCount val="20"/>
                <c:pt idx="0">
                  <c:v>0</c:v>
                </c:pt>
                <c:pt idx="1">
                  <c:v>9.0599405667898827E-2</c:v>
                </c:pt>
                <c:pt idx="2">
                  <c:v>0.35333768210480543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'3Time Settlement Dike'!$J$6:$J$25</c:f>
              <c:numCache>
                <c:formatCode>0.00</c:formatCode>
                <c:ptCount val="20"/>
                <c:pt idx="0">
                  <c:v>0</c:v>
                </c:pt>
                <c:pt idx="1">
                  <c:v>-9.7947820793349002E-2</c:v>
                </c:pt>
                <c:pt idx="2">
                  <c:v>-0.116710041586698</c:v>
                </c:pt>
                <c:pt idx="3">
                  <c:v>-0.13547226238004698</c:v>
                </c:pt>
                <c:pt idx="4">
                  <c:v>-0.154234483173396</c:v>
                </c:pt>
                <c:pt idx="5">
                  <c:v>-0.17299670396674499</c:v>
                </c:pt>
                <c:pt idx="6">
                  <c:v>-0.19175892476009396</c:v>
                </c:pt>
                <c:pt idx="7">
                  <c:v>-0.21052114555344298</c:v>
                </c:pt>
                <c:pt idx="8">
                  <c:v>-0.22928336634679197</c:v>
                </c:pt>
                <c:pt idx="9">
                  <c:v>-0.24804558714014097</c:v>
                </c:pt>
                <c:pt idx="10">
                  <c:v>-0.26680780793348996</c:v>
                </c:pt>
                <c:pt idx="11">
                  <c:v>-0.28557002872683895</c:v>
                </c:pt>
                <c:pt idx="12">
                  <c:v>-0.30433224952018789</c:v>
                </c:pt>
                <c:pt idx="13">
                  <c:v>-0.32309447031353694</c:v>
                </c:pt>
                <c:pt idx="14">
                  <c:v>-0.34185669110688593</c:v>
                </c:pt>
                <c:pt idx="15">
                  <c:v>-0.36061891190023493</c:v>
                </c:pt>
                <c:pt idx="16">
                  <c:v>-0.37938113269358392</c:v>
                </c:pt>
                <c:pt idx="17">
                  <c:v>-0.39814335348693292</c:v>
                </c:pt>
                <c:pt idx="18">
                  <c:v>-0.41690557428028191</c:v>
                </c:pt>
                <c:pt idx="19">
                  <c:v>-0.4356677950736309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67040"/>
        <c:axId val="120181120"/>
      </c:scatterChart>
      <c:valAx>
        <c:axId val="12016704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20181120"/>
        <c:crosses val="autoZero"/>
        <c:crossBetween val="midCat"/>
      </c:valAx>
      <c:valAx>
        <c:axId val="120181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167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49843034326585E-2"/>
          <c:y val="8.0453041195937505E-2"/>
          <c:w val="0.8998919252740466"/>
          <c:h val="0.83909391760812679"/>
        </c:manualLayout>
      </c:layout>
      <c:scatterChart>
        <c:scatterStyle val="smoothMarker"/>
        <c:varyColors val="0"/>
        <c:ser>
          <c:idx val="0"/>
          <c:order val="0"/>
          <c:tx>
            <c:v>Cv Set1 =7e-4 cm2/sec</c:v>
          </c:tx>
          <c:xVal>
            <c:numRef>
              <c:f>'9Graph Landfill'!$B$6:$B$25</c:f>
              <c:numCache>
                <c:formatCode>0.00</c:formatCode>
                <c:ptCount val="20"/>
                <c:pt idx="0">
                  <c:v>0</c:v>
                </c:pt>
                <c:pt idx="1">
                  <c:v>0.80180474016090464</c:v>
                </c:pt>
                <c:pt idx="2">
                  <c:v>0.80180474016090464</c:v>
                </c:pt>
                <c:pt idx="3">
                  <c:v>0.80180474016090464</c:v>
                </c:pt>
                <c:pt idx="4">
                  <c:v>1.4224106689860112</c:v>
                </c:pt>
                <c:pt idx="5">
                  <c:v>2.2242154091469164</c:v>
                </c:pt>
                <c:pt idx="6">
                  <c:v>3.2026889903602234</c:v>
                </c:pt>
                <c:pt idx="7">
                  <c:v>4.3578314126259334</c:v>
                </c:pt>
                <c:pt idx="8">
                  <c:v>5.7077625570776256</c:v>
                </c:pt>
                <c:pt idx="9">
                  <c:v>7.2026527505979558</c:v>
                </c:pt>
                <c:pt idx="10">
                  <c:v>8.9240414582880323</c:v>
                </c:pt>
                <c:pt idx="11">
                  <c:v>10.826628977313907</c:v>
                </c:pt>
                <c:pt idx="12">
                  <c:v>12.955715010509532</c:v>
                </c:pt>
                <c:pt idx="13">
                  <c:v>15.492498369210701</c:v>
                </c:pt>
                <c:pt idx="14">
                  <c:v>18.255780242081613</c:v>
                </c:pt>
                <c:pt idx="15">
                  <c:v>21.607958251793871</c:v>
                </c:pt>
                <c:pt idx="16">
                  <c:v>25.684931506849313</c:v>
                </c:pt>
                <c:pt idx="17">
                  <c:v>30.531999710081905</c:v>
                </c:pt>
                <c:pt idx="18">
                  <c:v>38.414148003189105</c:v>
                </c:pt>
                <c:pt idx="19">
                  <c:v>51.143364499528893</c:v>
                </c:pt>
              </c:numCache>
            </c:numRef>
          </c:xVal>
          <c:yVal>
            <c:numRef>
              <c:f>'9Graph Landfill'!$C$6:$C$25</c:f>
              <c:numCache>
                <c:formatCode>0.00</c:formatCode>
                <c:ptCount val="20"/>
                <c:pt idx="0">
                  <c:v>0</c:v>
                </c:pt>
                <c:pt idx="1">
                  <c:v>-0.16912956709491067</c:v>
                </c:pt>
                <c:pt idx="2">
                  <c:v>-0.16912956709491067</c:v>
                </c:pt>
                <c:pt idx="3">
                  <c:v>-0.16912956709491067</c:v>
                </c:pt>
                <c:pt idx="4">
                  <c:v>-0.2021060894598809</c:v>
                </c:pt>
                <c:pt idx="5">
                  <c:v>-0.23508261182485113</c:v>
                </c:pt>
                <c:pt idx="6">
                  <c:v>-0.26805913418982136</c:v>
                </c:pt>
                <c:pt idx="7">
                  <c:v>-0.30103565655479159</c:v>
                </c:pt>
                <c:pt idx="8">
                  <c:v>-0.33401217891976182</c:v>
                </c:pt>
                <c:pt idx="9">
                  <c:v>-0.36698870128473204</c:v>
                </c:pt>
                <c:pt idx="10">
                  <c:v>-0.39996522364970227</c:v>
                </c:pt>
                <c:pt idx="11">
                  <c:v>-0.4329417460146725</c:v>
                </c:pt>
                <c:pt idx="12">
                  <c:v>-0.46591826837964273</c:v>
                </c:pt>
                <c:pt idx="13">
                  <c:v>-0.49889479074461296</c:v>
                </c:pt>
                <c:pt idx="14">
                  <c:v>-0.53187131310958313</c:v>
                </c:pt>
                <c:pt idx="15">
                  <c:v>-0.56484783547455342</c:v>
                </c:pt>
                <c:pt idx="16">
                  <c:v>-0.5978243578395237</c:v>
                </c:pt>
                <c:pt idx="17">
                  <c:v>-0.63080088020449399</c:v>
                </c:pt>
                <c:pt idx="18">
                  <c:v>-0.66377740256946405</c:v>
                </c:pt>
                <c:pt idx="19">
                  <c:v>-0.69675392493443433</c:v>
                </c:pt>
              </c:numCache>
            </c:numRef>
          </c:yVal>
          <c:smooth val="1"/>
        </c:ser>
        <c:ser>
          <c:idx val="2"/>
          <c:order val="1"/>
          <c:tx>
            <c:v>Cv set3= 2.5e-3 cm2/sec</c:v>
          </c:tx>
          <c:xVal>
            <c:numRef>
              <c:f>'9Graph Landfill'!$H$6:$H$25</c:f>
              <c:numCache>
                <c:formatCode>0.00</c:formatCode>
                <c:ptCount val="20"/>
                <c:pt idx="0">
                  <c:v>0</c:v>
                </c:pt>
                <c:pt idx="1">
                  <c:v>0.22450532724505326</c:v>
                </c:pt>
                <c:pt idx="2">
                  <c:v>0.22450532724505326</c:v>
                </c:pt>
                <c:pt idx="3">
                  <c:v>0.22450532724505326</c:v>
                </c:pt>
                <c:pt idx="4">
                  <c:v>0.39827498731608318</c:v>
                </c:pt>
                <c:pt idx="5">
                  <c:v>0.62278031456113647</c:v>
                </c:pt>
                <c:pt idx="6">
                  <c:v>0.8967529173008626</c:v>
                </c:pt>
                <c:pt idx="7">
                  <c:v>1.2201927955352614</c:v>
                </c:pt>
                <c:pt idx="8">
                  <c:v>1.5981735159817352</c:v>
                </c:pt>
                <c:pt idx="9">
                  <c:v>2.0167427701674274</c:v>
                </c:pt>
                <c:pt idx="10">
                  <c:v>2.4987316083206497</c:v>
                </c:pt>
                <c:pt idx="11">
                  <c:v>3.0314561136478946</c:v>
                </c:pt>
                <c:pt idx="12">
                  <c:v>3.627600202942669</c:v>
                </c:pt>
                <c:pt idx="13">
                  <c:v>4.3378995433789953</c:v>
                </c:pt>
                <c:pt idx="14">
                  <c:v>5.1116184677828507</c:v>
                </c:pt>
                <c:pt idx="15">
                  <c:v>6.0502283105022832</c:v>
                </c:pt>
                <c:pt idx="16">
                  <c:v>7.1917808219178081</c:v>
                </c:pt>
                <c:pt idx="17">
                  <c:v>8.5489599188229324</c:v>
                </c:pt>
                <c:pt idx="18">
                  <c:v>10.755961440892948</c:v>
                </c:pt>
                <c:pt idx="19">
                  <c:v>14.320142059868088</c:v>
                </c:pt>
              </c:numCache>
            </c:numRef>
          </c:xVal>
          <c:yVal>
            <c:numRef>
              <c:f>'9Graph Landfill'!$I$6:$I$25</c:f>
              <c:numCache>
                <c:formatCode>0.00</c:formatCode>
                <c:ptCount val="20"/>
                <c:pt idx="0">
                  <c:v>0</c:v>
                </c:pt>
                <c:pt idx="1">
                  <c:v>-0.16912956709491067</c:v>
                </c:pt>
                <c:pt idx="2">
                  <c:v>-0.16912956709491067</c:v>
                </c:pt>
                <c:pt idx="3">
                  <c:v>-0.16912956709491067</c:v>
                </c:pt>
                <c:pt idx="4">
                  <c:v>-0.2021060894598809</c:v>
                </c:pt>
                <c:pt idx="5">
                  <c:v>-0.23508261182485113</c:v>
                </c:pt>
                <c:pt idx="6">
                  <c:v>-0.26805913418982136</c:v>
                </c:pt>
                <c:pt idx="7">
                  <c:v>-0.30103565655479159</c:v>
                </c:pt>
                <c:pt idx="8">
                  <c:v>-0.33401217891976182</c:v>
                </c:pt>
                <c:pt idx="9">
                  <c:v>-0.36698870128473204</c:v>
                </c:pt>
                <c:pt idx="10">
                  <c:v>-0.39996522364970227</c:v>
                </c:pt>
                <c:pt idx="11">
                  <c:v>-0.4329417460146725</c:v>
                </c:pt>
                <c:pt idx="12">
                  <c:v>-0.46591826837964273</c:v>
                </c:pt>
                <c:pt idx="13">
                  <c:v>-0.49889479074461296</c:v>
                </c:pt>
                <c:pt idx="14">
                  <c:v>-0.53187131310958313</c:v>
                </c:pt>
                <c:pt idx="15">
                  <c:v>-0.56484783547455342</c:v>
                </c:pt>
                <c:pt idx="16">
                  <c:v>-0.5978243578395237</c:v>
                </c:pt>
                <c:pt idx="17">
                  <c:v>-0.63080088020449399</c:v>
                </c:pt>
                <c:pt idx="18">
                  <c:v>-0.66377740256946405</c:v>
                </c:pt>
                <c:pt idx="19">
                  <c:v>-0.69675392493443433</c:v>
                </c:pt>
              </c:numCache>
            </c:numRef>
          </c:yVal>
          <c:smooth val="1"/>
        </c:ser>
        <c:ser>
          <c:idx val="3"/>
          <c:order val="2"/>
          <c:tx>
            <c:v>Cv Set4=0.005 cm2/sec</c:v>
          </c:tx>
          <c:xVal>
            <c:numRef>
              <c:f>'9Graph Landfill'!$K$6:$K$25</c:f>
              <c:numCache>
                <c:formatCode>0.00</c:formatCode>
                <c:ptCount val="20"/>
                <c:pt idx="0">
                  <c:v>0</c:v>
                </c:pt>
                <c:pt idx="1">
                  <c:v>0.11225266362252663</c:v>
                </c:pt>
                <c:pt idx="2">
                  <c:v>0.11225266362252663</c:v>
                </c:pt>
                <c:pt idx="3">
                  <c:v>0.11225266362252663</c:v>
                </c:pt>
                <c:pt idx="4">
                  <c:v>0.19913749365804159</c:v>
                </c:pt>
                <c:pt idx="5">
                  <c:v>0.31139015728056824</c:v>
                </c:pt>
                <c:pt idx="6">
                  <c:v>0.4483764586504313</c:v>
                </c:pt>
                <c:pt idx="7">
                  <c:v>0.61009639776763069</c:v>
                </c:pt>
                <c:pt idx="8">
                  <c:v>0.79908675799086759</c:v>
                </c:pt>
                <c:pt idx="9">
                  <c:v>1.0083713850837137</c:v>
                </c:pt>
                <c:pt idx="10">
                  <c:v>1.2493658041603248</c:v>
                </c:pt>
                <c:pt idx="11">
                  <c:v>1.5157280568239473</c:v>
                </c:pt>
                <c:pt idx="12">
                  <c:v>1.8138001014713345</c:v>
                </c:pt>
                <c:pt idx="13">
                  <c:v>2.1689497716894977</c:v>
                </c:pt>
                <c:pt idx="14">
                  <c:v>2.5558092338914253</c:v>
                </c:pt>
                <c:pt idx="15">
                  <c:v>3.0251141552511416</c:v>
                </c:pt>
                <c:pt idx="16">
                  <c:v>3.595890410958904</c:v>
                </c:pt>
                <c:pt idx="17">
                  <c:v>4.2744799594114662</c:v>
                </c:pt>
                <c:pt idx="18">
                  <c:v>5.377980720446474</c:v>
                </c:pt>
                <c:pt idx="19">
                  <c:v>7.160071029934044</c:v>
                </c:pt>
              </c:numCache>
            </c:numRef>
          </c:xVal>
          <c:yVal>
            <c:numRef>
              <c:f>'9Graph Landfill'!$L$6:$L$25</c:f>
              <c:numCache>
                <c:formatCode>0.00</c:formatCode>
                <c:ptCount val="20"/>
                <c:pt idx="0">
                  <c:v>0</c:v>
                </c:pt>
                <c:pt idx="1">
                  <c:v>-0.16912956709491067</c:v>
                </c:pt>
                <c:pt idx="2">
                  <c:v>-0.16912956709491067</c:v>
                </c:pt>
                <c:pt idx="3">
                  <c:v>-0.16912956709491067</c:v>
                </c:pt>
                <c:pt idx="4">
                  <c:v>-0.2021060894598809</c:v>
                </c:pt>
                <c:pt idx="5">
                  <c:v>-0.23508261182485113</c:v>
                </c:pt>
                <c:pt idx="6">
                  <c:v>-0.26805913418982136</c:v>
                </c:pt>
                <c:pt idx="7">
                  <c:v>-0.30103565655479159</c:v>
                </c:pt>
                <c:pt idx="8">
                  <c:v>-0.33401217891976182</c:v>
                </c:pt>
                <c:pt idx="9">
                  <c:v>-0.36698870128473204</c:v>
                </c:pt>
                <c:pt idx="10">
                  <c:v>-0.39996522364970227</c:v>
                </c:pt>
                <c:pt idx="11">
                  <c:v>-0.4329417460146725</c:v>
                </c:pt>
                <c:pt idx="12">
                  <c:v>-0.46591826837964273</c:v>
                </c:pt>
                <c:pt idx="13">
                  <c:v>-0.49889479074461296</c:v>
                </c:pt>
                <c:pt idx="14">
                  <c:v>-0.53187131310958313</c:v>
                </c:pt>
                <c:pt idx="15">
                  <c:v>-0.56484783547455342</c:v>
                </c:pt>
                <c:pt idx="16">
                  <c:v>-0.5978243578395237</c:v>
                </c:pt>
                <c:pt idx="17">
                  <c:v>-0.63080088020449399</c:v>
                </c:pt>
                <c:pt idx="18">
                  <c:v>-0.66377740256946405</c:v>
                </c:pt>
                <c:pt idx="19">
                  <c:v>-0.69675392493443433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89856"/>
        <c:axId val="120491392"/>
      </c:scatterChart>
      <c:valAx>
        <c:axId val="12048985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20491392"/>
        <c:crosses val="autoZero"/>
        <c:crossBetween val="midCat"/>
      </c:valAx>
      <c:valAx>
        <c:axId val="120491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89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753348710750698"/>
          <c:y val="0.21772354461534144"/>
          <c:w val="0.2069298106320164"/>
          <c:h val="0.2018624805657256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998489184337295"/>
          <c:y val="2.3217247097844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807172523299148E-2"/>
          <c:y val="0.13956072655097221"/>
          <c:w val="0.88643204588139746"/>
          <c:h val="0.82361499588670817"/>
        </c:manualLayout>
      </c:layout>
      <c:scatterChart>
        <c:scatterStyle val="smoothMarker"/>
        <c:varyColors val="0"/>
        <c:ser>
          <c:idx val="0"/>
          <c:order val="0"/>
          <c:tx>
            <c:v>Cv Set3 = 0.0025 cm2/sec</c:v>
          </c:tx>
          <c:xVal>
            <c:numRef>
              <c:f>'9Graph Landfill'!$H$6:$H$25</c:f>
              <c:numCache>
                <c:formatCode>0.00</c:formatCode>
                <c:ptCount val="20"/>
                <c:pt idx="0">
                  <c:v>0</c:v>
                </c:pt>
                <c:pt idx="1">
                  <c:v>0.22450532724505326</c:v>
                </c:pt>
                <c:pt idx="2">
                  <c:v>0.22450532724505326</c:v>
                </c:pt>
                <c:pt idx="3">
                  <c:v>0.22450532724505326</c:v>
                </c:pt>
                <c:pt idx="4">
                  <c:v>0.39827498731608318</c:v>
                </c:pt>
                <c:pt idx="5">
                  <c:v>0.62278031456113647</c:v>
                </c:pt>
                <c:pt idx="6">
                  <c:v>0.8967529173008626</c:v>
                </c:pt>
                <c:pt idx="7">
                  <c:v>1.2201927955352614</c:v>
                </c:pt>
                <c:pt idx="8">
                  <c:v>1.5981735159817352</c:v>
                </c:pt>
                <c:pt idx="9">
                  <c:v>2.0167427701674274</c:v>
                </c:pt>
                <c:pt idx="10">
                  <c:v>2.4987316083206497</c:v>
                </c:pt>
                <c:pt idx="11">
                  <c:v>3.0314561136478946</c:v>
                </c:pt>
                <c:pt idx="12">
                  <c:v>3.627600202942669</c:v>
                </c:pt>
                <c:pt idx="13">
                  <c:v>4.3378995433789953</c:v>
                </c:pt>
                <c:pt idx="14">
                  <c:v>5.1116184677828507</c:v>
                </c:pt>
                <c:pt idx="15">
                  <c:v>6.0502283105022832</c:v>
                </c:pt>
                <c:pt idx="16">
                  <c:v>7.1917808219178081</c:v>
                </c:pt>
                <c:pt idx="17">
                  <c:v>8.5489599188229324</c:v>
                </c:pt>
                <c:pt idx="18">
                  <c:v>10.755961440892948</c:v>
                </c:pt>
                <c:pt idx="19">
                  <c:v>14.320142059868088</c:v>
                </c:pt>
              </c:numCache>
            </c:numRef>
          </c:xVal>
          <c:yVal>
            <c:numRef>
              <c:f>'9Graph Landfill'!$I$6:$I$25</c:f>
              <c:numCache>
                <c:formatCode>0.00</c:formatCode>
                <c:ptCount val="20"/>
                <c:pt idx="0">
                  <c:v>0</c:v>
                </c:pt>
                <c:pt idx="1">
                  <c:v>-0.16912956709491067</c:v>
                </c:pt>
                <c:pt idx="2">
                  <c:v>-0.16912956709491067</c:v>
                </c:pt>
                <c:pt idx="3">
                  <c:v>-0.16912956709491067</c:v>
                </c:pt>
                <c:pt idx="4">
                  <c:v>-0.2021060894598809</c:v>
                </c:pt>
                <c:pt idx="5">
                  <c:v>-0.23508261182485113</c:v>
                </c:pt>
                <c:pt idx="6">
                  <c:v>-0.26805913418982136</c:v>
                </c:pt>
                <c:pt idx="7">
                  <c:v>-0.30103565655479159</c:v>
                </c:pt>
                <c:pt idx="8">
                  <c:v>-0.33401217891976182</c:v>
                </c:pt>
                <c:pt idx="9">
                  <c:v>-0.36698870128473204</c:v>
                </c:pt>
                <c:pt idx="10">
                  <c:v>-0.39996522364970227</c:v>
                </c:pt>
                <c:pt idx="11">
                  <c:v>-0.4329417460146725</c:v>
                </c:pt>
                <c:pt idx="12">
                  <c:v>-0.46591826837964273</c:v>
                </c:pt>
                <c:pt idx="13">
                  <c:v>-0.49889479074461296</c:v>
                </c:pt>
                <c:pt idx="14">
                  <c:v>-0.53187131310958313</c:v>
                </c:pt>
                <c:pt idx="15">
                  <c:v>-0.56484783547455342</c:v>
                </c:pt>
                <c:pt idx="16">
                  <c:v>-0.5978243578395237</c:v>
                </c:pt>
                <c:pt idx="17">
                  <c:v>-0.63080088020449399</c:v>
                </c:pt>
                <c:pt idx="18">
                  <c:v>-0.66377740256946405</c:v>
                </c:pt>
                <c:pt idx="19">
                  <c:v>-0.69675392493443433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07776"/>
        <c:axId val="120280192"/>
      </c:scatterChart>
      <c:valAx>
        <c:axId val="120507776"/>
        <c:scaling>
          <c:orientation val="minMax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nextTo"/>
        <c:crossAx val="120280192"/>
        <c:crosses val="autoZero"/>
        <c:crossBetween val="midCat"/>
      </c:valAx>
      <c:valAx>
        <c:axId val="1202801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507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827239710160378"/>
          <c:y val="0.3857716666013763"/>
          <c:w val="0.27183543650930081"/>
          <c:h val="0.10375576187304954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292957</xdr:colOff>
      <xdr:row>26</xdr:row>
      <xdr:rowOff>68564</xdr:rowOff>
    </xdr:from>
    <xdr:to>
      <xdr:col>6</xdr:col>
      <xdr:colOff>710577</xdr:colOff>
      <xdr:row>33</xdr:row>
      <xdr:rowOff>87264</xdr:rowOff>
    </xdr:to>
    <xdr:sp macro="" textlink="">
      <xdr:nvSpPr>
        <xdr:cNvPr id="2" name="Down Arrow 1"/>
        <xdr:cNvSpPr/>
      </xdr:nvSpPr>
      <xdr:spPr>
        <a:xfrm>
          <a:off x="5086233" y="6276761"/>
          <a:ext cx="417620" cy="170787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0.53322</cdr:x>
      <cdr:y>0.19792</cdr:y>
    </cdr:from>
    <cdr:to>
      <cdr:x>0.89701</cdr:x>
      <cdr:y>0.38542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7526" y="542925"/>
          <a:ext cx="208597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Time (years</a:t>
          </a:r>
          <a:r>
            <a:rPr lang="en-US" sz="1800"/>
            <a:t>)</a:t>
          </a:r>
          <a:endParaRPr lang="th-TH" sz="1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27</xdr:row>
      <xdr:rowOff>161925</xdr:rowOff>
    </xdr:from>
    <xdr:to>
      <xdr:col>11</xdr:col>
      <xdr:colOff>723900</xdr:colOff>
      <xdr:row>52</xdr:row>
      <xdr:rowOff>219075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55</xdr:row>
      <xdr:rowOff>9525</xdr:rowOff>
    </xdr:from>
    <xdr:to>
      <xdr:col>11</xdr:col>
      <xdr:colOff>609599</xdr:colOff>
      <xdr:row>77</xdr:row>
      <xdr:rowOff>133350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0.36453</cdr:x>
      <cdr:y>0.20456</cdr:y>
    </cdr:from>
    <cdr:to>
      <cdr:x>0.661</cdr:x>
      <cdr:y>0.27898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1908" y="1529520"/>
          <a:ext cx="3157066" cy="556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U% plot 0-95% Case Landfill</a:t>
          </a:r>
          <a:endParaRPr lang="th-TH" sz="16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0</xdr:rowOff>
    </xdr:from>
    <xdr:to>
      <xdr:col>11</xdr:col>
      <xdr:colOff>47625</xdr:colOff>
      <xdr:row>31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331" t="15903" r="41917" b="8651"/>
        <a:stretch>
          <a:fillRect/>
        </a:stretch>
      </xdr:blipFill>
      <xdr:spPr bwMode="auto">
        <a:xfrm>
          <a:off x="5314950" y="0"/>
          <a:ext cx="4600575" cy="7086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104775</xdr:colOff>
      <xdr:row>19</xdr:row>
      <xdr:rowOff>142875</xdr:rowOff>
    </xdr:from>
    <xdr:to>
      <xdr:col>5</xdr:col>
      <xdr:colOff>685800</xdr:colOff>
      <xdr:row>21</xdr:row>
      <xdr:rowOff>38100</xdr:rowOff>
    </xdr:to>
    <xdr:sp macro="" textlink="">
      <xdr:nvSpPr>
        <xdr:cNvPr id="3" name="TextBox 2"/>
        <xdr:cNvSpPr txBox="1"/>
      </xdr:nvSpPr>
      <xdr:spPr>
        <a:xfrm>
          <a:off x="4943475" y="4486275"/>
          <a:ext cx="5810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A1</a:t>
          </a:r>
          <a:endParaRPr lang="th-TH" sz="1100"/>
        </a:p>
      </xdr:txBody>
    </xdr:sp>
    <xdr:clientData/>
  </xdr:twoCellAnchor>
  <xdr:twoCellAnchor>
    <xdr:from>
      <xdr:col>4</xdr:col>
      <xdr:colOff>685800</xdr:colOff>
      <xdr:row>9</xdr:row>
      <xdr:rowOff>133350</xdr:rowOff>
    </xdr:from>
    <xdr:to>
      <xdr:col>5</xdr:col>
      <xdr:colOff>428625</xdr:colOff>
      <xdr:row>11</xdr:row>
      <xdr:rowOff>28575</xdr:rowOff>
    </xdr:to>
    <xdr:sp macro="" textlink="">
      <xdr:nvSpPr>
        <xdr:cNvPr id="4" name="TextBox 3"/>
        <xdr:cNvSpPr txBox="1"/>
      </xdr:nvSpPr>
      <xdr:spPr>
        <a:xfrm>
          <a:off x="4686300" y="2190750"/>
          <a:ext cx="5810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A2</a:t>
          </a:r>
        </a:p>
        <a:p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115</xdr:row>
      <xdr:rowOff>47625</xdr:rowOff>
    </xdr:from>
    <xdr:to>
      <xdr:col>18</xdr:col>
      <xdr:colOff>466725</xdr:colOff>
      <xdr:row>129</xdr:row>
      <xdr:rowOff>209550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378618</xdr:colOff>
      <xdr:row>13</xdr:row>
      <xdr:rowOff>166686</xdr:rowOff>
    </xdr:from>
    <xdr:to>
      <xdr:col>18</xdr:col>
      <xdr:colOff>159542</xdr:colOff>
      <xdr:row>29</xdr:row>
      <xdr:rowOff>78580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447675</xdr:colOff>
      <xdr:row>118</xdr:row>
      <xdr:rowOff>38100</xdr:rowOff>
    </xdr:from>
    <xdr:to>
      <xdr:col>5</xdr:col>
      <xdr:colOff>66675</xdr:colOff>
      <xdr:row>120</xdr:row>
      <xdr:rowOff>95250</xdr:rowOff>
    </xdr:to>
    <xdr:sp macro="" textlink="">
      <xdr:nvSpPr>
        <xdr:cNvPr id="6" name="TextBox 1"/>
        <xdr:cNvSpPr txBox="1"/>
      </xdr:nvSpPr>
      <xdr:spPr>
        <a:xfrm>
          <a:off x="1285875" y="8153400"/>
          <a:ext cx="2085975" cy="5143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/>
            <a:t>Settlement (m)</a:t>
          </a:r>
          <a:endParaRPr lang="th-TH" sz="18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0.53322</cdr:x>
      <cdr:y>0.19792</cdr:y>
    </cdr:from>
    <cdr:to>
      <cdr:x>0.89701</cdr:x>
      <cdr:y>0.38542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7526" y="542925"/>
          <a:ext cx="208597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Time (years</a:t>
          </a:r>
          <a:r>
            <a:rPr lang="en-US" sz="1800"/>
            <a:t>)</a:t>
          </a:r>
          <a:endParaRPr lang="th-TH" sz="1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44</xdr:row>
      <xdr:rowOff>123826</xdr:rowOff>
    </xdr:from>
    <xdr:to>
      <xdr:col>9</xdr:col>
      <xdr:colOff>0</xdr:colOff>
      <xdr:row>59</xdr:row>
      <xdr:rowOff>114300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57151</xdr:rowOff>
    </xdr:from>
    <xdr:to>
      <xdr:col>9</xdr:col>
      <xdr:colOff>0</xdr:colOff>
      <xdr:row>44</xdr:row>
      <xdr:rowOff>57151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62</xdr:row>
      <xdr:rowOff>152400</xdr:rowOff>
    </xdr:from>
    <xdr:to>
      <xdr:col>9</xdr:col>
      <xdr:colOff>0</xdr:colOff>
      <xdr:row>80</xdr:row>
      <xdr:rowOff>38100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0.47008</cdr:x>
      <cdr:y>0.3587</cdr:y>
    </cdr:from>
    <cdr:to>
      <cdr:x>0.71969</cdr:x>
      <cdr:y>0.65761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86425" y="628649"/>
          <a:ext cx="30194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U% plot 0-95%</a:t>
          </a:r>
          <a:endParaRPr lang="th-TH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0.476</cdr:x>
      <cdr:y>0.31</cdr:y>
    </cdr:from>
    <cdr:to>
      <cdr:x>0.72541</cdr:x>
      <cdr:y>0.585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62625" y="590550"/>
          <a:ext cx="30194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U% plot 0-50%</a:t>
          </a:r>
          <a:endParaRPr lang="th-TH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0</xdr:rowOff>
    </xdr:from>
    <xdr:to>
      <xdr:col>11</xdr:col>
      <xdr:colOff>47625</xdr:colOff>
      <xdr:row>31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331" t="15903" r="41917" b="8651"/>
        <a:stretch>
          <a:fillRect/>
        </a:stretch>
      </xdr:blipFill>
      <xdr:spPr bwMode="auto">
        <a:xfrm>
          <a:off x="5314950" y="0"/>
          <a:ext cx="4600575" cy="7086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104775</xdr:colOff>
      <xdr:row>19</xdr:row>
      <xdr:rowOff>142875</xdr:rowOff>
    </xdr:from>
    <xdr:to>
      <xdr:col>5</xdr:col>
      <xdr:colOff>685800</xdr:colOff>
      <xdr:row>21</xdr:row>
      <xdr:rowOff>38100</xdr:rowOff>
    </xdr:to>
    <xdr:sp macro="" textlink="">
      <xdr:nvSpPr>
        <xdr:cNvPr id="3" name="TextBox 2"/>
        <xdr:cNvSpPr txBox="1"/>
      </xdr:nvSpPr>
      <xdr:spPr>
        <a:xfrm>
          <a:off x="4943475" y="4486275"/>
          <a:ext cx="5810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A1</a:t>
          </a:r>
          <a:endParaRPr lang="th-TH" sz="1100"/>
        </a:p>
      </xdr:txBody>
    </xdr:sp>
    <xdr:clientData/>
  </xdr:twoCellAnchor>
  <xdr:twoCellAnchor>
    <xdr:from>
      <xdr:col>4</xdr:col>
      <xdr:colOff>685800</xdr:colOff>
      <xdr:row>9</xdr:row>
      <xdr:rowOff>133350</xdr:rowOff>
    </xdr:from>
    <xdr:to>
      <xdr:col>5</xdr:col>
      <xdr:colOff>428625</xdr:colOff>
      <xdr:row>11</xdr:row>
      <xdr:rowOff>28575</xdr:rowOff>
    </xdr:to>
    <xdr:sp macro="" textlink="">
      <xdr:nvSpPr>
        <xdr:cNvPr id="4" name="TextBox 3"/>
        <xdr:cNvSpPr txBox="1"/>
      </xdr:nvSpPr>
      <xdr:spPr>
        <a:xfrm>
          <a:off x="4686300" y="2190750"/>
          <a:ext cx="5810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A2</a:t>
          </a:r>
        </a:p>
        <a:p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117</xdr:row>
      <xdr:rowOff>47625</xdr:rowOff>
    </xdr:from>
    <xdr:to>
      <xdr:col>18</xdr:col>
      <xdr:colOff>466725</xdr:colOff>
      <xdr:row>131</xdr:row>
      <xdr:rowOff>209550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333374</xdr:colOff>
      <xdr:row>14</xdr:row>
      <xdr:rowOff>152399</xdr:rowOff>
    </xdr:from>
    <xdr:to>
      <xdr:col>19</xdr:col>
      <xdr:colOff>114299</xdr:colOff>
      <xdr:row>30</xdr:row>
      <xdr:rowOff>209549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447675</xdr:colOff>
      <xdr:row>120</xdr:row>
      <xdr:rowOff>38100</xdr:rowOff>
    </xdr:from>
    <xdr:to>
      <xdr:col>5</xdr:col>
      <xdr:colOff>66675</xdr:colOff>
      <xdr:row>122</xdr:row>
      <xdr:rowOff>95250</xdr:rowOff>
    </xdr:to>
    <xdr:sp macro="" textlink="">
      <xdr:nvSpPr>
        <xdr:cNvPr id="4" name="TextBox 1"/>
        <xdr:cNvSpPr txBox="1"/>
      </xdr:nvSpPr>
      <xdr:spPr>
        <a:xfrm>
          <a:off x="1285875" y="30680025"/>
          <a:ext cx="2085975" cy="5143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/>
            <a:t>Settlement (m)</a:t>
          </a:r>
          <a:endParaRPr lang="th-TH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4"/>
  <sheetViews>
    <sheetView zoomScale="80" zoomScaleNormal="80" workbookViewId="0">
      <selection activeCell="N18" sqref="N18"/>
    </sheetView>
    <sheetView tabSelected="1" zoomScale="90" zoomScaleNormal="90" workbookViewId="1">
      <selection activeCell="L4" sqref="L4"/>
    </sheetView>
  </sheetViews>
  <sheetFormatPr defaultRowHeight="18.55"/>
  <cols>
    <col min="1" max="1" width="6.375" customWidth="1"/>
    <col min="2" max="2" width="9.8125" customWidth="1"/>
    <col min="3" max="3" width="9.625" customWidth="1"/>
    <col min="4" max="4" width="9.6875" customWidth="1"/>
    <col min="5" max="5" width="7.8125" customWidth="1"/>
    <col min="6" max="6" width="10" customWidth="1"/>
    <col min="7" max="7" width="9.1875" customWidth="1"/>
    <col min="8" max="8" width="7.6875" customWidth="1"/>
    <col min="27" max="31" width="8.8125" customWidth="1"/>
    <col min="36" max="36" width="9.125" customWidth="1"/>
    <col min="37" max="37" width="9.375" customWidth="1"/>
    <col min="38" max="38" width="12.125" customWidth="1"/>
    <col min="39" max="39" width="16.375" customWidth="1"/>
    <col min="40" max="40" width="16.8125" customWidth="1"/>
    <col min="41" max="41" width="15.6875" customWidth="1"/>
    <col min="42" max="42" width="12.625" customWidth="1"/>
    <col min="43" max="43" width="9.6875" customWidth="1"/>
  </cols>
  <sheetData>
    <row r="1" spans="1:42">
      <c r="A1" s="85" t="s">
        <v>0</v>
      </c>
      <c r="C1" s="86" t="s">
        <v>195</v>
      </c>
    </row>
    <row r="2" spans="1:42">
      <c r="A2" s="48"/>
      <c r="C2" t="s">
        <v>193</v>
      </c>
    </row>
    <row r="3" spans="1:42">
      <c r="A3" s="48"/>
    </row>
    <row r="4" spans="1:42">
      <c r="A4" s="48"/>
      <c r="I4" t="s">
        <v>196</v>
      </c>
    </row>
    <row r="5" spans="1:42" ht="19" thickBot="1">
      <c r="B5" t="s">
        <v>78</v>
      </c>
      <c r="I5" t="s">
        <v>75</v>
      </c>
    </row>
    <row r="6" spans="1:42" ht="19" thickBot="1">
      <c r="B6" s="6" t="s">
        <v>58</v>
      </c>
      <c r="C6" s="7"/>
      <c r="D6" s="7"/>
      <c r="E6" s="102">
        <v>3.556</v>
      </c>
      <c r="F6" s="9" t="s">
        <v>48</v>
      </c>
      <c r="I6" t="s">
        <v>77</v>
      </c>
      <c r="AL6" s="1"/>
      <c r="AM6" s="1"/>
      <c r="AO6" s="1"/>
      <c r="AP6" s="1"/>
    </row>
    <row r="7" spans="1:42">
      <c r="B7" s="10" t="s">
        <v>97</v>
      </c>
      <c r="C7" s="11"/>
      <c r="D7" s="11"/>
      <c r="E7" s="103">
        <v>1.4410000000000001</v>
      </c>
      <c r="F7" s="13" t="s">
        <v>48</v>
      </c>
      <c r="I7" t="s">
        <v>76</v>
      </c>
      <c r="AL7" s="1"/>
      <c r="AM7" s="1"/>
      <c r="AO7" s="1"/>
      <c r="AP7" s="1"/>
    </row>
    <row r="8" spans="1:42">
      <c r="B8" s="10" t="s">
        <v>59</v>
      </c>
      <c r="C8" s="11"/>
      <c r="D8" s="11"/>
      <c r="E8" s="104">
        <f>E6-E7</f>
        <v>2.1150000000000002</v>
      </c>
      <c r="F8" s="13" t="s">
        <v>48</v>
      </c>
      <c r="AL8" s="1"/>
      <c r="AM8" s="1"/>
      <c r="AO8" s="1"/>
      <c r="AP8" s="1"/>
    </row>
    <row r="9" spans="1:42">
      <c r="B9" s="10" t="s">
        <v>49</v>
      </c>
      <c r="C9" s="11"/>
      <c r="D9" s="11"/>
      <c r="E9" s="103">
        <v>1.8</v>
      </c>
      <c r="F9" s="13" t="s">
        <v>50</v>
      </c>
      <c r="AL9" s="1"/>
      <c r="AM9" s="1"/>
      <c r="AO9" s="1"/>
      <c r="AP9" s="1"/>
    </row>
    <row r="10" spans="1:42">
      <c r="B10" s="10" t="s">
        <v>51</v>
      </c>
      <c r="C10" s="11"/>
      <c r="D10" s="11"/>
      <c r="E10" s="103">
        <f>(E6-E7)*E9</f>
        <v>3.8070000000000004</v>
      </c>
      <c r="F10" s="13" t="s">
        <v>45</v>
      </c>
      <c r="R10" s="4"/>
      <c r="S10" s="4"/>
      <c r="T10" s="4"/>
      <c r="U10" s="4"/>
      <c r="V10" s="4"/>
      <c r="W10" s="4"/>
      <c r="AL10" s="1"/>
      <c r="AM10" s="1"/>
      <c r="AO10" s="1"/>
      <c r="AP10" s="1"/>
    </row>
    <row r="11" spans="1:42">
      <c r="B11" s="10" t="s">
        <v>52</v>
      </c>
      <c r="C11" s="11"/>
      <c r="D11" s="11"/>
      <c r="E11" s="103">
        <v>0</v>
      </c>
      <c r="F11" s="13" t="s">
        <v>45</v>
      </c>
      <c r="AL11" s="1"/>
      <c r="AM11" s="1"/>
      <c r="AO11" s="1"/>
      <c r="AP11" s="1"/>
    </row>
    <row r="12" spans="1:42" ht="19" thickBot="1">
      <c r="B12" s="14" t="s">
        <v>15</v>
      </c>
      <c r="C12" s="15"/>
      <c r="D12" s="15"/>
      <c r="E12" s="105">
        <f>E10+E11</f>
        <v>3.8070000000000004</v>
      </c>
      <c r="F12" s="16" t="s">
        <v>45</v>
      </c>
      <c r="AL12" s="1"/>
      <c r="AM12" s="1"/>
      <c r="AO12" s="1"/>
      <c r="AP12" s="1"/>
    </row>
    <row r="13" spans="1:42" ht="19" thickBot="1">
      <c r="B13" s="79" t="s">
        <v>73</v>
      </c>
      <c r="C13" s="80"/>
      <c r="D13" s="80"/>
      <c r="E13" s="106">
        <f>E12</f>
        <v>3.8070000000000004</v>
      </c>
      <c r="F13" s="81" t="s">
        <v>45</v>
      </c>
      <c r="AL13" s="1"/>
      <c r="AM13" s="1"/>
      <c r="AO13" s="1"/>
      <c r="AP13" s="1"/>
    </row>
    <row r="14" spans="1:42">
      <c r="B14" s="48"/>
      <c r="C14" s="11"/>
      <c r="D14" s="11"/>
      <c r="E14" s="62"/>
      <c r="F14" s="48"/>
      <c r="AL14" s="3"/>
      <c r="AM14" s="3"/>
      <c r="AO14" s="3"/>
      <c r="AP14" s="3"/>
    </row>
    <row r="15" spans="1:42">
      <c r="B15" s="48"/>
      <c r="C15" s="11"/>
      <c r="D15" s="11"/>
      <c r="E15" s="62"/>
      <c r="F15" s="48"/>
      <c r="AL15" s="3"/>
      <c r="AM15" s="3"/>
      <c r="AO15" s="3"/>
      <c r="AP15" s="3"/>
    </row>
    <row r="16" spans="1:42" ht="19" thickBot="1">
      <c r="B16" s="48" t="s">
        <v>79</v>
      </c>
      <c r="C16" s="11" t="s">
        <v>194</v>
      </c>
      <c r="D16" s="11"/>
      <c r="E16" s="62"/>
      <c r="F16" s="48"/>
      <c r="AL16" s="3"/>
      <c r="AM16" s="3"/>
      <c r="AO16" s="3"/>
      <c r="AP16" s="3"/>
    </row>
    <row r="17" spans="2:45">
      <c r="B17" s="6" t="s">
        <v>53</v>
      </c>
      <c r="C17" s="7"/>
      <c r="D17" s="7"/>
      <c r="E17" s="8">
        <f>AO42</f>
        <v>0.10724536627029241</v>
      </c>
      <c r="F17" s="9" t="s">
        <v>48</v>
      </c>
      <c r="I17" s="148"/>
      <c r="AL17" s="3"/>
      <c r="AM17" s="3"/>
      <c r="AO17" s="3"/>
      <c r="AP17" s="3"/>
    </row>
    <row r="18" spans="2:45">
      <c r="B18" s="10" t="s">
        <v>54</v>
      </c>
      <c r="C18" s="11"/>
      <c r="D18" s="11"/>
      <c r="E18" s="12">
        <f>AP42</f>
        <v>0.26799904959668747</v>
      </c>
      <c r="F18" s="13" t="s">
        <v>48</v>
      </c>
      <c r="AL18" s="3"/>
      <c r="AM18" s="3"/>
      <c r="AO18" s="3"/>
      <c r="AP18" s="3"/>
    </row>
    <row r="19" spans="2:45" ht="19" thickBot="1">
      <c r="B19" s="14" t="s">
        <v>57</v>
      </c>
      <c r="C19" s="15"/>
      <c r="D19" s="15"/>
      <c r="E19" s="56">
        <f>E17+E18</f>
        <v>0.37524441586697987</v>
      </c>
      <c r="F19" s="16" t="s">
        <v>48</v>
      </c>
      <c r="G19" s="4"/>
      <c r="AL19" s="3"/>
      <c r="AM19" s="3"/>
      <c r="AO19" s="3"/>
      <c r="AP19" s="3"/>
    </row>
    <row r="20" spans="2:45" ht="19" thickBot="1">
      <c r="B20" s="63" t="s">
        <v>60</v>
      </c>
      <c r="C20" s="64"/>
      <c r="D20" s="64"/>
      <c r="E20" s="69">
        <f>E6-E19</f>
        <v>3.1807555841330202</v>
      </c>
      <c r="F20" s="65" t="s">
        <v>48</v>
      </c>
      <c r="AL20" s="3"/>
      <c r="AM20" s="3"/>
      <c r="AO20" s="3"/>
      <c r="AP20" s="3"/>
    </row>
    <row r="21" spans="2:45">
      <c r="B21" s="63" t="s">
        <v>65</v>
      </c>
      <c r="C21" s="64"/>
      <c r="D21" s="64"/>
      <c r="E21" s="70">
        <f>E19/E8*100</f>
        <v>17.742052759668077</v>
      </c>
      <c r="F21" s="65" t="s">
        <v>61</v>
      </c>
      <c r="AL21" s="3"/>
      <c r="AM21" s="3"/>
      <c r="AO21" s="3"/>
      <c r="AP21" s="3"/>
    </row>
    <row r="22" spans="2:45">
      <c r="B22" s="63"/>
      <c r="C22" s="64"/>
      <c r="D22" s="64"/>
      <c r="E22" s="64"/>
      <c r="F22" s="65"/>
      <c r="AL22" s="3"/>
      <c r="AM22" s="3"/>
      <c r="AO22" s="3"/>
      <c r="AP22" s="3"/>
    </row>
    <row r="23" spans="2:45" ht="19" thickBot="1">
      <c r="B23" s="66"/>
      <c r="C23" s="67"/>
      <c r="D23" s="67"/>
      <c r="E23" s="67"/>
      <c r="F23" s="68"/>
      <c r="AL23" s="3"/>
      <c r="AM23" s="3"/>
      <c r="AO23" s="3"/>
      <c r="AP23" s="3"/>
    </row>
    <row r="24" spans="2:45">
      <c r="B24" s="48"/>
      <c r="C24" s="11"/>
      <c r="D24" s="11"/>
      <c r="E24" s="62"/>
      <c r="F24" s="48"/>
      <c r="I24" t="s">
        <v>198</v>
      </c>
      <c r="AL24" s="3"/>
      <c r="AM24" s="3"/>
      <c r="AO24" s="3">
        <v>2</v>
      </c>
      <c r="AP24" s="3"/>
    </row>
    <row r="25" spans="2:45">
      <c r="B25" t="s">
        <v>197</v>
      </c>
      <c r="G25" s="5"/>
      <c r="AL25" s="1"/>
      <c r="AM25" s="1"/>
      <c r="AO25" s="1"/>
      <c r="AP25" s="1"/>
    </row>
    <row r="26" spans="2:45">
      <c r="B26" s="94"/>
      <c r="C26" s="241" t="s">
        <v>74</v>
      </c>
      <c r="D26" s="243"/>
      <c r="E26" s="243"/>
      <c r="F26" s="242"/>
      <c r="G26" s="82" t="s">
        <v>199</v>
      </c>
      <c r="H26" s="11"/>
      <c r="I26" s="239" t="s">
        <v>64</v>
      </c>
      <c r="J26" s="239"/>
      <c r="K26" s="239"/>
      <c r="L26" s="240"/>
      <c r="M26" s="246" t="s">
        <v>71</v>
      </c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40"/>
      <c r="Y26" s="246" t="s">
        <v>70</v>
      </c>
      <c r="Z26" s="240"/>
      <c r="AA26" s="37"/>
      <c r="AB26" s="37"/>
      <c r="AC26" s="37"/>
      <c r="AD26" s="37"/>
      <c r="AE26" s="37"/>
      <c r="AF26" s="246" t="s">
        <v>69</v>
      </c>
      <c r="AG26" s="239"/>
      <c r="AH26" s="239"/>
      <c r="AI26" s="240"/>
      <c r="AJ26" s="73" t="s">
        <v>67</v>
      </c>
      <c r="AK26" s="74" t="s">
        <v>68</v>
      </c>
      <c r="AL26" s="244" t="s">
        <v>41</v>
      </c>
      <c r="AM26" s="245"/>
      <c r="AN26" s="75" t="s">
        <v>40</v>
      </c>
      <c r="AO26" s="246" t="s">
        <v>66</v>
      </c>
      <c r="AP26" s="239"/>
      <c r="AQ26" s="240"/>
    </row>
    <row r="27" spans="2:45" ht="21.2">
      <c r="B27" s="115" t="s">
        <v>72</v>
      </c>
      <c r="C27" s="241" t="s">
        <v>12</v>
      </c>
      <c r="D27" s="242"/>
      <c r="E27" s="94" t="s">
        <v>13</v>
      </c>
      <c r="F27" s="94" t="s">
        <v>14</v>
      </c>
      <c r="G27" s="83"/>
      <c r="H27" s="11"/>
      <c r="I27" s="165" t="s">
        <v>62</v>
      </c>
      <c r="J27" s="73" t="s">
        <v>63</v>
      </c>
      <c r="K27" s="73" t="s">
        <v>145</v>
      </c>
      <c r="L27" s="74" t="s">
        <v>35</v>
      </c>
      <c r="M27" s="75" t="s">
        <v>17</v>
      </c>
      <c r="N27" s="236" t="s">
        <v>18</v>
      </c>
      <c r="O27" s="236" t="s">
        <v>19</v>
      </c>
      <c r="P27" s="236" t="s">
        <v>20</v>
      </c>
      <c r="Q27" s="236" t="s">
        <v>21</v>
      </c>
      <c r="R27" s="236" t="s">
        <v>190</v>
      </c>
      <c r="S27" s="233" t="s">
        <v>18</v>
      </c>
      <c r="T27" s="233" t="s">
        <v>19</v>
      </c>
      <c r="U27" s="233" t="s">
        <v>20</v>
      </c>
      <c r="V27" s="233" t="s">
        <v>21</v>
      </c>
      <c r="W27" s="233" t="s">
        <v>191</v>
      </c>
      <c r="X27" s="73" t="s">
        <v>192</v>
      </c>
      <c r="Y27" s="73" t="s">
        <v>30</v>
      </c>
      <c r="Z27" s="73" t="s">
        <v>16</v>
      </c>
      <c r="AA27" s="76" t="s">
        <v>24</v>
      </c>
      <c r="AB27" s="18" t="s">
        <v>25</v>
      </c>
      <c r="AC27" s="18" t="s">
        <v>26</v>
      </c>
      <c r="AD27" s="147" t="s">
        <v>33</v>
      </c>
      <c r="AE27" s="18" t="s">
        <v>32</v>
      </c>
      <c r="AF27" s="73" t="s">
        <v>34</v>
      </c>
      <c r="AG27" s="73" t="s">
        <v>35</v>
      </c>
      <c r="AH27" s="73" t="s">
        <v>27</v>
      </c>
      <c r="AI27" s="73" t="s">
        <v>28</v>
      </c>
      <c r="AJ27" s="77" t="s">
        <v>31</v>
      </c>
      <c r="AK27" s="78" t="s">
        <v>36</v>
      </c>
      <c r="AL27" s="73" t="s">
        <v>37</v>
      </c>
      <c r="AM27" s="73" t="s">
        <v>38</v>
      </c>
      <c r="AN27" s="73" t="s">
        <v>39</v>
      </c>
      <c r="AO27" s="75" t="s">
        <v>42</v>
      </c>
      <c r="AP27" s="75" t="s">
        <v>43</v>
      </c>
      <c r="AQ27" s="75" t="s">
        <v>47</v>
      </c>
    </row>
    <row r="28" spans="2:45">
      <c r="B28" s="107"/>
      <c r="C28" s="116" t="s">
        <v>48</v>
      </c>
      <c r="D28" s="116" t="s">
        <v>48</v>
      </c>
      <c r="E28" s="96" t="s">
        <v>48</v>
      </c>
      <c r="F28" s="96" t="s">
        <v>56</v>
      </c>
      <c r="G28" s="83"/>
      <c r="H28" s="117"/>
      <c r="I28" s="59"/>
      <c r="J28" s="58"/>
      <c r="K28" s="58"/>
      <c r="L28" s="59"/>
      <c r="M28" s="59"/>
      <c r="N28" s="237" t="s">
        <v>44</v>
      </c>
      <c r="O28" s="237" t="s">
        <v>44</v>
      </c>
      <c r="P28" s="238"/>
      <c r="Q28" s="238"/>
      <c r="R28" s="238"/>
      <c r="S28" s="234" t="s">
        <v>44</v>
      </c>
      <c r="T28" s="234" t="s">
        <v>44</v>
      </c>
      <c r="U28" s="235"/>
      <c r="V28" s="235"/>
      <c r="W28" s="235"/>
      <c r="X28" s="58"/>
      <c r="Y28" s="71" t="s">
        <v>44</v>
      </c>
      <c r="Z28" s="71" t="s">
        <v>44</v>
      </c>
      <c r="AA28" s="58" t="s">
        <v>46</v>
      </c>
      <c r="AB28" s="58" t="s">
        <v>46</v>
      </c>
      <c r="AC28" s="58" t="s">
        <v>46</v>
      </c>
      <c r="AD28" s="58"/>
      <c r="AE28" s="58" t="s">
        <v>46</v>
      </c>
      <c r="AF28" s="58"/>
      <c r="AG28" s="58"/>
      <c r="AH28" s="58"/>
      <c r="AI28" s="71" t="s">
        <v>29</v>
      </c>
      <c r="AJ28" s="58"/>
      <c r="AK28" s="59"/>
      <c r="AL28" s="71" t="s">
        <v>109</v>
      </c>
      <c r="AM28" s="71" t="s">
        <v>110</v>
      </c>
      <c r="AN28" s="71" t="s">
        <v>109</v>
      </c>
      <c r="AO28" s="71" t="s">
        <v>44</v>
      </c>
      <c r="AP28" s="71" t="s">
        <v>44</v>
      </c>
      <c r="AQ28" s="71" t="s">
        <v>44</v>
      </c>
      <c r="AS28" s="153" t="s">
        <v>33</v>
      </c>
    </row>
    <row r="29" spans="2:45">
      <c r="B29" s="18" t="s">
        <v>1</v>
      </c>
      <c r="C29" s="88">
        <v>0</v>
      </c>
      <c r="D29" s="99">
        <v>2</v>
      </c>
      <c r="E29" s="100">
        <f>D29-C29</f>
        <v>2</v>
      </c>
      <c r="F29" s="99">
        <v>1.63</v>
      </c>
      <c r="G29" s="83"/>
      <c r="H29" s="179"/>
      <c r="I29" s="178">
        <v>57.8</v>
      </c>
      <c r="J29" s="31">
        <f>0.0045*I29</f>
        <v>0.26009999999999994</v>
      </c>
      <c r="K29" s="31">
        <f t="shared" ref="K29:K35" si="0">AK29/AJ29</f>
        <v>0.20634920634920637</v>
      </c>
      <c r="L29" s="57">
        <f>0.016*I29-0.295</f>
        <v>0.62979999999999992</v>
      </c>
      <c r="M29" s="55">
        <f>E29/2</f>
        <v>1</v>
      </c>
      <c r="N29" s="20">
        <v>6.25</v>
      </c>
      <c r="O29" s="20">
        <v>1.25</v>
      </c>
      <c r="P29" s="21">
        <f>N29/M29</f>
        <v>6.25</v>
      </c>
      <c r="Q29" s="21">
        <f>O29/M29</f>
        <v>1.25</v>
      </c>
      <c r="R29" s="130">
        <v>0.49</v>
      </c>
      <c r="S29" s="20">
        <v>8.75</v>
      </c>
      <c r="T29" s="20">
        <v>1.25</v>
      </c>
      <c r="U29" s="21">
        <f>S29/R29</f>
        <v>17.857142857142858</v>
      </c>
      <c r="V29" s="21">
        <f>T29/R29</f>
        <v>2.5510204081632653</v>
      </c>
      <c r="W29" s="130">
        <v>0.49</v>
      </c>
      <c r="X29" s="23">
        <f>R29+W29</f>
        <v>0.98</v>
      </c>
      <c r="Y29" s="24">
        <f t="shared" ref="Y29:Y39" si="1">E29</f>
        <v>2</v>
      </c>
      <c r="Z29" s="25">
        <f>M29</f>
        <v>1</v>
      </c>
      <c r="AA29" s="19">
        <f t="shared" ref="AA29:AA39" si="2">$E$13*X29</f>
        <v>3.7308600000000003</v>
      </c>
      <c r="AB29" s="19">
        <f>M29*F29</f>
        <v>1.63</v>
      </c>
      <c r="AC29" s="19">
        <f>AA29+AB29</f>
        <v>5.3608600000000006</v>
      </c>
      <c r="AD29" s="20">
        <f>AS29</f>
        <v>3.91</v>
      </c>
      <c r="AE29" s="19">
        <f>AD29*AB29</f>
        <v>6.3732999999999995</v>
      </c>
      <c r="AF29" s="26">
        <v>0.63</v>
      </c>
      <c r="AG29" s="26">
        <v>0.13</v>
      </c>
      <c r="AH29" s="20">
        <v>1.7</v>
      </c>
      <c r="AI29" s="27">
        <v>8.9999999999999998E-4</v>
      </c>
      <c r="AJ29" s="28">
        <f>AF29/(1+AH29)</f>
        <v>0.23333333333333331</v>
      </c>
      <c r="AK29" s="28">
        <f>AG29/(1+AH29)</f>
        <v>4.8148148148148148E-2</v>
      </c>
      <c r="AL29" s="29">
        <f>IF(AC29&gt;AE29,LOG(AE29/AB29),0)</f>
        <v>0</v>
      </c>
      <c r="AM29" s="29">
        <f>IF(AC29&gt;AE29,LOG(AC29/AE29),0)</f>
        <v>0</v>
      </c>
      <c r="AN29" s="29">
        <f>IF(AC29&lt;=AE29,LOG(AC29/AB29),0)</f>
        <v>0.51704686127660393</v>
      </c>
      <c r="AO29" s="60">
        <f>AK29*Y29*AL29+AK29*Y29*AN29</f>
        <v>4.9789697752561861E-2</v>
      </c>
      <c r="AP29" s="60">
        <f>AJ29*Y29*AM29</f>
        <v>0</v>
      </c>
      <c r="AQ29" s="60">
        <f>AO29+AP29</f>
        <v>4.9789697752561861E-2</v>
      </c>
      <c r="AS29" s="20">
        <v>3.91</v>
      </c>
    </row>
    <row r="30" spans="2:45">
      <c r="B30" s="18" t="s">
        <v>2</v>
      </c>
      <c r="C30" s="88">
        <f>D29</f>
        <v>2</v>
      </c>
      <c r="D30" s="99">
        <v>3.5</v>
      </c>
      <c r="E30" s="100">
        <f t="shared" ref="E30:E39" si="3">D30-C30</f>
        <v>1.5</v>
      </c>
      <c r="F30" s="99">
        <v>0.62</v>
      </c>
      <c r="G30" s="83"/>
      <c r="H30" s="179"/>
      <c r="I30" s="178">
        <v>68.900000000000006</v>
      </c>
      <c r="J30" s="31">
        <f t="shared" ref="J30:J39" si="4">0.0045*I30</f>
        <v>0.31004999999999999</v>
      </c>
      <c r="K30" s="31">
        <f t="shared" si="0"/>
        <v>0.16091954022988508</v>
      </c>
      <c r="L30" s="57">
        <f t="shared" ref="L30:L39" si="5">0.016*I30-0.295</f>
        <v>0.80740000000000012</v>
      </c>
      <c r="M30" s="55">
        <f t="shared" ref="M30:M39" si="6">D29+E30/2</f>
        <v>2.75</v>
      </c>
      <c r="N30" s="19">
        <f>N29</f>
        <v>6.25</v>
      </c>
      <c r="O30" s="19">
        <f>O29</f>
        <v>1.25</v>
      </c>
      <c r="P30" s="21">
        <f t="shared" ref="P30:P35" si="7">N30/M30</f>
        <v>2.2727272727272729</v>
      </c>
      <c r="Q30" s="21">
        <f t="shared" ref="Q30:Q35" si="8">O30/M30</f>
        <v>0.45454545454545453</v>
      </c>
      <c r="R30" s="130">
        <v>0.43</v>
      </c>
      <c r="S30" s="19">
        <f>S29</f>
        <v>8.75</v>
      </c>
      <c r="T30" s="19">
        <f>T29</f>
        <v>1.25</v>
      </c>
      <c r="U30" s="21">
        <f t="shared" ref="U30:U39" si="9">S30/R30</f>
        <v>20.348837209302324</v>
      </c>
      <c r="V30" s="21">
        <f t="shared" ref="V30:V39" si="10">T30/R30</f>
        <v>2.9069767441860463</v>
      </c>
      <c r="W30" s="130">
        <v>0.45200000000000001</v>
      </c>
      <c r="X30" s="23">
        <f>R30+W30</f>
        <v>0.88200000000000001</v>
      </c>
      <c r="Y30" s="24">
        <f t="shared" si="1"/>
        <v>1.5</v>
      </c>
      <c r="Z30" s="25">
        <f t="shared" ref="Z30:Z35" si="11">M30</f>
        <v>2.75</v>
      </c>
      <c r="AA30" s="19">
        <f t="shared" si="2"/>
        <v>3.3577740000000005</v>
      </c>
      <c r="AB30" s="19">
        <f>E29*F29+(E30/2)*F30</f>
        <v>3.7249999999999996</v>
      </c>
      <c r="AC30" s="19">
        <f t="shared" ref="AC30:AC35" si="12">AA30+AB30</f>
        <v>7.0827740000000006</v>
      </c>
      <c r="AD30" s="20">
        <f t="shared" ref="AD30:AD39" si="13">AS30</f>
        <v>2.42</v>
      </c>
      <c r="AE30" s="19">
        <f t="shared" ref="AE30:AE35" si="14">AD30*AB30</f>
        <v>9.0144999999999982</v>
      </c>
      <c r="AF30" s="22">
        <v>0.87</v>
      </c>
      <c r="AG30" s="26">
        <v>0.14000000000000001</v>
      </c>
      <c r="AH30" s="20">
        <v>1.7</v>
      </c>
      <c r="AI30" s="27">
        <v>6.9999999999999999E-4</v>
      </c>
      <c r="AJ30" s="28">
        <f t="shared" ref="AJ30:AJ35" si="15">AF30/(1+AH30)</f>
        <v>0.32222222222222219</v>
      </c>
      <c r="AK30" s="28">
        <f t="shared" ref="AK30:AK35" si="16">AG30/(1+AH30)</f>
        <v>5.185185185185185E-2</v>
      </c>
      <c r="AL30" s="29">
        <f t="shared" ref="AL30:AL35" si="17">IF(AC30&gt;AE30,LOG(AE30/AB30),0)</f>
        <v>0</v>
      </c>
      <c r="AM30" s="29">
        <f t="shared" ref="AM30:AM35" si="18">IF(AC30&gt;AE30,LOG(AC30/AE30),0)</f>
        <v>0</v>
      </c>
      <c r="AN30" s="29">
        <f t="shared" ref="AN30:AN35" si="19">IF(AC30&lt;=AE30,LOG(AC30/AB30),0)</f>
        <v>0.27907710729224994</v>
      </c>
      <c r="AO30" s="60">
        <f t="shared" ref="AO30:AO39" si="20">AK30*Y30*AL30+AK30*Y30*AN30</f>
        <v>2.1705997233841662E-2</v>
      </c>
      <c r="AP30" s="60">
        <f t="shared" ref="AP30:AP39" si="21">AJ30*Y30*AM30</f>
        <v>0</v>
      </c>
      <c r="AQ30" s="60">
        <f t="shared" ref="AQ30:AQ35" si="22">AO30+AP30</f>
        <v>2.1705997233841662E-2</v>
      </c>
      <c r="AS30" s="20">
        <v>2.42</v>
      </c>
    </row>
    <row r="31" spans="2:45">
      <c r="B31" s="18" t="s">
        <v>3</v>
      </c>
      <c r="C31" s="88">
        <f t="shared" ref="C31:C39" si="23">D30</f>
        <v>3.5</v>
      </c>
      <c r="D31" s="99">
        <v>5</v>
      </c>
      <c r="E31" s="100">
        <f t="shared" si="3"/>
        <v>1.5</v>
      </c>
      <c r="F31" s="99">
        <v>0.56000000000000005</v>
      </c>
      <c r="G31" s="83"/>
      <c r="H31" s="179"/>
      <c r="I31" s="178">
        <v>78.7</v>
      </c>
      <c r="J31" s="31">
        <f t="shared" si="4"/>
        <v>0.35414999999999996</v>
      </c>
      <c r="K31" s="31">
        <f t="shared" si="0"/>
        <v>0.11881188118811879</v>
      </c>
      <c r="L31" s="57">
        <f t="shared" si="5"/>
        <v>0.96420000000000017</v>
      </c>
      <c r="M31" s="55">
        <f t="shared" si="6"/>
        <v>4.25</v>
      </c>
      <c r="N31" s="19">
        <f t="shared" ref="N31:N35" si="24">N30</f>
        <v>6.25</v>
      </c>
      <c r="O31" s="19">
        <f t="shared" ref="O31:O35" si="25">O30</f>
        <v>1.25</v>
      </c>
      <c r="P31" s="21">
        <f t="shared" si="7"/>
        <v>1.4705882352941178</v>
      </c>
      <c r="Q31" s="21">
        <f t="shared" si="8"/>
        <v>0.29411764705882354</v>
      </c>
      <c r="R31" s="130">
        <v>0.39</v>
      </c>
      <c r="S31" s="19">
        <f t="shared" ref="S31:T39" si="26">S30</f>
        <v>8.75</v>
      </c>
      <c r="T31" s="19">
        <f t="shared" si="26"/>
        <v>1.25</v>
      </c>
      <c r="U31" s="21">
        <f t="shared" si="9"/>
        <v>22.435897435897434</v>
      </c>
      <c r="V31" s="21">
        <f t="shared" si="10"/>
        <v>3.2051282051282048</v>
      </c>
      <c r="W31" s="130">
        <v>0.41</v>
      </c>
      <c r="X31" s="23">
        <f>R31+W31</f>
        <v>0.8</v>
      </c>
      <c r="Y31" s="24">
        <f t="shared" si="1"/>
        <v>1.5</v>
      </c>
      <c r="Z31" s="25">
        <f t="shared" si="11"/>
        <v>4.25</v>
      </c>
      <c r="AA31" s="19">
        <f t="shared" si="2"/>
        <v>3.0456000000000003</v>
      </c>
      <c r="AB31" s="19">
        <f t="shared" ref="AB31:AB39" si="27">AB30+E30*F30/2+E31*F31/2</f>
        <v>4.6099999999999994</v>
      </c>
      <c r="AC31" s="19">
        <f t="shared" si="12"/>
        <v>7.6555999999999997</v>
      </c>
      <c r="AD31" s="20">
        <f t="shared" si="13"/>
        <v>1.38</v>
      </c>
      <c r="AE31" s="19">
        <f t="shared" si="14"/>
        <v>6.3617999999999988</v>
      </c>
      <c r="AF31" s="20">
        <v>1.01</v>
      </c>
      <c r="AG31" s="26">
        <v>0.12</v>
      </c>
      <c r="AH31" s="20">
        <v>2.1</v>
      </c>
      <c r="AI31" s="27">
        <v>2.5000000000000001E-4</v>
      </c>
      <c r="AJ31" s="28">
        <f t="shared" si="15"/>
        <v>0.32580645161290323</v>
      </c>
      <c r="AK31" s="28">
        <f t="shared" si="16"/>
        <v>3.8709677419354833E-2</v>
      </c>
      <c r="AL31" s="29">
        <f t="shared" si="17"/>
        <v>0.13987908640123647</v>
      </c>
      <c r="AM31" s="29">
        <f t="shared" si="18"/>
        <v>8.0399221973330756E-2</v>
      </c>
      <c r="AN31" s="29">
        <f t="shared" si="19"/>
        <v>0</v>
      </c>
      <c r="AO31" s="60">
        <f t="shared" si="20"/>
        <v>8.1220114684588916E-3</v>
      </c>
      <c r="AP31" s="60">
        <f>AJ31*Y31*AM31</f>
        <v>3.9291877835353581E-2</v>
      </c>
      <c r="AQ31" s="60">
        <f t="shared" si="22"/>
        <v>4.7413889303812476E-2</v>
      </c>
      <c r="AS31" s="20">
        <v>1.38</v>
      </c>
    </row>
    <row r="32" spans="2:45">
      <c r="B32" s="18" t="s">
        <v>4</v>
      </c>
      <c r="C32" s="88">
        <f t="shared" si="23"/>
        <v>5</v>
      </c>
      <c r="D32" s="99">
        <v>6.5</v>
      </c>
      <c r="E32" s="100">
        <f t="shared" si="3"/>
        <v>1.5</v>
      </c>
      <c r="F32" s="99">
        <v>0.52</v>
      </c>
      <c r="G32" s="83"/>
      <c r="H32" s="179"/>
      <c r="I32" s="178">
        <v>83.4</v>
      </c>
      <c r="J32" s="31">
        <f t="shared" si="4"/>
        <v>0.37530000000000002</v>
      </c>
      <c r="K32" s="31">
        <f t="shared" si="0"/>
        <v>0.14782608695652177</v>
      </c>
      <c r="L32" s="57">
        <f t="shared" si="5"/>
        <v>1.0394000000000001</v>
      </c>
      <c r="M32" s="55">
        <f t="shared" si="6"/>
        <v>5.75</v>
      </c>
      <c r="N32" s="19">
        <f t="shared" si="24"/>
        <v>6.25</v>
      </c>
      <c r="O32" s="19">
        <f t="shared" si="25"/>
        <v>1.25</v>
      </c>
      <c r="P32" s="21">
        <f t="shared" si="7"/>
        <v>1.0869565217391304</v>
      </c>
      <c r="Q32" s="21">
        <f t="shared" si="8"/>
        <v>0.21739130434782608</v>
      </c>
      <c r="R32" s="130">
        <v>0.313</v>
      </c>
      <c r="S32" s="19">
        <f t="shared" si="26"/>
        <v>8.75</v>
      </c>
      <c r="T32" s="19">
        <f t="shared" si="26"/>
        <v>1.25</v>
      </c>
      <c r="U32" s="21">
        <f t="shared" si="9"/>
        <v>27.955271565495206</v>
      </c>
      <c r="V32" s="21">
        <f t="shared" si="10"/>
        <v>3.9936102236421727</v>
      </c>
      <c r="W32" s="130">
        <v>0.37</v>
      </c>
      <c r="X32" s="23">
        <f>R32+W32</f>
        <v>0.68300000000000005</v>
      </c>
      <c r="Y32" s="24">
        <f t="shared" si="1"/>
        <v>1.5</v>
      </c>
      <c r="Z32" s="25">
        <f t="shared" si="11"/>
        <v>5.75</v>
      </c>
      <c r="AA32" s="19">
        <f t="shared" si="2"/>
        <v>2.6001810000000005</v>
      </c>
      <c r="AB32" s="19">
        <f t="shared" si="27"/>
        <v>5.419999999999999</v>
      </c>
      <c r="AC32" s="19">
        <f t="shared" si="12"/>
        <v>8.0201809999999991</v>
      </c>
      <c r="AD32" s="20">
        <f t="shared" si="13"/>
        <v>1.34</v>
      </c>
      <c r="AE32" s="19">
        <f t="shared" si="14"/>
        <v>7.2627999999999995</v>
      </c>
      <c r="AF32" s="20">
        <v>1.1499999999999999</v>
      </c>
      <c r="AG32" s="26">
        <v>0.17</v>
      </c>
      <c r="AH32" s="20">
        <v>2.1</v>
      </c>
      <c r="AI32" s="27">
        <v>2.5000000000000001E-4</v>
      </c>
      <c r="AJ32" s="28">
        <f t="shared" si="15"/>
        <v>0.37096774193548382</v>
      </c>
      <c r="AK32" s="28">
        <f t="shared" si="16"/>
        <v>5.4838709677419356E-2</v>
      </c>
      <c r="AL32" s="29">
        <f t="shared" si="17"/>
        <v>0.12710479836480765</v>
      </c>
      <c r="AM32" s="29">
        <f t="shared" si="18"/>
        <v>4.3080084679498927E-2</v>
      </c>
      <c r="AN32" s="29">
        <f t="shared" si="19"/>
        <v>0</v>
      </c>
      <c r="AO32" s="60">
        <f t="shared" si="20"/>
        <v>1.0455394704201919E-2</v>
      </c>
      <c r="AP32" s="60">
        <f>AJ32*Y32*AM32</f>
        <v>2.3971982603914723E-2</v>
      </c>
      <c r="AQ32" s="60">
        <f t="shared" si="22"/>
        <v>3.4427377308116638E-2</v>
      </c>
      <c r="AS32" s="20">
        <v>1.34</v>
      </c>
    </row>
    <row r="33" spans="2:45">
      <c r="B33" s="18" t="s">
        <v>5</v>
      </c>
      <c r="C33" s="88">
        <f t="shared" si="23"/>
        <v>6.5</v>
      </c>
      <c r="D33" s="99">
        <v>8</v>
      </c>
      <c r="E33" s="100">
        <f t="shared" si="3"/>
        <v>1.5</v>
      </c>
      <c r="F33" s="99">
        <v>0.51</v>
      </c>
      <c r="G33" s="83"/>
      <c r="H33" s="179"/>
      <c r="I33" s="178">
        <v>91.2</v>
      </c>
      <c r="J33" s="31">
        <f t="shared" si="4"/>
        <v>0.41039999999999999</v>
      </c>
      <c r="K33" s="31">
        <f t="shared" si="0"/>
        <v>0.128</v>
      </c>
      <c r="L33" s="57">
        <f t="shared" si="5"/>
        <v>1.1642000000000001</v>
      </c>
      <c r="M33" s="55">
        <f t="shared" si="6"/>
        <v>7.25</v>
      </c>
      <c r="N33" s="19">
        <f t="shared" si="24"/>
        <v>6.25</v>
      </c>
      <c r="O33" s="19">
        <f t="shared" si="25"/>
        <v>1.25</v>
      </c>
      <c r="P33" s="21">
        <f t="shared" si="7"/>
        <v>0.86206896551724133</v>
      </c>
      <c r="Q33" s="21">
        <f t="shared" si="8"/>
        <v>0.17241379310344829</v>
      </c>
      <c r="R33" s="130">
        <v>0.28999999999999998</v>
      </c>
      <c r="S33" s="19">
        <f t="shared" si="26"/>
        <v>8.75</v>
      </c>
      <c r="T33" s="19">
        <f t="shared" si="26"/>
        <v>1.25</v>
      </c>
      <c r="U33" s="21">
        <f t="shared" si="9"/>
        <v>30.172413793103452</v>
      </c>
      <c r="V33" s="21">
        <f t="shared" si="10"/>
        <v>4.3103448275862073</v>
      </c>
      <c r="W33" s="130">
        <v>0.32500000000000001</v>
      </c>
      <c r="X33" s="23">
        <f t="shared" ref="X33:X39" si="28">R33+W33</f>
        <v>0.61499999999999999</v>
      </c>
      <c r="Y33" s="24">
        <f t="shared" si="1"/>
        <v>1.5</v>
      </c>
      <c r="Z33" s="25">
        <f t="shared" si="11"/>
        <v>7.25</v>
      </c>
      <c r="AA33" s="19">
        <f t="shared" si="2"/>
        <v>2.3413050000000002</v>
      </c>
      <c r="AB33" s="19">
        <f t="shared" si="27"/>
        <v>6.192499999999999</v>
      </c>
      <c r="AC33" s="19">
        <f t="shared" si="12"/>
        <v>8.5338049999999992</v>
      </c>
      <c r="AD33" s="20">
        <f t="shared" si="13"/>
        <v>1.1599999999999999</v>
      </c>
      <c r="AE33" s="19">
        <f t="shared" si="14"/>
        <v>7.1832999999999982</v>
      </c>
      <c r="AF33" s="20">
        <v>1.25</v>
      </c>
      <c r="AG33" s="26">
        <v>0.16</v>
      </c>
      <c r="AH33" s="20">
        <v>2.25</v>
      </c>
      <c r="AI33" s="27">
        <v>2.0000000000000001E-4</v>
      </c>
      <c r="AJ33" s="28">
        <f t="shared" si="15"/>
        <v>0.38461538461538464</v>
      </c>
      <c r="AK33" s="28">
        <f t="shared" si="16"/>
        <v>4.9230769230769231E-2</v>
      </c>
      <c r="AL33" s="29">
        <f t="shared" si="17"/>
        <v>6.445798922691845E-2</v>
      </c>
      <c r="AM33" s="29">
        <f t="shared" si="18"/>
        <v>7.4818710392902582E-2</v>
      </c>
      <c r="AN33" s="29">
        <f t="shared" si="19"/>
        <v>0</v>
      </c>
      <c r="AO33" s="60">
        <f t="shared" si="20"/>
        <v>4.7599745890647468E-3</v>
      </c>
      <c r="AP33" s="60">
        <f t="shared" si="21"/>
        <v>4.3164640611289953E-2</v>
      </c>
      <c r="AQ33" s="60">
        <f t="shared" si="22"/>
        <v>4.7924615200354702E-2</v>
      </c>
      <c r="AS33" s="20">
        <v>1.1599999999999999</v>
      </c>
    </row>
    <row r="34" spans="2:45">
      <c r="B34" s="18" t="s">
        <v>6</v>
      </c>
      <c r="C34" s="88">
        <f t="shared" si="23"/>
        <v>8</v>
      </c>
      <c r="D34" s="99">
        <v>9.5</v>
      </c>
      <c r="E34" s="100">
        <f t="shared" si="3"/>
        <v>1.5</v>
      </c>
      <c r="F34" s="99">
        <v>0.5</v>
      </c>
      <c r="G34" s="83"/>
      <c r="H34" s="179"/>
      <c r="I34" s="178">
        <v>88.9</v>
      </c>
      <c r="J34" s="31">
        <f t="shared" si="4"/>
        <v>0.40005000000000002</v>
      </c>
      <c r="K34" s="31">
        <f t="shared" si="0"/>
        <v>0.12781954887218047</v>
      </c>
      <c r="L34" s="57">
        <f t="shared" si="5"/>
        <v>1.1274000000000002</v>
      </c>
      <c r="M34" s="55">
        <f t="shared" si="6"/>
        <v>8.75</v>
      </c>
      <c r="N34" s="19">
        <f t="shared" si="24"/>
        <v>6.25</v>
      </c>
      <c r="O34" s="19">
        <f t="shared" si="25"/>
        <v>1.25</v>
      </c>
      <c r="P34" s="21">
        <f t="shared" si="7"/>
        <v>0.7142857142857143</v>
      </c>
      <c r="Q34" s="21">
        <f t="shared" si="8"/>
        <v>0.14285714285714285</v>
      </c>
      <c r="R34" s="130">
        <v>0.26</v>
      </c>
      <c r="S34" s="19">
        <f t="shared" si="26"/>
        <v>8.75</v>
      </c>
      <c r="T34" s="19">
        <f t="shared" si="26"/>
        <v>1.25</v>
      </c>
      <c r="U34" s="21">
        <f t="shared" si="9"/>
        <v>33.653846153846153</v>
      </c>
      <c r="V34" s="21">
        <f t="shared" si="10"/>
        <v>4.8076923076923075</v>
      </c>
      <c r="W34" s="130">
        <v>0.3</v>
      </c>
      <c r="X34" s="23">
        <f t="shared" si="28"/>
        <v>0.56000000000000005</v>
      </c>
      <c r="Y34" s="24">
        <f t="shared" si="1"/>
        <v>1.5</v>
      </c>
      <c r="Z34" s="25">
        <f t="shared" si="11"/>
        <v>8.75</v>
      </c>
      <c r="AA34" s="19">
        <f t="shared" si="2"/>
        <v>2.1319200000000005</v>
      </c>
      <c r="AB34" s="19">
        <f t="shared" si="27"/>
        <v>6.9499999999999993</v>
      </c>
      <c r="AC34" s="19">
        <f t="shared" si="12"/>
        <v>9.0819200000000002</v>
      </c>
      <c r="AD34" s="20">
        <f t="shared" si="13"/>
        <v>1.29</v>
      </c>
      <c r="AE34" s="19">
        <f t="shared" si="14"/>
        <v>8.9654999999999987</v>
      </c>
      <c r="AF34" s="26">
        <v>1.33</v>
      </c>
      <c r="AG34" s="26">
        <v>0.17</v>
      </c>
      <c r="AH34" s="20">
        <v>2.25</v>
      </c>
      <c r="AI34" s="27">
        <v>2.9999999999999997E-4</v>
      </c>
      <c r="AJ34" s="28">
        <f t="shared" si="15"/>
        <v>0.40923076923076923</v>
      </c>
      <c r="AK34" s="28">
        <f t="shared" si="16"/>
        <v>5.2307692307692312E-2</v>
      </c>
      <c r="AL34" s="29">
        <f t="shared" si="17"/>
        <v>0.11058971029924898</v>
      </c>
      <c r="AM34" s="29">
        <f t="shared" si="18"/>
        <v>5.6031571182656474E-3</v>
      </c>
      <c r="AN34" s="29">
        <f t="shared" si="19"/>
        <v>0</v>
      </c>
      <c r="AO34" s="60">
        <f t="shared" si="20"/>
        <v>8.6770388080949206E-3</v>
      </c>
      <c r="AP34" s="60">
        <f t="shared" si="21"/>
        <v>3.4394764464430664E-3</v>
      </c>
      <c r="AQ34" s="60">
        <f t="shared" si="22"/>
        <v>1.2116515254537987E-2</v>
      </c>
      <c r="AS34" s="20">
        <v>1.29</v>
      </c>
    </row>
    <row r="35" spans="2:45">
      <c r="B35" s="18" t="s">
        <v>7</v>
      </c>
      <c r="C35" s="88">
        <f t="shared" si="23"/>
        <v>9.5</v>
      </c>
      <c r="D35" s="99">
        <v>10.5</v>
      </c>
      <c r="E35" s="100">
        <f t="shared" si="3"/>
        <v>1</v>
      </c>
      <c r="F35" s="99">
        <v>0.52</v>
      </c>
      <c r="G35" s="83"/>
      <c r="H35" s="179"/>
      <c r="I35" s="178">
        <v>89.7</v>
      </c>
      <c r="J35" s="31">
        <f t="shared" si="4"/>
        <v>0.40365000000000001</v>
      </c>
      <c r="K35" s="31">
        <f t="shared" si="0"/>
        <v>0.1492537313432836</v>
      </c>
      <c r="L35" s="57">
        <f t="shared" si="5"/>
        <v>1.1402000000000001</v>
      </c>
      <c r="M35" s="55">
        <f t="shared" si="6"/>
        <v>10</v>
      </c>
      <c r="N35" s="19">
        <f t="shared" si="24"/>
        <v>6.25</v>
      </c>
      <c r="O35" s="19">
        <f t="shared" si="25"/>
        <v>1.25</v>
      </c>
      <c r="P35" s="21">
        <f t="shared" si="7"/>
        <v>0.625</v>
      </c>
      <c r="Q35" s="21">
        <f t="shared" si="8"/>
        <v>0.125</v>
      </c>
      <c r="R35" s="130">
        <v>0.24299999999999999</v>
      </c>
      <c r="S35" s="19">
        <f t="shared" si="26"/>
        <v>8.75</v>
      </c>
      <c r="T35" s="19">
        <f t="shared" si="26"/>
        <v>1.25</v>
      </c>
      <c r="U35" s="21">
        <f t="shared" si="9"/>
        <v>36.008230452674901</v>
      </c>
      <c r="V35" s="21">
        <f t="shared" si="10"/>
        <v>5.1440329218106999</v>
      </c>
      <c r="W35" s="130">
        <v>0.28499999999999998</v>
      </c>
      <c r="X35" s="23">
        <f t="shared" si="28"/>
        <v>0.52800000000000002</v>
      </c>
      <c r="Y35" s="24">
        <f t="shared" si="1"/>
        <v>1</v>
      </c>
      <c r="Z35" s="25">
        <f t="shared" si="11"/>
        <v>10</v>
      </c>
      <c r="AA35" s="19">
        <f>$E$13*X35</f>
        <v>2.0100960000000003</v>
      </c>
      <c r="AB35" s="19">
        <f t="shared" si="27"/>
        <v>7.5849999999999991</v>
      </c>
      <c r="AC35" s="19">
        <f t="shared" si="12"/>
        <v>9.5950959999999998</v>
      </c>
      <c r="AD35" s="20">
        <f t="shared" si="13"/>
        <v>1.1499999999999999</v>
      </c>
      <c r="AE35" s="19">
        <f t="shared" si="14"/>
        <v>8.7227499999999978</v>
      </c>
      <c r="AF35" s="26">
        <v>1.34</v>
      </c>
      <c r="AG35" s="26">
        <v>0.2</v>
      </c>
      <c r="AH35" s="20">
        <v>2.25</v>
      </c>
      <c r="AI35" s="27">
        <v>2.9999999999999997E-4</v>
      </c>
      <c r="AJ35" s="28">
        <f t="shared" si="15"/>
        <v>0.41230769230769232</v>
      </c>
      <c r="AK35" s="28">
        <f t="shared" si="16"/>
        <v>6.1538461538461542E-2</v>
      </c>
      <c r="AL35" s="29">
        <f t="shared" si="17"/>
        <v>6.069784035361165E-2</v>
      </c>
      <c r="AM35" s="29">
        <f t="shared" si="18"/>
        <v>4.1395898781340416E-2</v>
      </c>
      <c r="AN35" s="29">
        <f t="shared" si="19"/>
        <v>0</v>
      </c>
      <c r="AO35" s="60">
        <f t="shared" si="20"/>
        <v>3.7352517140684096E-3</v>
      </c>
      <c r="AP35" s="60">
        <f t="shared" si="21"/>
        <v>1.7067847497537279E-2</v>
      </c>
      <c r="AQ35" s="60">
        <f t="shared" si="22"/>
        <v>2.080309921160569E-2</v>
      </c>
      <c r="AS35" s="20">
        <v>1.1499999999999999</v>
      </c>
    </row>
    <row r="36" spans="2:45">
      <c r="B36" s="84" t="s">
        <v>8</v>
      </c>
      <c r="C36" s="88">
        <f t="shared" si="23"/>
        <v>10.5</v>
      </c>
      <c r="D36" s="99">
        <v>13.5</v>
      </c>
      <c r="E36" s="100">
        <f t="shared" si="3"/>
        <v>3</v>
      </c>
      <c r="F36" s="99">
        <v>0.56999999999999995</v>
      </c>
      <c r="G36" s="83"/>
      <c r="H36" s="179"/>
      <c r="I36" s="178">
        <v>79.3</v>
      </c>
      <c r="J36" s="31">
        <f t="shared" si="4"/>
        <v>0.35684999999999995</v>
      </c>
      <c r="K36" s="26">
        <v>0.14000000000000001</v>
      </c>
      <c r="L36" s="57">
        <f t="shared" si="5"/>
        <v>0.9738</v>
      </c>
      <c r="M36" s="55">
        <f t="shared" si="6"/>
        <v>12</v>
      </c>
      <c r="N36" s="19">
        <f t="shared" ref="N36:N39" si="29">N35</f>
        <v>6.25</v>
      </c>
      <c r="O36" s="19">
        <f t="shared" ref="O36:O39" si="30">O35</f>
        <v>1.25</v>
      </c>
      <c r="P36" s="21">
        <f t="shared" ref="P36:P39" si="31">N36/M36</f>
        <v>0.52083333333333337</v>
      </c>
      <c r="Q36" s="21">
        <f t="shared" ref="Q36:Q39" si="32">O36/M36</f>
        <v>0.10416666666666667</v>
      </c>
      <c r="R36" s="130">
        <v>0.22</v>
      </c>
      <c r="S36" s="19">
        <f t="shared" si="26"/>
        <v>8.75</v>
      </c>
      <c r="T36" s="19">
        <f t="shared" si="26"/>
        <v>1.25</v>
      </c>
      <c r="U36" s="21">
        <f t="shared" si="9"/>
        <v>39.772727272727273</v>
      </c>
      <c r="V36" s="21">
        <f t="shared" si="10"/>
        <v>5.6818181818181817</v>
      </c>
      <c r="W36" s="130">
        <v>0.24199999999999999</v>
      </c>
      <c r="X36" s="23">
        <f t="shared" si="28"/>
        <v>0.46199999999999997</v>
      </c>
      <c r="Y36" s="24">
        <f t="shared" si="1"/>
        <v>3</v>
      </c>
      <c r="Z36" s="25">
        <f t="shared" ref="Z36:Z39" si="33">M36</f>
        <v>12</v>
      </c>
      <c r="AA36" s="19">
        <f t="shared" si="2"/>
        <v>1.758834</v>
      </c>
      <c r="AB36" s="19">
        <f t="shared" si="27"/>
        <v>8.6999999999999993</v>
      </c>
      <c r="AC36" s="19">
        <f t="shared" ref="AC36:AC39" si="34">AA36+AB36</f>
        <v>10.458834</v>
      </c>
      <c r="AD36" s="20">
        <f t="shared" si="13"/>
        <v>1</v>
      </c>
      <c r="AE36" s="19">
        <f t="shared" ref="AE36:AE39" si="35">AD36*AB36</f>
        <v>8.6999999999999993</v>
      </c>
      <c r="AF36" s="26"/>
      <c r="AG36" s="26"/>
      <c r="AH36" s="20"/>
      <c r="AI36" s="27">
        <v>2.5000000000000001E-4</v>
      </c>
      <c r="AJ36" s="28">
        <f>J36</f>
        <v>0.35684999999999995</v>
      </c>
      <c r="AK36" s="151">
        <f>AJ36*K36</f>
        <v>4.9958999999999996E-2</v>
      </c>
      <c r="AL36" s="29">
        <f t="shared" ref="AL36:AL39" si="36">IF(AC36&gt;AE36,LOG(AE36/AB36),0)</f>
        <v>0</v>
      </c>
      <c r="AM36" s="29">
        <f t="shared" ref="AM36:AM39" si="37">IF(AC36&gt;AE36,LOG(AC36/AE36),0)</f>
        <v>7.9964017420086936E-2</v>
      </c>
      <c r="AN36" s="29">
        <f t="shared" ref="AN36:AN39" si="38">IF(AC36&lt;=AE36,LOG(AC36/AB36),0)</f>
        <v>0</v>
      </c>
      <c r="AO36" s="60">
        <f t="shared" si="20"/>
        <v>0</v>
      </c>
      <c r="AP36" s="60">
        <f t="shared" si="21"/>
        <v>8.560547884907406E-2</v>
      </c>
      <c r="AQ36" s="60">
        <f t="shared" ref="AQ36:AQ39" si="39">AO36+AP36</f>
        <v>8.560547884907406E-2</v>
      </c>
      <c r="AS36" s="20">
        <v>1</v>
      </c>
    </row>
    <row r="37" spans="2:45">
      <c r="B37" s="84" t="s">
        <v>9</v>
      </c>
      <c r="C37" s="88">
        <f t="shared" si="23"/>
        <v>13.5</v>
      </c>
      <c r="D37" s="99">
        <v>15</v>
      </c>
      <c r="E37" s="100">
        <f t="shared" si="3"/>
        <v>1.5</v>
      </c>
      <c r="F37" s="99">
        <v>0.65</v>
      </c>
      <c r="G37" s="83"/>
      <c r="H37" s="179"/>
      <c r="I37" s="178">
        <v>46.8</v>
      </c>
      <c r="J37" s="31">
        <f t="shared" si="4"/>
        <v>0.21059999999999998</v>
      </c>
      <c r="K37" s="26">
        <v>0.14000000000000001</v>
      </c>
      <c r="L37" s="57">
        <f t="shared" si="5"/>
        <v>0.45380000000000004</v>
      </c>
      <c r="M37" s="55">
        <f t="shared" si="6"/>
        <v>14.25</v>
      </c>
      <c r="N37" s="19">
        <f t="shared" si="29"/>
        <v>6.25</v>
      </c>
      <c r="O37" s="19">
        <f t="shared" si="30"/>
        <v>1.25</v>
      </c>
      <c r="P37" s="21">
        <f t="shared" si="31"/>
        <v>0.43859649122807015</v>
      </c>
      <c r="Q37" s="21">
        <f t="shared" si="32"/>
        <v>8.771929824561403E-2</v>
      </c>
      <c r="R37" s="130">
        <v>0.185</v>
      </c>
      <c r="S37" s="19">
        <f t="shared" si="26"/>
        <v>8.75</v>
      </c>
      <c r="T37" s="19">
        <f t="shared" si="26"/>
        <v>1.25</v>
      </c>
      <c r="U37" s="21">
        <f t="shared" si="9"/>
        <v>47.297297297297298</v>
      </c>
      <c r="V37" s="21">
        <f t="shared" si="10"/>
        <v>6.756756756756757</v>
      </c>
      <c r="W37" s="130">
        <v>0.214</v>
      </c>
      <c r="X37" s="23">
        <f t="shared" si="28"/>
        <v>0.39900000000000002</v>
      </c>
      <c r="Y37" s="24">
        <f t="shared" si="1"/>
        <v>1.5</v>
      </c>
      <c r="Z37" s="25">
        <f t="shared" si="33"/>
        <v>14.25</v>
      </c>
      <c r="AA37" s="19">
        <f t="shared" si="2"/>
        <v>1.5189930000000003</v>
      </c>
      <c r="AB37" s="19">
        <f t="shared" si="27"/>
        <v>10.0425</v>
      </c>
      <c r="AC37" s="19">
        <f t="shared" si="34"/>
        <v>11.561493</v>
      </c>
      <c r="AD37" s="20">
        <f t="shared" si="13"/>
        <v>1</v>
      </c>
      <c r="AE37" s="19">
        <f t="shared" si="35"/>
        <v>10.0425</v>
      </c>
      <c r="AF37" s="26"/>
      <c r="AG37" s="26"/>
      <c r="AH37" s="20"/>
      <c r="AI37" s="27">
        <v>2.5000000000000001E-4</v>
      </c>
      <c r="AJ37" s="28">
        <f t="shared" ref="AJ37:AJ39" si="40">J37</f>
        <v>0.21059999999999998</v>
      </c>
      <c r="AK37" s="151">
        <f>AJ37*K37</f>
        <v>2.9484E-2</v>
      </c>
      <c r="AL37" s="29">
        <f t="shared" si="36"/>
        <v>0</v>
      </c>
      <c r="AM37" s="29">
        <f t="shared" si="37"/>
        <v>6.1172080168155923E-2</v>
      </c>
      <c r="AN37" s="29">
        <f t="shared" si="38"/>
        <v>0</v>
      </c>
      <c r="AO37" s="60">
        <f t="shared" si="20"/>
        <v>0</v>
      </c>
      <c r="AP37" s="60">
        <f t="shared" si="21"/>
        <v>1.9324260125120455E-2</v>
      </c>
      <c r="AQ37" s="60">
        <f t="shared" si="39"/>
        <v>1.9324260125120455E-2</v>
      </c>
      <c r="AS37" s="20">
        <v>1</v>
      </c>
    </row>
    <row r="38" spans="2:45">
      <c r="B38" s="84" t="s">
        <v>10</v>
      </c>
      <c r="C38" s="88">
        <f t="shared" si="23"/>
        <v>15</v>
      </c>
      <c r="D38" s="99">
        <v>20</v>
      </c>
      <c r="E38" s="100">
        <f t="shared" si="3"/>
        <v>5</v>
      </c>
      <c r="F38" s="99">
        <v>0.8</v>
      </c>
      <c r="G38" s="83"/>
      <c r="H38" s="179"/>
      <c r="I38" s="178">
        <v>38.700000000000003</v>
      </c>
      <c r="J38" s="31">
        <f t="shared" si="4"/>
        <v>0.17415</v>
      </c>
      <c r="K38" s="26">
        <v>0.14000000000000001</v>
      </c>
      <c r="L38" s="57">
        <f t="shared" si="5"/>
        <v>0.3242000000000001</v>
      </c>
      <c r="M38" s="55">
        <f t="shared" si="6"/>
        <v>17.5</v>
      </c>
      <c r="N38" s="19">
        <f t="shared" si="29"/>
        <v>6.25</v>
      </c>
      <c r="O38" s="19">
        <f t="shared" si="30"/>
        <v>1.25</v>
      </c>
      <c r="P38" s="21">
        <f t="shared" si="31"/>
        <v>0.35714285714285715</v>
      </c>
      <c r="Q38" s="21">
        <f t="shared" si="32"/>
        <v>7.1428571428571425E-2</v>
      </c>
      <c r="R38" s="130">
        <v>0.15</v>
      </c>
      <c r="S38" s="19">
        <f t="shared" si="26"/>
        <v>8.75</v>
      </c>
      <c r="T38" s="19">
        <f t="shared" si="26"/>
        <v>1.25</v>
      </c>
      <c r="U38" s="21">
        <f t="shared" si="9"/>
        <v>58.333333333333336</v>
      </c>
      <c r="V38" s="21">
        <f t="shared" si="10"/>
        <v>8.3333333333333339</v>
      </c>
      <c r="W38" s="130">
        <v>0.18</v>
      </c>
      <c r="X38" s="23">
        <f t="shared" si="28"/>
        <v>0.32999999999999996</v>
      </c>
      <c r="Y38" s="24">
        <f t="shared" si="1"/>
        <v>5</v>
      </c>
      <c r="Z38" s="25">
        <f t="shared" si="33"/>
        <v>17.5</v>
      </c>
      <c r="AA38" s="19">
        <f t="shared" si="2"/>
        <v>1.25631</v>
      </c>
      <c r="AB38" s="19">
        <f t="shared" si="27"/>
        <v>12.530000000000001</v>
      </c>
      <c r="AC38" s="19">
        <f t="shared" si="34"/>
        <v>13.78631</v>
      </c>
      <c r="AD38" s="20">
        <f t="shared" si="13"/>
        <v>1</v>
      </c>
      <c r="AE38" s="19">
        <f t="shared" si="35"/>
        <v>12.530000000000001</v>
      </c>
      <c r="AF38" s="26"/>
      <c r="AG38" s="26"/>
      <c r="AH38" s="20"/>
      <c r="AI38" s="27">
        <v>2.5000000000000001E-4</v>
      </c>
      <c r="AJ38" s="28">
        <f t="shared" si="40"/>
        <v>0.17415</v>
      </c>
      <c r="AK38" s="151">
        <f>AJ38*K38</f>
        <v>2.4381000000000003E-2</v>
      </c>
      <c r="AL38" s="29">
        <f t="shared" si="36"/>
        <v>0</v>
      </c>
      <c r="AM38" s="29">
        <f t="shared" si="37"/>
        <v>4.149696885208657E-2</v>
      </c>
      <c r="AN38" s="29">
        <f t="shared" si="38"/>
        <v>0</v>
      </c>
      <c r="AO38" s="60">
        <f t="shared" si="20"/>
        <v>0</v>
      </c>
      <c r="AP38" s="60">
        <f t="shared" si="21"/>
        <v>3.6133485627954383E-2</v>
      </c>
      <c r="AQ38" s="60">
        <f t="shared" si="39"/>
        <v>3.6133485627954383E-2</v>
      </c>
      <c r="AS38" s="20">
        <v>1</v>
      </c>
    </row>
    <row r="39" spans="2:45">
      <c r="B39" s="84" t="s">
        <v>11</v>
      </c>
      <c r="C39" s="88">
        <f t="shared" si="23"/>
        <v>20</v>
      </c>
      <c r="D39" s="99">
        <v>20</v>
      </c>
      <c r="E39" s="100">
        <f t="shared" si="3"/>
        <v>0</v>
      </c>
      <c r="F39" s="99">
        <v>0.8</v>
      </c>
      <c r="G39" s="83"/>
      <c r="H39" s="179"/>
      <c r="I39" s="178">
        <v>35.6</v>
      </c>
      <c r="J39" s="31">
        <f t="shared" si="4"/>
        <v>0.16019999999999998</v>
      </c>
      <c r="K39" s="26">
        <v>0.14000000000000001</v>
      </c>
      <c r="L39" s="57">
        <f t="shared" si="5"/>
        <v>0.27460000000000001</v>
      </c>
      <c r="M39" s="55">
        <f t="shared" si="6"/>
        <v>20</v>
      </c>
      <c r="N39" s="19">
        <f t="shared" si="29"/>
        <v>6.25</v>
      </c>
      <c r="O39" s="19">
        <f t="shared" si="30"/>
        <v>1.25</v>
      </c>
      <c r="P39" s="21">
        <f t="shared" si="31"/>
        <v>0.3125</v>
      </c>
      <c r="Q39" s="21">
        <f t="shared" si="32"/>
        <v>6.25E-2</v>
      </c>
      <c r="R39" s="130">
        <v>0.13</v>
      </c>
      <c r="S39" s="19">
        <f t="shared" si="26"/>
        <v>8.75</v>
      </c>
      <c r="T39" s="19">
        <f t="shared" si="26"/>
        <v>1.25</v>
      </c>
      <c r="U39" s="21">
        <f t="shared" si="9"/>
        <v>67.307692307692307</v>
      </c>
      <c r="V39" s="21">
        <f t="shared" si="10"/>
        <v>9.615384615384615</v>
      </c>
      <c r="W39" s="130">
        <v>0.17</v>
      </c>
      <c r="X39" s="23">
        <f t="shared" si="28"/>
        <v>0.30000000000000004</v>
      </c>
      <c r="Y39" s="24">
        <f t="shared" si="1"/>
        <v>0</v>
      </c>
      <c r="Z39" s="25">
        <f t="shared" si="33"/>
        <v>20</v>
      </c>
      <c r="AA39" s="19">
        <f t="shared" si="2"/>
        <v>1.1421000000000003</v>
      </c>
      <c r="AB39" s="19">
        <f t="shared" si="27"/>
        <v>14.530000000000001</v>
      </c>
      <c r="AC39" s="19">
        <f t="shared" si="34"/>
        <v>15.672100000000002</v>
      </c>
      <c r="AD39" s="20">
        <f t="shared" si="13"/>
        <v>1</v>
      </c>
      <c r="AE39" s="19">
        <f t="shared" si="35"/>
        <v>14.530000000000001</v>
      </c>
      <c r="AF39" s="26"/>
      <c r="AG39" s="26"/>
      <c r="AH39" s="20"/>
      <c r="AI39" s="27">
        <v>2.5000000000000001E-4</v>
      </c>
      <c r="AJ39" s="28">
        <f t="shared" si="40"/>
        <v>0.16019999999999998</v>
      </c>
      <c r="AK39" s="151">
        <f>AJ39*K39</f>
        <v>2.2428E-2</v>
      </c>
      <c r="AL39" s="29">
        <f t="shared" si="36"/>
        <v>0</v>
      </c>
      <c r="AM39" s="29">
        <f t="shared" si="37"/>
        <v>3.2861579828885157E-2</v>
      </c>
      <c r="AN39" s="29">
        <f t="shared" si="38"/>
        <v>0</v>
      </c>
      <c r="AO39" s="60">
        <f t="shared" si="20"/>
        <v>0</v>
      </c>
      <c r="AP39" s="60">
        <f t="shared" si="21"/>
        <v>0</v>
      </c>
      <c r="AQ39" s="60">
        <f t="shared" si="39"/>
        <v>0</v>
      </c>
      <c r="AS39" s="20">
        <v>1</v>
      </c>
    </row>
    <row r="40" spans="2:45">
      <c r="B40" s="32"/>
      <c r="C40" s="19"/>
      <c r="D40" s="26"/>
      <c r="E40" s="31"/>
      <c r="F40" s="26"/>
      <c r="G40" s="83"/>
      <c r="H40" s="11"/>
      <c r="I40" s="33"/>
      <c r="J40" s="17"/>
      <c r="K40" s="17"/>
      <c r="L40" s="33"/>
      <c r="M40" s="55"/>
      <c r="N40" s="19"/>
      <c r="O40" s="19"/>
      <c r="P40" s="21"/>
      <c r="Q40" s="21"/>
      <c r="R40" s="22"/>
      <c r="S40" s="22"/>
      <c r="T40" s="22"/>
      <c r="U40" s="22"/>
      <c r="V40" s="22"/>
      <c r="W40" s="22"/>
      <c r="X40" s="23"/>
      <c r="Y40" s="49"/>
      <c r="Z40" s="50"/>
      <c r="AA40" s="19"/>
      <c r="AB40" s="19"/>
      <c r="AC40" s="19"/>
      <c r="AD40" s="20"/>
      <c r="AE40" s="19"/>
      <c r="AF40" s="26"/>
      <c r="AG40" s="26"/>
      <c r="AH40" s="20"/>
      <c r="AI40" s="27"/>
      <c r="AJ40" s="28"/>
      <c r="AK40" s="28"/>
      <c r="AL40" s="29"/>
      <c r="AM40" s="29"/>
      <c r="AN40" s="29"/>
      <c r="AO40" s="60"/>
      <c r="AP40" s="60"/>
      <c r="AQ40" s="60"/>
    </row>
    <row r="41" spans="2:45">
      <c r="B41" s="47"/>
      <c r="C41" s="34"/>
      <c r="D41" s="35"/>
      <c r="E41" s="36"/>
      <c r="F41" s="35"/>
      <c r="G41" s="11"/>
      <c r="H41" s="11"/>
      <c r="I41" s="11"/>
      <c r="J41" s="11"/>
      <c r="K41" s="11"/>
      <c r="L41" s="11"/>
      <c r="M41" s="38"/>
      <c r="N41" s="34"/>
      <c r="O41" s="34"/>
      <c r="P41" s="38"/>
      <c r="Q41" s="38"/>
      <c r="R41" s="39"/>
      <c r="S41" s="39"/>
      <c r="T41" s="39"/>
      <c r="U41" s="39"/>
      <c r="V41" s="39"/>
      <c r="W41" s="39"/>
      <c r="X41" s="40"/>
      <c r="Y41" s="51"/>
      <c r="Z41" s="52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3"/>
      <c r="AO41" s="17"/>
      <c r="AP41" s="17"/>
      <c r="AQ41" s="30"/>
    </row>
    <row r="42" spans="2:45">
      <c r="B42" s="48"/>
      <c r="C42" s="41"/>
      <c r="D42" s="42"/>
      <c r="E42" s="43"/>
      <c r="F42" s="42"/>
      <c r="G42" s="11"/>
      <c r="H42" s="11"/>
      <c r="I42" s="11"/>
      <c r="J42" s="11"/>
      <c r="K42" s="11"/>
      <c r="L42" s="11"/>
      <c r="M42" s="44"/>
      <c r="N42" s="41"/>
      <c r="O42" s="41"/>
      <c r="P42" s="44"/>
      <c r="Q42" s="44"/>
      <c r="R42" s="45"/>
      <c r="S42" s="45"/>
      <c r="T42" s="45"/>
      <c r="U42" s="45"/>
      <c r="V42" s="45"/>
      <c r="W42" s="45"/>
      <c r="X42" s="46"/>
      <c r="Y42" s="53"/>
      <c r="Z42" s="54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33" t="s">
        <v>55</v>
      </c>
      <c r="AO42" s="60">
        <f>SUM(AO29:AO41)</f>
        <v>0.10724536627029241</v>
      </c>
      <c r="AP42" s="60">
        <f>SUM(AP29:AP41)</f>
        <v>0.26799904959668747</v>
      </c>
      <c r="AQ42" s="61">
        <f>SUM(AO42:AP42)</f>
        <v>0.37524441586697987</v>
      </c>
    </row>
    <row r="43" spans="2:45">
      <c r="B43" t="s">
        <v>80</v>
      </c>
    </row>
    <row r="44" spans="2:45">
      <c r="B44" s="108" t="s">
        <v>72</v>
      </c>
      <c r="C44" s="94" t="str">
        <f>I27</f>
        <v>wn</v>
      </c>
      <c r="D44" s="109" t="str">
        <f>J27</f>
        <v>CR</v>
      </c>
      <c r="E44" s="94" t="str">
        <f>K27</f>
        <v>RR/CR</v>
      </c>
      <c r="F44" s="110" t="str">
        <f>L27</f>
        <v>Cr</v>
      </c>
    </row>
    <row r="45" spans="2:45">
      <c r="B45" s="111"/>
      <c r="C45" s="112"/>
      <c r="D45" s="113"/>
      <c r="E45" s="112"/>
      <c r="F45" s="114"/>
    </row>
    <row r="46" spans="2:45">
      <c r="B46" s="18" t="str">
        <f t="shared" ref="B46:B56" si="41">B29</f>
        <v>A0</v>
      </c>
      <c r="C46" s="89">
        <f t="shared" ref="C46:F46" si="42">I29</f>
        <v>57.8</v>
      </c>
      <c r="D46" s="89">
        <f t="shared" si="42"/>
        <v>0.26009999999999994</v>
      </c>
      <c r="E46" s="89">
        <f t="shared" si="42"/>
        <v>0.20634920634920637</v>
      </c>
      <c r="F46" s="89">
        <f t="shared" si="42"/>
        <v>0.62979999999999992</v>
      </c>
    </row>
    <row r="47" spans="2:45">
      <c r="B47" s="18" t="str">
        <f t="shared" si="41"/>
        <v>A1</v>
      </c>
      <c r="C47" s="89">
        <f t="shared" ref="C47:F47" si="43">I30</f>
        <v>68.900000000000006</v>
      </c>
      <c r="D47" s="89">
        <f t="shared" si="43"/>
        <v>0.31004999999999999</v>
      </c>
      <c r="E47" s="89">
        <f t="shared" si="43"/>
        <v>0.16091954022988508</v>
      </c>
      <c r="F47" s="89">
        <f t="shared" si="43"/>
        <v>0.80740000000000012</v>
      </c>
    </row>
    <row r="48" spans="2:45">
      <c r="B48" s="18" t="str">
        <f t="shared" si="41"/>
        <v>A2</v>
      </c>
      <c r="C48" s="89">
        <f t="shared" ref="C48:F48" si="44">I31</f>
        <v>78.7</v>
      </c>
      <c r="D48" s="89">
        <f t="shared" si="44"/>
        <v>0.35414999999999996</v>
      </c>
      <c r="E48" s="89">
        <f t="shared" si="44"/>
        <v>0.11881188118811879</v>
      </c>
      <c r="F48" s="89">
        <f t="shared" si="44"/>
        <v>0.96420000000000017</v>
      </c>
    </row>
    <row r="49" spans="1:8">
      <c r="B49" s="18" t="str">
        <f t="shared" si="41"/>
        <v>A3</v>
      </c>
      <c r="C49" s="89">
        <f t="shared" ref="C49:F49" si="45">I32</f>
        <v>83.4</v>
      </c>
      <c r="D49" s="89">
        <f t="shared" si="45"/>
        <v>0.37530000000000002</v>
      </c>
      <c r="E49" s="89">
        <f t="shared" si="45"/>
        <v>0.14782608695652177</v>
      </c>
      <c r="F49" s="89">
        <f t="shared" si="45"/>
        <v>1.0394000000000001</v>
      </c>
    </row>
    <row r="50" spans="1:8">
      <c r="B50" s="18" t="str">
        <f t="shared" si="41"/>
        <v>A4</v>
      </c>
      <c r="C50" s="89">
        <f t="shared" ref="C50:F50" si="46">I33</f>
        <v>91.2</v>
      </c>
      <c r="D50" s="89">
        <f t="shared" si="46"/>
        <v>0.41039999999999999</v>
      </c>
      <c r="E50" s="89">
        <f t="shared" si="46"/>
        <v>0.128</v>
      </c>
      <c r="F50" s="89">
        <f t="shared" si="46"/>
        <v>1.1642000000000001</v>
      </c>
    </row>
    <row r="51" spans="1:8">
      <c r="B51" s="18" t="str">
        <f t="shared" si="41"/>
        <v>A5</v>
      </c>
      <c r="C51" s="89">
        <f t="shared" ref="C51:F51" si="47">I34</f>
        <v>88.9</v>
      </c>
      <c r="D51" s="89">
        <f t="shared" si="47"/>
        <v>0.40005000000000002</v>
      </c>
      <c r="E51" s="89">
        <f t="shared" si="47"/>
        <v>0.12781954887218047</v>
      </c>
      <c r="F51" s="89">
        <f t="shared" si="47"/>
        <v>1.1274000000000002</v>
      </c>
    </row>
    <row r="52" spans="1:8">
      <c r="B52" s="18" t="str">
        <f t="shared" si="41"/>
        <v>A6</v>
      </c>
      <c r="C52" s="89">
        <f t="shared" ref="C52:F52" si="48">I35</f>
        <v>89.7</v>
      </c>
      <c r="D52" s="89">
        <f t="shared" si="48"/>
        <v>0.40365000000000001</v>
      </c>
      <c r="E52" s="89">
        <f t="shared" si="48"/>
        <v>0.1492537313432836</v>
      </c>
      <c r="F52" s="89">
        <f t="shared" si="48"/>
        <v>1.1402000000000001</v>
      </c>
    </row>
    <row r="53" spans="1:8">
      <c r="B53" s="18" t="str">
        <f t="shared" si="41"/>
        <v>A7</v>
      </c>
      <c r="C53" s="89">
        <f t="shared" ref="C53:F53" si="49">I36</f>
        <v>79.3</v>
      </c>
      <c r="D53" s="89">
        <f t="shared" si="49"/>
        <v>0.35684999999999995</v>
      </c>
      <c r="E53" s="89">
        <f t="shared" si="49"/>
        <v>0.14000000000000001</v>
      </c>
      <c r="F53" s="89">
        <f t="shared" si="49"/>
        <v>0.9738</v>
      </c>
    </row>
    <row r="54" spans="1:8">
      <c r="B54" s="18" t="str">
        <f t="shared" si="41"/>
        <v>A8</v>
      </c>
      <c r="C54" s="89">
        <f t="shared" ref="C54:F54" si="50">I37</f>
        <v>46.8</v>
      </c>
      <c r="D54" s="89">
        <f t="shared" si="50"/>
        <v>0.21059999999999998</v>
      </c>
      <c r="E54" s="89">
        <f t="shared" si="50"/>
        <v>0.14000000000000001</v>
      </c>
      <c r="F54" s="89">
        <f t="shared" si="50"/>
        <v>0.45380000000000004</v>
      </c>
    </row>
    <row r="55" spans="1:8">
      <c r="B55" s="18" t="str">
        <f t="shared" si="41"/>
        <v>A9</v>
      </c>
      <c r="C55" s="89">
        <f t="shared" ref="C55:C56" si="51">I38</f>
        <v>38.700000000000003</v>
      </c>
      <c r="D55" s="89">
        <f t="shared" ref="D55:D56" si="52">J38</f>
        <v>0.17415</v>
      </c>
      <c r="E55" s="89">
        <f t="shared" ref="E55:E56" si="53">K38</f>
        <v>0.14000000000000001</v>
      </c>
      <c r="F55" s="89">
        <f t="shared" ref="F55:F56" si="54">L38</f>
        <v>0.3242000000000001</v>
      </c>
    </row>
    <row r="56" spans="1:8">
      <c r="B56" s="18" t="str">
        <f t="shared" si="41"/>
        <v>A10</v>
      </c>
      <c r="C56" s="89">
        <f t="shared" si="51"/>
        <v>35.6</v>
      </c>
      <c r="D56" s="89">
        <f t="shared" si="52"/>
        <v>0.16019999999999998</v>
      </c>
      <c r="E56" s="89">
        <f t="shared" si="53"/>
        <v>0.14000000000000001</v>
      </c>
      <c r="F56" s="89">
        <f t="shared" si="54"/>
        <v>0.27460000000000001</v>
      </c>
    </row>
    <row r="58" spans="1:8">
      <c r="B58" t="s">
        <v>81</v>
      </c>
    </row>
    <row r="59" spans="1:8">
      <c r="A59" s="94" t="s">
        <v>72</v>
      </c>
      <c r="B59" s="94" t="str">
        <f>M27</f>
        <v>z average</v>
      </c>
      <c r="C59" s="94" t="str">
        <f t="shared" ref="C59:F59" si="55">N27</f>
        <v>a</v>
      </c>
      <c r="D59" s="94" t="str">
        <f t="shared" si="55"/>
        <v>b</v>
      </c>
      <c r="E59" s="94" t="str">
        <f t="shared" si="55"/>
        <v>a/z</v>
      </c>
      <c r="F59" s="94" t="str">
        <f t="shared" si="55"/>
        <v>b/z</v>
      </c>
      <c r="G59" s="94" t="s">
        <v>22</v>
      </c>
      <c r="H59" s="94" t="str">
        <f>X27</f>
        <v>I1+I2</v>
      </c>
    </row>
    <row r="60" spans="1:8">
      <c r="A60" s="107"/>
      <c r="B60" s="96"/>
      <c r="C60" s="96" t="str">
        <f t="shared" ref="C60:C71" si="56">N28</f>
        <v>(m)</v>
      </c>
      <c r="D60" s="96" t="str">
        <f t="shared" ref="D60:D71" si="57">O28</f>
        <v>(m)</v>
      </c>
      <c r="E60" s="96"/>
      <c r="F60" s="96"/>
      <c r="G60" s="96"/>
      <c r="H60" s="96"/>
    </row>
    <row r="61" spans="1:8">
      <c r="A61" s="18" t="str">
        <f>B46</f>
        <v>A0</v>
      </c>
      <c r="B61" s="88">
        <f t="shared" ref="B61:B71" si="58">M29</f>
        <v>1</v>
      </c>
      <c r="C61" s="88">
        <f t="shared" si="56"/>
        <v>6.25</v>
      </c>
      <c r="D61" s="88">
        <f t="shared" si="57"/>
        <v>1.25</v>
      </c>
      <c r="E61" s="88">
        <f t="shared" ref="E61:E71" si="59">P29</f>
        <v>6.25</v>
      </c>
      <c r="F61" s="88">
        <f t="shared" ref="F61:F71" si="60">Q29</f>
        <v>1.25</v>
      </c>
      <c r="G61" s="88">
        <f t="shared" ref="G61:G71" si="61">R29</f>
        <v>0.49</v>
      </c>
      <c r="H61" s="88">
        <f t="shared" ref="H61:H71" si="62">X29</f>
        <v>0.98</v>
      </c>
    </row>
    <row r="62" spans="1:8">
      <c r="A62" s="18" t="str">
        <f t="shared" ref="A62:A71" si="63">B47</f>
        <v>A1</v>
      </c>
      <c r="B62" s="88">
        <f t="shared" si="58"/>
        <v>2.75</v>
      </c>
      <c r="C62" s="88">
        <f t="shared" si="56"/>
        <v>6.25</v>
      </c>
      <c r="D62" s="88">
        <f t="shared" si="57"/>
        <v>1.25</v>
      </c>
      <c r="E62" s="88">
        <f t="shared" si="59"/>
        <v>2.2727272727272729</v>
      </c>
      <c r="F62" s="88">
        <f t="shared" si="60"/>
        <v>0.45454545454545453</v>
      </c>
      <c r="G62" s="88">
        <f t="shared" si="61"/>
        <v>0.43</v>
      </c>
      <c r="H62" s="88">
        <f t="shared" si="62"/>
        <v>0.88200000000000001</v>
      </c>
    </row>
    <row r="63" spans="1:8">
      <c r="A63" s="18" t="str">
        <f t="shared" si="63"/>
        <v>A2</v>
      </c>
      <c r="B63" s="88">
        <f t="shared" si="58"/>
        <v>4.25</v>
      </c>
      <c r="C63" s="88">
        <f t="shared" si="56"/>
        <v>6.25</v>
      </c>
      <c r="D63" s="88">
        <f t="shared" si="57"/>
        <v>1.25</v>
      </c>
      <c r="E63" s="88">
        <f t="shared" si="59"/>
        <v>1.4705882352941178</v>
      </c>
      <c r="F63" s="88">
        <f t="shared" si="60"/>
        <v>0.29411764705882354</v>
      </c>
      <c r="G63" s="88">
        <f t="shared" si="61"/>
        <v>0.39</v>
      </c>
      <c r="H63" s="88">
        <f t="shared" si="62"/>
        <v>0.8</v>
      </c>
    </row>
    <row r="64" spans="1:8">
      <c r="A64" s="18" t="str">
        <f t="shared" si="63"/>
        <v>A3</v>
      </c>
      <c r="B64" s="88">
        <f t="shared" si="58"/>
        <v>5.75</v>
      </c>
      <c r="C64" s="88">
        <f t="shared" si="56"/>
        <v>6.25</v>
      </c>
      <c r="D64" s="88">
        <f t="shared" si="57"/>
        <v>1.25</v>
      </c>
      <c r="E64" s="88">
        <f t="shared" si="59"/>
        <v>1.0869565217391304</v>
      </c>
      <c r="F64" s="88">
        <f t="shared" si="60"/>
        <v>0.21739130434782608</v>
      </c>
      <c r="G64" s="88">
        <f t="shared" si="61"/>
        <v>0.313</v>
      </c>
      <c r="H64" s="88">
        <f t="shared" si="62"/>
        <v>0.68300000000000005</v>
      </c>
    </row>
    <row r="65" spans="1:8">
      <c r="A65" s="18" t="str">
        <f t="shared" si="63"/>
        <v>A4</v>
      </c>
      <c r="B65" s="88">
        <f t="shared" si="58"/>
        <v>7.25</v>
      </c>
      <c r="C65" s="88">
        <f t="shared" si="56"/>
        <v>6.25</v>
      </c>
      <c r="D65" s="88">
        <f t="shared" si="57"/>
        <v>1.25</v>
      </c>
      <c r="E65" s="88">
        <f t="shared" si="59"/>
        <v>0.86206896551724133</v>
      </c>
      <c r="F65" s="88">
        <f t="shared" si="60"/>
        <v>0.17241379310344829</v>
      </c>
      <c r="G65" s="88">
        <f t="shared" si="61"/>
        <v>0.28999999999999998</v>
      </c>
      <c r="H65" s="88">
        <f t="shared" si="62"/>
        <v>0.61499999999999999</v>
      </c>
    </row>
    <row r="66" spans="1:8">
      <c r="A66" s="18" t="str">
        <f t="shared" si="63"/>
        <v>A5</v>
      </c>
      <c r="B66" s="88">
        <f t="shared" si="58"/>
        <v>8.75</v>
      </c>
      <c r="C66" s="88">
        <f t="shared" si="56"/>
        <v>6.25</v>
      </c>
      <c r="D66" s="88">
        <f t="shared" si="57"/>
        <v>1.25</v>
      </c>
      <c r="E66" s="88">
        <f t="shared" si="59"/>
        <v>0.7142857142857143</v>
      </c>
      <c r="F66" s="88">
        <f t="shared" si="60"/>
        <v>0.14285714285714285</v>
      </c>
      <c r="G66" s="88">
        <f t="shared" si="61"/>
        <v>0.26</v>
      </c>
      <c r="H66" s="88">
        <f t="shared" si="62"/>
        <v>0.56000000000000005</v>
      </c>
    </row>
    <row r="67" spans="1:8">
      <c r="A67" s="18" t="str">
        <f t="shared" si="63"/>
        <v>A6</v>
      </c>
      <c r="B67" s="88">
        <f t="shared" si="58"/>
        <v>10</v>
      </c>
      <c r="C67" s="88">
        <f t="shared" si="56"/>
        <v>6.25</v>
      </c>
      <c r="D67" s="88">
        <f t="shared" si="57"/>
        <v>1.25</v>
      </c>
      <c r="E67" s="88">
        <f t="shared" si="59"/>
        <v>0.625</v>
      </c>
      <c r="F67" s="88">
        <f t="shared" si="60"/>
        <v>0.125</v>
      </c>
      <c r="G67" s="88">
        <f t="shared" si="61"/>
        <v>0.24299999999999999</v>
      </c>
      <c r="H67" s="88">
        <f t="shared" si="62"/>
        <v>0.52800000000000002</v>
      </c>
    </row>
    <row r="68" spans="1:8">
      <c r="A68" s="18" t="str">
        <f t="shared" si="63"/>
        <v>A7</v>
      </c>
      <c r="B68" s="88">
        <f t="shared" si="58"/>
        <v>12</v>
      </c>
      <c r="C68" s="88">
        <f t="shared" si="56"/>
        <v>6.25</v>
      </c>
      <c r="D68" s="88">
        <f t="shared" si="57"/>
        <v>1.25</v>
      </c>
      <c r="E68" s="88">
        <f t="shared" si="59"/>
        <v>0.52083333333333337</v>
      </c>
      <c r="F68" s="88">
        <f t="shared" si="60"/>
        <v>0.10416666666666667</v>
      </c>
      <c r="G68" s="88">
        <f t="shared" si="61"/>
        <v>0.22</v>
      </c>
      <c r="H68" s="88">
        <f t="shared" si="62"/>
        <v>0.46199999999999997</v>
      </c>
    </row>
    <row r="69" spans="1:8">
      <c r="A69" s="18" t="str">
        <f t="shared" si="63"/>
        <v>A8</v>
      </c>
      <c r="B69" s="88">
        <f t="shared" si="58"/>
        <v>14.25</v>
      </c>
      <c r="C69" s="88">
        <f t="shared" si="56"/>
        <v>6.25</v>
      </c>
      <c r="D69" s="88">
        <f t="shared" si="57"/>
        <v>1.25</v>
      </c>
      <c r="E69" s="88">
        <f t="shared" si="59"/>
        <v>0.43859649122807015</v>
      </c>
      <c r="F69" s="88">
        <f t="shared" si="60"/>
        <v>8.771929824561403E-2</v>
      </c>
      <c r="G69" s="88">
        <f t="shared" si="61"/>
        <v>0.185</v>
      </c>
      <c r="H69" s="88">
        <f t="shared" si="62"/>
        <v>0.39900000000000002</v>
      </c>
    </row>
    <row r="70" spans="1:8">
      <c r="A70" s="18" t="str">
        <f t="shared" si="63"/>
        <v>A9</v>
      </c>
      <c r="B70" s="88">
        <f t="shared" si="58"/>
        <v>17.5</v>
      </c>
      <c r="C70" s="88">
        <f t="shared" si="56"/>
        <v>6.25</v>
      </c>
      <c r="D70" s="88">
        <f t="shared" si="57"/>
        <v>1.25</v>
      </c>
      <c r="E70" s="88">
        <f t="shared" si="59"/>
        <v>0.35714285714285715</v>
      </c>
      <c r="F70" s="88">
        <f t="shared" si="60"/>
        <v>7.1428571428571425E-2</v>
      </c>
      <c r="G70" s="88">
        <f t="shared" si="61"/>
        <v>0.15</v>
      </c>
      <c r="H70" s="88">
        <f t="shared" si="62"/>
        <v>0.32999999999999996</v>
      </c>
    </row>
    <row r="71" spans="1:8">
      <c r="A71" s="18" t="str">
        <f t="shared" si="63"/>
        <v>A10</v>
      </c>
      <c r="B71" s="88">
        <f t="shared" si="58"/>
        <v>20</v>
      </c>
      <c r="C71" s="88">
        <f t="shared" si="56"/>
        <v>6.25</v>
      </c>
      <c r="D71" s="88">
        <f t="shared" si="57"/>
        <v>1.25</v>
      </c>
      <c r="E71" s="88">
        <f t="shared" si="59"/>
        <v>0.3125</v>
      </c>
      <c r="F71" s="88">
        <f t="shared" si="60"/>
        <v>6.25E-2</v>
      </c>
      <c r="G71" s="88">
        <f t="shared" si="61"/>
        <v>0.13</v>
      </c>
      <c r="H71" s="88">
        <f t="shared" si="62"/>
        <v>0.30000000000000004</v>
      </c>
    </row>
    <row r="73" spans="1:8">
      <c r="A73" s="18" t="str">
        <f>A61</f>
        <v>A0</v>
      </c>
      <c r="B73" s="88">
        <f>B61</f>
        <v>1</v>
      </c>
      <c r="C73" s="88">
        <f>S29</f>
        <v>8.75</v>
      </c>
      <c r="D73" s="88">
        <f t="shared" ref="D73:G73" si="64">T29</f>
        <v>1.25</v>
      </c>
      <c r="E73" s="88">
        <f t="shared" si="64"/>
        <v>17.857142857142858</v>
      </c>
      <c r="F73" s="88">
        <f t="shared" si="64"/>
        <v>2.5510204081632653</v>
      </c>
      <c r="G73" s="88">
        <f t="shared" si="64"/>
        <v>0.49</v>
      </c>
    </row>
    <row r="74" spans="1:8">
      <c r="A74" s="18" t="str">
        <f t="shared" ref="A74:B82" si="65">A62</f>
        <v>A1</v>
      </c>
      <c r="B74" s="88">
        <f t="shared" si="65"/>
        <v>2.75</v>
      </c>
      <c r="C74" s="88">
        <f t="shared" ref="C74:C83" si="66">S30</f>
        <v>8.75</v>
      </c>
      <c r="D74" s="88">
        <f t="shared" ref="D74:D83" si="67">T30</f>
        <v>1.25</v>
      </c>
      <c r="E74" s="88">
        <f t="shared" ref="E74:E83" si="68">U30</f>
        <v>20.348837209302324</v>
      </c>
      <c r="F74" s="88">
        <f t="shared" ref="F74:F83" si="69">V30</f>
        <v>2.9069767441860463</v>
      </c>
      <c r="G74" s="88">
        <f t="shared" ref="G74:G83" si="70">W30</f>
        <v>0.45200000000000001</v>
      </c>
    </row>
    <row r="75" spans="1:8">
      <c r="A75" s="18" t="str">
        <f t="shared" si="65"/>
        <v>A2</v>
      </c>
      <c r="B75" s="88">
        <f t="shared" si="65"/>
        <v>4.25</v>
      </c>
      <c r="C75" s="88">
        <f t="shared" si="66"/>
        <v>8.75</v>
      </c>
      <c r="D75" s="88">
        <f t="shared" si="67"/>
        <v>1.25</v>
      </c>
      <c r="E75" s="88">
        <f t="shared" si="68"/>
        <v>22.435897435897434</v>
      </c>
      <c r="F75" s="88">
        <f t="shared" si="69"/>
        <v>3.2051282051282048</v>
      </c>
      <c r="G75" s="88">
        <f t="shared" si="70"/>
        <v>0.41</v>
      </c>
    </row>
    <row r="76" spans="1:8">
      <c r="A76" s="18" t="str">
        <f t="shared" si="65"/>
        <v>A3</v>
      </c>
      <c r="B76" s="88">
        <f t="shared" si="65"/>
        <v>5.75</v>
      </c>
      <c r="C76" s="88">
        <f t="shared" si="66"/>
        <v>8.75</v>
      </c>
      <c r="D76" s="88">
        <f t="shared" si="67"/>
        <v>1.25</v>
      </c>
      <c r="E76" s="88">
        <f t="shared" si="68"/>
        <v>27.955271565495206</v>
      </c>
      <c r="F76" s="88">
        <f t="shared" si="69"/>
        <v>3.9936102236421727</v>
      </c>
      <c r="G76" s="88">
        <f t="shared" si="70"/>
        <v>0.37</v>
      </c>
    </row>
    <row r="77" spans="1:8">
      <c r="A77" s="18" t="str">
        <f t="shared" si="65"/>
        <v>A4</v>
      </c>
      <c r="B77" s="88">
        <f t="shared" si="65"/>
        <v>7.25</v>
      </c>
      <c r="C77" s="88">
        <f t="shared" si="66"/>
        <v>8.75</v>
      </c>
      <c r="D77" s="88">
        <f t="shared" si="67"/>
        <v>1.25</v>
      </c>
      <c r="E77" s="88">
        <f t="shared" si="68"/>
        <v>30.172413793103452</v>
      </c>
      <c r="F77" s="88">
        <f t="shared" si="69"/>
        <v>4.3103448275862073</v>
      </c>
      <c r="G77" s="88">
        <f t="shared" si="70"/>
        <v>0.32500000000000001</v>
      </c>
    </row>
    <row r="78" spans="1:8">
      <c r="A78" s="18" t="str">
        <f t="shared" si="65"/>
        <v>A5</v>
      </c>
      <c r="B78" s="88">
        <f t="shared" si="65"/>
        <v>8.75</v>
      </c>
      <c r="C78" s="88">
        <f t="shared" si="66"/>
        <v>8.75</v>
      </c>
      <c r="D78" s="88">
        <f t="shared" si="67"/>
        <v>1.25</v>
      </c>
      <c r="E78" s="88">
        <f t="shared" si="68"/>
        <v>33.653846153846153</v>
      </c>
      <c r="F78" s="88">
        <f t="shared" si="69"/>
        <v>4.8076923076923075</v>
      </c>
      <c r="G78" s="88">
        <f t="shared" si="70"/>
        <v>0.3</v>
      </c>
    </row>
    <row r="79" spans="1:8">
      <c r="A79" s="18" t="str">
        <f t="shared" si="65"/>
        <v>A6</v>
      </c>
      <c r="B79" s="88">
        <f t="shared" si="65"/>
        <v>10</v>
      </c>
      <c r="C79" s="88">
        <f t="shared" si="66"/>
        <v>8.75</v>
      </c>
      <c r="D79" s="88">
        <f t="shared" si="67"/>
        <v>1.25</v>
      </c>
      <c r="E79" s="88">
        <f t="shared" si="68"/>
        <v>36.008230452674901</v>
      </c>
      <c r="F79" s="88">
        <f t="shared" si="69"/>
        <v>5.1440329218106999</v>
      </c>
      <c r="G79" s="88">
        <f t="shared" si="70"/>
        <v>0.28499999999999998</v>
      </c>
    </row>
    <row r="80" spans="1:8">
      <c r="A80" s="18" t="str">
        <f t="shared" si="65"/>
        <v>A7</v>
      </c>
      <c r="B80" s="88">
        <f t="shared" si="65"/>
        <v>12</v>
      </c>
      <c r="C80" s="88">
        <f t="shared" si="66"/>
        <v>8.75</v>
      </c>
      <c r="D80" s="88">
        <f t="shared" si="67"/>
        <v>1.25</v>
      </c>
      <c r="E80" s="88">
        <f t="shared" si="68"/>
        <v>39.772727272727273</v>
      </c>
      <c r="F80" s="88">
        <f t="shared" si="69"/>
        <v>5.6818181818181817</v>
      </c>
      <c r="G80" s="88">
        <f t="shared" si="70"/>
        <v>0.24199999999999999</v>
      </c>
    </row>
    <row r="81" spans="1:10">
      <c r="A81" s="18" t="str">
        <f t="shared" si="65"/>
        <v>A8</v>
      </c>
      <c r="B81" s="88">
        <f t="shared" si="65"/>
        <v>14.25</v>
      </c>
      <c r="C81" s="88">
        <f t="shared" si="66"/>
        <v>8.75</v>
      </c>
      <c r="D81" s="88">
        <f t="shared" si="67"/>
        <v>1.25</v>
      </c>
      <c r="E81" s="88">
        <f t="shared" si="68"/>
        <v>47.297297297297298</v>
      </c>
      <c r="F81" s="88">
        <f t="shared" si="69"/>
        <v>6.756756756756757</v>
      </c>
      <c r="G81" s="88">
        <f t="shared" si="70"/>
        <v>0.214</v>
      </c>
    </row>
    <row r="82" spans="1:10">
      <c r="A82" s="18" t="str">
        <f t="shared" si="65"/>
        <v>A9</v>
      </c>
      <c r="B82" s="88">
        <f t="shared" si="65"/>
        <v>17.5</v>
      </c>
      <c r="C82" s="88">
        <f t="shared" si="66"/>
        <v>8.75</v>
      </c>
      <c r="D82" s="88">
        <f t="shared" si="67"/>
        <v>1.25</v>
      </c>
      <c r="E82" s="88">
        <f t="shared" si="68"/>
        <v>58.333333333333336</v>
      </c>
      <c r="F82" s="88">
        <f t="shared" si="69"/>
        <v>8.3333333333333339</v>
      </c>
      <c r="G82" s="88">
        <f t="shared" si="70"/>
        <v>0.18</v>
      </c>
    </row>
    <row r="83" spans="1:10">
      <c r="A83" s="18" t="str">
        <f>A71</f>
        <v>A10</v>
      </c>
      <c r="B83" s="88">
        <f t="shared" ref="B83" si="71">B71</f>
        <v>20</v>
      </c>
      <c r="C83" s="88">
        <f t="shared" si="66"/>
        <v>8.75</v>
      </c>
      <c r="D83" s="88">
        <f t="shared" si="67"/>
        <v>1.25</v>
      </c>
      <c r="E83" s="88">
        <f t="shared" si="68"/>
        <v>67.307692307692307</v>
      </c>
      <c r="F83" s="88">
        <f t="shared" si="69"/>
        <v>9.615384615384615</v>
      </c>
      <c r="G83" s="88">
        <f t="shared" si="70"/>
        <v>0.17</v>
      </c>
    </row>
    <row r="87" spans="1:10">
      <c r="B87" t="s">
        <v>149</v>
      </c>
    </row>
    <row r="89" spans="1:10">
      <c r="A89" s="94" t="s">
        <v>72</v>
      </c>
      <c r="B89" s="94" t="str">
        <f>Y27</f>
        <v>Range H</v>
      </c>
      <c r="C89" s="94" t="str">
        <f t="shared" ref="C89:H89" si="72">Z27</f>
        <v>z</v>
      </c>
      <c r="D89" s="94" t="str">
        <f t="shared" si="72"/>
        <v>dP</v>
      </c>
      <c r="E89" s="94" t="str">
        <f t="shared" si="72"/>
        <v>Po'</v>
      </c>
      <c r="F89" s="94" t="str">
        <f t="shared" si="72"/>
        <v>Po'+dP</v>
      </c>
      <c r="G89" s="94" t="str">
        <f t="shared" si="72"/>
        <v>OCR</v>
      </c>
      <c r="H89" s="94" t="str">
        <f t="shared" si="72"/>
        <v>Pm'</v>
      </c>
      <c r="I89" s="3"/>
      <c r="J89" s="3"/>
    </row>
    <row r="90" spans="1:10">
      <c r="A90" s="96"/>
      <c r="B90" s="96" t="str">
        <f t="shared" ref="B90:B101" si="73">Y28</f>
        <v>(m)</v>
      </c>
      <c r="C90" s="96" t="str">
        <f t="shared" ref="C90:C101" si="74">Z28</f>
        <v>(m)</v>
      </c>
      <c r="D90" s="96" t="str">
        <f t="shared" ref="D90:D101" si="75">AA28</f>
        <v>(t/m2)</v>
      </c>
      <c r="E90" s="96" t="str">
        <f t="shared" ref="E90:E101" si="76">AB28</f>
        <v>(t/m2)</v>
      </c>
      <c r="F90" s="96" t="str">
        <f t="shared" ref="F90:F101" si="77">AC28</f>
        <v>(t/m2)</v>
      </c>
      <c r="G90" s="96"/>
      <c r="H90" s="96" t="str">
        <f t="shared" ref="H90:H101" si="78">AE28</f>
        <v>(t/m2)</v>
      </c>
      <c r="I90" s="3"/>
      <c r="J90" s="3"/>
    </row>
    <row r="91" spans="1:10">
      <c r="A91" s="18" t="str">
        <f>A61</f>
        <v>A0</v>
      </c>
      <c r="B91" s="88">
        <f t="shared" si="73"/>
        <v>2</v>
      </c>
      <c r="C91" s="88">
        <f t="shared" si="74"/>
        <v>1</v>
      </c>
      <c r="D91" s="88">
        <f t="shared" si="75"/>
        <v>3.7308600000000003</v>
      </c>
      <c r="E91" s="88">
        <f t="shared" si="76"/>
        <v>1.63</v>
      </c>
      <c r="F91" s="88">
        <f t="shared" si="77"/>
        <v>5.3608600000000006</v>
      </c>
      <c r="G91" s="88">
        <f t="shared" ref="G91:G101" si="79">AD29</f>
        <v>3.91</v>
      </c>
      <c r="H91" s="88">
        <f t="shared" si="78"/>
        <v>6.3732999999999995</v>
      </c>
      <c r="I91" s="87"/>
      <c r="J91" s="87"/>
    </row>
    <row r="92" spans="1:10">
      <c r="A92" s="18" t="str">
        <f t="shared" ref="A92:A101" si="80">A62</f>
        <v>A1</v>
      </c>
      <c r="B92" s="88">
        <f t="shared" si="73"/>
        <v>1.5</v>
      </c>
      <c r="C92" s="88">
        <f t="shared" si="74"/>
        <v>2.75</v>
      </c>
      <c r="D92" s="88">
        <f t="shared" si="75"/>
        <v>3.3577740000000005</v>
      </c>
      <c r="E92" s="88">
        <f t="shared" si="76"/>
        <v>3.7249999999999996</v>
      </c>
      <c r="F92" s="88">
        <f t="shared" si="77"/>
        <v>7.0827740000000006</v>
      </c>
      <c r="G92" s="88">
        <f t="shared" si="79"/>
        <v>2.42</v>
      </c>
      <c r="H92" s="88">
        <f t="shared" si="78"/>
        <v>9.0144999999999982</v>
      </c>
      <c r="I92" s="87"/>
      <c r="J92" s="87"/>
    </row>
    <row r="93" spans="1:10">
      <c r="A93" s="18" t="str">
        <f t="shared" si="80"/>
        <v>A2</v>
      </c>
      <c r="B93" s="88">
        <f t="shared" si="73"/>
        <v>1.5</v>
      </c>
      <c r="C93" s="88">
        <f t="shared" si="74"/>
        <v>4.25</v>
      </c>
      <c r="D93" s="88">
        <f t="shared" si="75"/>
        <v>3.0456000000000003</v>
      </c>
      <c r="E93" s="88">
        <f t="shared" si="76"/>
        <v>4.6099999999999994</v>
      </c>
      <c r="F93" s="88">
        <f t="shared" si="77"/>
        <v>7.6555999999999997</v>
      </c>
      <c r="G93" s="88">
        <f t="shared" si="79"/>
        <v>1.38</v>
      </c>
      <c r="H93" s="88">
        <f t="shared" si="78"/>
        <v>6.3617999999999988</v>
      </c>
      <c r="I93" s="87"/>
      <c r="J93" s="87"/>
    </row>
    <row r="94" spans="1:10">
      <c r="A94" s="18" t="str">
        <f t="shared" si="80"/>
        <v>A3</v>
      </c>
      <c r="B94" s="88">
        <f t="shared" si="73"/>
        <v>1.5</v>
      </c>
      <c r="C94" s="88">
        <f t="shared" si="74"/>
        <v>5.75</v>
      </c>
      <c r="D94" s="88">
        <f t="shared" si="75"/>
        <v>2.6001810000000005</v>
      </c>
      <c r="E94" s="88">
        <f t="shared" si="76"/>
        <v>5.419999999999999</v>
      </c>
      <c r="F94" s="88">
        <f t="shared" si="77"/>
        <v>8.0201809999999991</v>
      </c>
      <c r="G94" s="88">
        <f t="shared" si="79"/>
        <v>1.34</v>
      </c>
      <c r="H94" s="88">
        <f t="shared" si="78"/>
        <v>7.2627999999999995</v>
      </c>
      <c r="I94" s="87"/>
      <c r="J94" s="87"/>
    </row>
    <row r="95" spans="1:10">
      <c r="A95" s="18" t="str">
        <f t="shared" si="80"/>
        <v>A4</v>
      </c>
      <c r="B95" s="88">
        <f t="shared" si="73"/>
        <v>1.5</v>
      </c>
      <c r="C95" s="88">
        <f t="shared" si="74"/>
        <v>7.25</v>
      </c>
      <c r="D95" s="88">
        <f t="shared" si="75"/>
        <v>2.3413050000000002</v>
      </c>
      <c r="E95" s="88">
        <f t="shared" si="76"/>
        <v>6.192499999999999</v>
      </c>
      <c r="F95" s="88">
        <f t="shared" si="77"/>
        <v>8.5338049999999992</v>
      </c>
      <c r="G95" s="88">
        <f t="shared" si="79"/>
        <v>1.1599999999999999</v>
      </c>
      <c r="H95" s="88">
        <f t="shared" si="78"/>
        <v>7.1832999999999982</v>
      </c>
      <c r="I95" s="87"/>
      <c r="J95" s="87"/>
    </row>
    <row r="96" spans="1:10">
      <c r="A96" s="18" t="str">
        <f t="shared" si="80"/>
        <v>A5</v>
      </c>
      <c r="B96" s="88">
        <f t="shared" si="73"/>
        <v>1.5</v>
      </c>
      <c r="C96" s="88">
        <f t="shared" si="74"/>
        <v>8.75</v>
      </c>
      <c r="D96" s="88">
        <f t="shared" si="75"/>
        <v>2.1319200000000005</v>
      </c>
      <c r="E96" s="88">
        <f t="shared" si="76"/>
        <v>6.9499999999999993</v>
      </c>
      <c r="F96" s="88">
        <f t="shared" si="77"/>
        <v>9.0819200000000002</v>
      </c>
      <c r="G96" s="88">
        <f t="shared" si="79"/>
        <v>1.29</v>
      </c>
      <c r="H96" s="88">
        <f t="shared" si="78"/>
        <v>8.9654999999999987</v>
      </c>
      <c r="I96" s="87"/>
      <c r="J96" s="87"/>
    </row>
    <row r="97" spans="1:10">
      <c r="A97" s="18" t="str">
        <f t="shared" si="80"/>
        <v>A6</v>
      </c>
      <c r="B97" s="88">
        <f t="shared" si="73"/>
        <v>1</v>
      </c>
      <c r="C97" s="88">
        <f t="shared" si="74"/>
        <v>10</v>
      </c>
      <c r="D97" s="88">
        <f t="shared" si="75"/>
        <v>2.0100960000000003</v>
      </c>
      <c r="E97" s="88">
        <f t="shared" si="76"/>
        <v>7.5849999999999991</v>
      </c>
      <c r="F97" s="88">
        <f t="shared" si="77"/>
        <v>9.5950959999999998</v>
      </c>
      <c r="G97" s="88">
        <f t="shared" si="79"/>
        <v>1.1499999999999999</v>
      </c>
      <c r="H97" s="88">
        <f t="shared" si="78"/>
        <v>8.7227499999999978</v>
      </c>
      <c r="I97" s="87"/>
      <c r="J97" s="87"/>
    </row>
    <row r="98" spans="1:10">
      <c r="A98" s="18" t="str">
        <f t="shared" si="80"/>
        <v>A7</v>
      </c>
      <c r="B98" s="88">
        <f t="shared" si="73"/>
        <v>3</v>
      </c>
      <c r="C98" s="88">
        <f t="shared" si="74"/>
        <v>12</v>
      </c>
      <c r="D98" s="88">
        <f t="shared" si="75"/>
        <v>1.758834</v>
      </c>
      <c r="E98" s="88">
        <f t="shared" si="76"/>
        <v>8.6999999999999993</v>
      </c>
      <c r="F98" s="88">
        <f t="shared" si="77"/>
        <v>10.458834</v>
      </c>
      <c r="G98" s="88">
        <f t="shared" si="79"/>
        <v>1</v>
      </c>
      <c r="H98" s="88">
        <f t="shared" si="78"/>
        <v>8.6999999999999993</v>
      </c>
      <c r="I98" s="87"/>
      <c r="J98" s="87"/>
    </row>
    <row r="99" spans="1:10">
      <c r="A99" s="18" t="str">
        <f t="shared" si="80"/>
        <v>A8</v>
      </c>
      <c r="B99" s="88">
        <f t="shared" si="73"/>
        <v>1.5</v>
      </c>
      <c r="C99" s="88">
        <f t="shared" si="74"/>
        <v>14.25</v>
      </c>
      <c r="D99" s="88">
        <f t="shared" si="75"/>
        <v>1.5189930000000003</v>
      </c>
      <c r="E99" s="88">
        <f t="shared" si="76"/>
        <v>10.0425</v>
      </c>
      <c r="F99" s="88">
        <f t="shared" si="77"/>
        <v>11.561493</v>
      </c>
      <c r="G99" s="88">
        <f t="shared" si="79"/>
        <v>1</v>
      </c>
      <c r="H99" s="88">
        <f t="shared" si="78"/>
        <v>10.0425</v>
      </c>
      <c r="I99" s="87"/>
      <c r="J99" s="87"/>
    </row>
    <row r="100" spans="1:10">
      <c r="A100" s="18" t="str">
        <f t="shared" si="80"/>
        <v>A9</v>
      </c>
      <c r="B100" s="88">
        <f t="shared" si="73"/>
        <v>5</v>
      </c>
      <c r="C100" s="88">
        <f t="shared" si="74"/>
        <v>17.5</v>
      </c>
      <c r="D100" s="88">
        <f t="shared" si="75"/>
        <v>1.25631</v>
      </c>
      <c r="E100" s="88">
        <f t="shared" si="76"/>
        <v>12.530000000000001</v>
      </c>
      <c r="F100" s="88">
        <f t="shared" si="77"/>
        <v>13.78631</v>
      </c>
      <c r="G100" s="88">
        <f t="shared" si="79"/>
        <v>1</v>
      </c>
      <c r="H100" s="88">
        <f t="shared" si="78"/>
        <v>12.530000000000001</v>
      </c>
      <c r="I100" s="87"/>
      <c r="J100" s="87"/>
    </row>
    <row r="101" spans="1:10">
      <c r="A101" s="18" t="str">
        <f t="shared" si="80"/>
        <v>A10</v>
      </c>
      <c r="B101" s="88">
        <f t="shared" si="73"/>
        <v>0</v>
      </c>
      <c r="C101" s="88">
        <f t="shared" si="74"/>
        <v>20</v>
      </c>
      <c r="D101" s="88">
        <f t="shared" si="75"/>
        <v>1.1421000000000003</v>
      </c>
      <c r="E101" s="88">
        <f t="shared" si="76"/>
        <v>14.530000000000001</v>
      </c>
      <c r="F101" s="88">
        <f t="shared" si="77"/>
        <v>15.672100000000002</v>
      </c>
      <c r="G101" s="88">
        <f t="shared" si="79"/>
        <v>1</v>
      </c>
      <c r="H101" s="88">
        <f t="shared" si="78"/>
        <v>14.530000000000001</v>
      </c>
      <c r="I101" s="87"/>
      <c r="J101" s="87"/>
    </row>
    <row r="102" spans="1:10">
      <c r="B102" s="87"/>
      <c r="C102" s="87"/>
      <c r="D102" s="87"/>
      <c r="E102" s="87"/>
      <c r="F102" s="87"/>
      <c r="G102" s="87"/>
      <c r="H102" s="87"/>
      <c r="I102" s="87"/>
      <c r="J102" s="87"/>
    </row>
    <row r="103" spans="1:10"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0">
      <c r="B105" t="s">
        <v>150</v>
      </c>
    </row>
    <row r="106" spans="1:10">
      <c r="A106" s="94" t="s">
        <v>72</v>
      </c>
      <c r="B106" s="94" t="str">
        <f>AF27</f>
        <v>Cc</v>
      </c>
      <c r="C106" s="94" t="str">
        <f t="shared" ref="C106" si="81">AG27</f>
        <v>Cr</v>
      </c>
      <c r="D106" s="94" t="str">
        <f t="shared" ref="D106" si="82">AH27</f>
        <v>e0</v>
      </c>
      <c r="E106" s="94" t="str">
        <f t="shared" ref="E106" si="83">AI27</f>
        <v>cv</v>
      </c>
      <c r="F106" s="94" t="s">
        <v>67</v>
      </c>
      <c r="G106" s="94" t="s">
        <v>82</v>
      </c>
    </row>
    <row r="107" spans="1:10">
      <c r="A107" s="96"/>
      <c r="B107" s="107"/>
      <c r="C107" s="107"/>
      <c r="D107" s="107"/>
      <c r="E107" s="96" t="str">
        <f t="shared" ref="E107:E118" si="84">AI28</f>
        <v>(cm2/s)</v>
      </c>
      <c r="F107" s="96" t="str">
        <f>AJ27</f>
        <v>Cc/(1+e0)</v>
      </c>
      <c r="G107" s="96" t="str">
        <f>AK27</f>
        <v>Cr/(1+e0)</v>
      </c>
    </row>
    <row r="108" spans="1:10">
      <c r="A108" s="18" t="str">
        <f>A91</f>
        <v>A0</v>
      </c>
      <c r="B108" s="88">
        <f t="shared" ref="B108:B118" si="85">AF29</f>
        <v>0.63</v>
      </c>
      <c r="C108" s="88">
        <f t="shared" ref="C108:C118" si="86">AG29</f>
        <v>0.13</v>
      </c>
      <c r="D108" s="88">
        <f t="shared" ref="D108:D118" si="87">AH29</f>
        <v>1.7</v>
      </c>
      <c r="E108" s="131">
        <f t="shared" si="84"/>
        <v>8.9999999999999998E-4</v>
      </c>
      <c r="F108" s="88">
        <f t="shared" ref="F108:F118" si="88">AJ29</f>
        <v>0.23333333333333331</v>
      </c>
      <c r="G108" s="88">
        <f t="shared" ref="G108:G118" si="89">AK29</f>
        <v>4.8148148148148148E-2</v>
      </c>
    </row>
    <row r="109" spans="1:10">
      <c r="A109" s="18" t="str">
        <f t="shared" ref="A109:A117" si="90">A92</f>
        <v>A1</v>
      </c>
      <c r="B109" s="88">
        <f t="shared" si="85"/>
        <v>0.87</v>
      </c>
      <c r="C109" s="88">
        <f t="shared" si="86"/>
        <v>0.14000000000000001</v>
      </c>
      <c r="D109" s="88">
        <f t="shared" si="87"/>
        <v>1.7</v>
      </c>
      <c r="E109" s="131">
        <f t="shared" si="84"/>
        <v>6.9999999999999999E-4</v>
      </c>
      <c r="F109" s="88">
        <f t="shared" si="88"/>
        <v>0.32222222222222219</v>
      </c>
      <c r="G109" s="88">
        <f t="shared" si="89"/>
        <v>5.185185185185185E-2</v>
      </c>
    </row>
    <row r="110" spans="1:10">
      <c r="A110" s="18" t="str">
        <f t="shared" si="90"/>
        <v>A2</v>
      </c>
      <c r="B110" s="88">
        <f t="shared" si="85"/>
        <v>1.01</v>
      </c>
      <c r="C110" s="88">
        <f t="shared" si="86"/>
        <v>0.12</v>
      </c>
      <c r="D110" s="88">
        <f t="shared" si="87"/>
        <v>2.1</v>
      </c>
      <c r="E110" s="131">
        <f t="shared" si="84"/>
        <v>2.5000000000000001E-4</v>
      </c>
      <c r="F110" s="88">
        <f t="shared" si="88"/>
        <v>0.32580645161290323</v>
      </c>
      <c r="G110" s="88">
        <f t="shared" si="89"/>
        <v>3.8709677419354833E-2</v>
      </c>
    </row>
    <row r="111" spans="1:10">
      <c r="A111" s="18" t="str">
        <f t="shared" si="90"/>
        <v>A3</v>
      </c>
      <c r="B111" s="88">
        <f t="shared" si="85"/>
        <v>1.1499999999999999</v>
      </c>
      <c r="C111" s="88">
        <f t="shared" si="86"/>
        <v>0.17</v>
      </c>
      <c r="D111" s="88">
        <f t="shared" si="87"/>
        <v>2.1</v>
      </c>
      <c r="E111" s="131">
        <f t="shared" si="84"/>
        <v>2.5000000000000001E-4</v>
      </c>
      <c r="F111" s="88">
        <f t="shared" si="88"/>
        <v>0.37096774193548382</v>
      </c>
      <c r="G111" s="88">
        <f t="shared" si="89"/>
        <v>5.4838709677419356E-2</v>
      </c>
    </row>
    <row r="112" spans="1:10">
      <c r="A112" s="18" t="str">
        <f t="shared" si="90"/>
        <v>A4</v>
      </c>
      <c r="B112" s="88">
        <f t="shared" si="85"/>
        <v>1.25</v>
      </c>
      <c r="C112" s="88">
        <f t="shared" si="86"/>
        <v>0.16</v>
      </c>
      <c r="D112" s="88">
        <f t="shared" si="87"/>
        <v>2.25</v>
      </c>
      <c r="E112" s="131">
        <f t="shared" si="84"/>
        <v>2.0000000000000001E-4</v>
      </c>
      <c r="F112" s="88">
        <f t="shared" si="88"/>
        <v>0.38461538461538464</v>
      </c>
      <c r="G112" s="88">
        <f t="shared" si="89"/>
        <v>4.9230769230769231E-2</v>
      </c>
    </row>
    <row r="113" spans="1:7">
      <c r="A113" s="18" t="str">
        <f t="shared" si="90"/>
        <v>A5</v>
      </c>
      <c r="B113" s="88">
        <f t="shared" si="85"/>
        <v>1.33</v>
      </c>
      <c r="C113" s="88">
        <f t="shared" si="86"/>
        <v>0.17</v>
      </c>
      <c r="D113" s="88">
        <f t="shared" si="87"/>
        <v>2.25</v>
      </c>
      <c r="E113" s="131">
        <f t="shared" si="84"/>
        <v>2.9999999999999997E-4</v>
      </c>
      <c r="F113" s="88">
        <f t="shared" si="88"/>
        <v>0.40923076923076923</v>
      </c>
      <c r="G113" s="88">
        <f t="shared" si="89"/>
        <v>5.2307692307692312E-2</v>
      </c>
    </row>
    <row r="114" spans="1:7">
      <c r="A114" s="18" t="str">
        <f t="shared" si="90"/>
        <v>A6</v>
      </c>
      <c r="B114" s="88">
        <f t="shared" si="85"/>
        <v>1.34</v>
      </c>
      <c r="C114" s="88">
        <f t="shared" si="86"/>
        <v>0.2</v>
      </c>
      <c r="D114" s="88">
        <f t="shared" si="87"/>
        <v>2.25</v>
      </c>
      <c r="E114" s="131">
        <f t="shared" si="84"/>
        <v>2.9999999999999997E-4</v>
      </c>
      <c r="F114" s="88">
        <f t="shared" si="88"/>
        <v>0.41230769230769232</v>
      </c>
      <c r="G114" s="88">
        <f t="shared" si="89"/>
        <v>6.1538461538461542E-2</v>
      </c>
    </row>
    <row r="115" spans="1:7">
      <c r="A115" s="18" t="str">
        <f t="shared" si="90"/>
        <v>A7</v>
      </c>
      <c r="B115" s="88">
        <f t="shared" si="85"/>
        <v>0</v>
      </c>
      <c r="C115" s="88">
        <f t="shared" si="86"/>
        <v>0</v>
      </c>
      <c r="D115" s="88">
        <f t="shared" si="87"/>
        <v>0</v>
      </c>
      <c r="E115" s="131">
        <f t="shared" si="84"/>
        <v>2.5000000000000001E-4</v>
      </c>
      <c r="F115" s="88">
        <f t="shared" si="88"/>
        <v>0.35684999999999995</v>
      </c>
      <c r="G115" s="88">
        <f t="shared" si="89"/>
        <v>4.9958999999999996E-2</v>
      </c>
    </row>
    <row r="116" spans="1:7">
      <c r="A116" s="18" t="str">
        <f t="shared" si="90"/>
        <v>A8</v>
      </c>
      <c r="B116" s="88">
        <f t="shared" si="85"/>
        <v>0</v>
      </c>
      <c r="C116" s="88">
        <f t="shared" si="86"/>
        <v>0</v>
      </c>
      <c r="D116" s="88">
        <f t="shared" si="87"/>
        <v>0</v>
      </c>
      <c r="E116" s="131">
        <f t="shared" si="84"/>
        <v>2.5000000000000001E-4</v>
      </c>
      <c r="F116" s="88">
        <f t="shared" si="88"/>
        <v>0.21059999999999998</v>
      </c>
      <c r="G116" s="88">
        <f t="shared" si="89"/>
        <v>2.9484E-2</v>
      </c>
    </row>
    <row r="117" spans="1:7">
      <c r="A117" s="18" t="str">
        <f t="shared" si="90"/>
        <v>A9</v>
      </c>
      <c r="B117" s="88">
        <f t="shared" si="85"/>
        <v>0</v>
      </c>
      <c r="C117" s="88">
        <f t="shared" si="86"/>
        <v>0</v>
      </c>
      <c r="D117" s="88">
        <f t="shared" si="87"/>
        <v>0</v>
      </c>
      <c r="E117" s="131">
        <f t="shared" si="84"/>
        <v>2.5000000000000001E-4</v>
      </c>
      <c r="F117" s="88">
        <f t="shared" si="88"/>
        <v>0.17415</v>
      </c>
      <c r="G117" s="88">
        <f t="shared" si="89"/>
        <v>2.4381000000000003E-2</v>
      </c>
    </row>
    <row r="118" spans="1:7">
      <c r="A118" s="18" t="str">
        <f>A101</f>
        <v>A10</v>
      </c>
      <c r="B118" s="88">
        <f t="shared" si="85"/>
        <v>0</v>
      </c>
      <c r="C118" s="88">
        <f t="shared" si="86"/>
        <v>0</v>
      </c>
      <c r="D118" s="88">
        <f t="shared" si="87"/>
        <v>0</v>
      </c>
      <c r="E118" s="131">
        <f t="shared" si="84"/>
        <v>2.5000000000000001E-4</v>
      </c>
      <c r="F118" s="88">
        <f t="shared" si="88"/>
        <v>0.16019999999999998</v>
      </c>
      <c r="G118" s="88">
        <f t="shared" si="89"/>
        <v>2.2428E-2</v>
      </c>
    </row>
    <row r="129" spans="1:7">
      <c r="B129" t="s">
        <v>151</v>
      </c>
    </row>
    <row r="130" spans="1:7" ht="55.7">
      <c r="A130" s="94" t="s">
        <v>72</v>
      </c>
      <c r="B130" s="95" t="s">
        <v>83</v>
      </c>
      <c r="C130" s="95" t="s">
        <v>84</v>
      </c>
      <c r="D130" s="95" t="s">
        <v>85</v>
      </c>
      <c r="E130" s="95" t="s">
        <v>88</v>
      </c>
      <c r="F130" s="95" t="s">
        <v>86</v>
      </c>
      <c r="G130" s="95" t="s">
        <v>87</v>
      </c>
    </row>
    <row r="131" spans="1:7" ht="21.75" customHeight="1">
      <c r="A131" s="96"/>
      <c r="B131" s="97"/>
      <c r="C131" s="97"/>
      <c r="D131" s="97"/>
      <c r="E131" s="98" t="s">
        <v>44</v>
      </c>
      <c r="F131" s="98" t="s">
        <v>44</v>
      </c>
      <c r="G131" s="98" t="s">
        <v>44</v>
      </c>
    </row>
    <row r="132" spans="1:7">
      <c r="A132" s="72" t="str">
        <f>A108</f>
        <v>A0</v>
      </c>
      <c r="B132" s="88">
        <f>AL29</f>
        <v>0</v>
      </c>
      <c r="C132" s="88">
        <f t="shared" ref="C132" si="91">AM29</f>
        <v>0</v>
      </c>
      <c r="D132" s="88">
        <f t="shared" ref="D132" si="92">AN29</f>
        <v>0.51704686127660393</v>
      </c>
      <c r="E132" s="88">
        <f t="shared" ref="E132" si="93">AO29</f>
        <v>4.9789697752561861E-2</v>
      </c>
      <c r="F132" s="88">
        <f t="shared" ref="F132" si="94">AP29</f>
        <v>0</v>
      </c>
      <c r="G132" s="88">
        <f t="shared" ref="G132" si="95">AQ29</f>
        <v>4.9789697752561861E-2</v>
      </c>
    </row>
    <row r="133" spans="1:7">
      <c r="A133" s="72" t="str">
        <f t="shared" ref="A133:A142" si="96">A109</f>
        <v>A1</v>
      </c>
      <c r="B133" s="88">
        <f t="shared" ref="B133:B142" si="97">AL30</f>
        <v>0</v>
      </c>
      <c r="C133" s="88">
        <f t="shared" ref="C133:C142" si="98">AM30</f>
        <v>0</v>
      </c>
      <c r="D133" s="88">
        <f t="shared" ref="D133:D142" si="99">AN30</f>
        <v>0.27907710729224994</v>
      </c>
      <c r="E133" s="88">
        <f t="shared" ref="E133:E142" si="100">AO30</f>
        <v>2.1705997233841662E-2</v>
      </c>
      <c r="F133" s="88">
        <f t="shared" ref="F133:F142" si="101">AP30</f>
        <v>0</v>
      </c>
      <c r="G133" s="88">
        <f t="shared" ref="G133:G142" si="102">AQ30</f>
        <v>2.1705997233841662E-2</v>
      </c>
    </row>
    <row r="134" spans="1:7">
      <c r="A134" s="72" t="str">
        <f t="shared" si="96"/>
        <v>A2</v>
      </c>
      <c r="B134" s="88">
        <f t="shared" si="97"/>
        <v>0.13987908640123647</v>
      </c>
      <c r="C134" s="88">
        <f t="shared" si="98"/>
        <v>8.0399221973330756E-2</v>
      </c>
      <c r="D134" s="88">
        <f t="shared" si="99"/>
        <v>0</v>
      </c>
      <c r="E134" s="88">
        <f t="shared" si="100"/>
        <v>8.1220114684588916E-3</v>
      </c>
      <c r="F134" s="88">
        <f t="shared" si="101"/>
        <v>3.9291877835353581E-2</v>
      </c>
      <c r="G134" s="88">
        <f t="shared" si="102"/>
        <v>4.7413889303812476E-2</v>
      </c>
    </row>
    <row r="135" spans="1:7">
      <c r="A135" s="72" t="str">
        <f t="shared" si="96"/>
        <v>A3</v>
      </c>
      <c r="B135" s="88">
        <f t="shared" si="97"/>
        <v>0.12710479836480765</v>
      </c>
      <c r="C135" s="88">
        <f t="shared" si="98"/>
        <v>4.3080084679498927E-2</v>
      </c>
      <c r="D135" s="88">
        <f t="shared" si="99"/>
        <v>0</v>
      </c>
      <c r="E135" s="88">
        <f t="shared" si="100"/>
        <v>1.0455394704201919E-2</v>
      </c>
      <c r="F135" s="88">
        <f t="shared" si="101"/>
        <v>2.3971982603914723E-2</v>
      </c>
      <c r="G135" s="88">
        <f t="shared" si="102"/>
        <v>3.4427377308116638E-2</v>
      </c>
    </row>
    <row r="136" spans="1:7">
      <c r="A136" s="72" t="str">
        <f t="shared" si="96"/>
        <v>A4</v>
      </c>
      <c r="B136" s="88">
        <f t="shared" si="97"/>
        <v>6.445798922691845E-2</v>
      </c>
      <c r="C136" s="88">
        <f t="shared" si="98"/>
        <v>7.4818710392902582E-2</v>
      </c>
      <c r="D136" s="88">
        <f t="shared" si="99"/>
        <v>0</v>
      </c>
      <c r="E136" s="88">
        <f t="shared" si="100"/>
        <v>4.7599745890647468E-3</v>
      </c>
      <c r="F136" s="88">
        <f t="shared" si="101"/>
        <v>4.3164640611289953E-2</v>
      </c>
      <c r="G136" s="88">
        <f t="shared" si="102"/>
        <v>4.7924615200354702E-2</v>
      </c>
    </row>
    <row r="137" spans="1:7">
      <c r="A137" s="72" t="str">
        <f t="shared" si="96"/>
        <v>A5</v>
      </c>
      <c r="B137" s="88">
        <f t="shared" si="97"/>
        <v>0.11058971029924898</v>
      </c>
      <c r="C137" s="88">
        <f t="shared" si="98"/>
        <v>5.6031571182656474E-3</v>
      </c>
      <c r="D137" s="88">
        <f t="shared" si="99"/>
        <v>0</v>
      </c>
      <c r="E137" s="88">
        <f t="shared" si="100"/>
        <v>8.6770388080949206E-3</v>
      </c>
      <c r="F137" s="88">
        <f t="shared" si="101"/>
        <v>3.4394764464430664E-3</v>
      </c>
      <c r="G137" s="88">
        <f t="shared" si="102"/>
        <v>1.2116515254537987E-2</v>
      </c>
    </row>
    <row r="138" spans="1:7">
      <c r="A138" s="72" t="str">
        <f t="shared" si="96"/>
        <v>A6</v>
      </c>
      <c r="B138" s="88">
        <f t="shared" si="97"/>
        <v>6.069784035361165E-2</v>
      </c>
      <c r="C138" s="88">
        <f t="shared" si="98"/>
        <v>4.1395898781340416E-2</v>
      </c>
      <c r="D138" s="88">
        <f t="shared" si="99"/>
        <v>0</v>
      </c>
      <c r="E138" s="88">
        <f t="shared" si="100"/>
        <v>3.7352517140684096E-3</v>
      </c>
      <c r="F138" s="88">
        <f t="shared" si="101"/>
        <v>1.7067847497537279E-2</v>
      </c>
      <c r="G138" s="88">
        <f t="shared" si="102"/>
        <v>2.080309921160569E-2</v>
      </c>
    </row>
    <row r="139" spans="1:7">
      <c r="A139" s="72" t="str">
        <f t="shared" si="96"/>
        <v>A7</v>
      </c>
      <c r="B139" s="88">
        <f t="shared" si="97"/>
        <v>0</v>
      </c>
      <c r="C139" s="88">
        <f t="shared" si="98"/>
        <v>7.9964017420086936E-2</v>
      </c>
      <c r="D139" s="88">
        <f t="shared" si="99"/>
        <v>0</v>
      </c>
      <c r="E139" s="88">
        <f t="shared" si="100"/>
        <v>0</v>
      </c>
      <c r="F139" s="88">
        <f t="shared" si="101"/>
        <v>8.560547884907406E-2</v>
      </c>
      <c r="G139" s="88">
        <f t="shared" si="102"/>
        <v>8.560547884907406E-2</v>
      </c>
    </row>
    <row r="140" spans="1:7">
      <c r="A140" s="72" t="str">
        <f t="shared" si="96"/>
        <v>A8</v>
      </c>
      <c r="B140" s="88">
        <f t="shared" si="97"/>
        <v>0</v>
      </c>
      <c r="C140" s="88">
        <f t="shared" si="98"/>
        <v>6.1172080168155923E-2</v>
      </c>
      <c r="D140" s="88">
        <f t="shared" si="99"/>
        <v>0</v>
      </c>
      <c r="E140" s="88">
        <f t="shared" si="100"/>
        <v>0</v>
      </c>
      <c r="F140" s="88">
        <f t="shared" si="101"/>
        <v>1.9324260125120455E-2</v>
      </c>
      <c r="G140" s="88">
        <f t="shared" si="102"/>
        <v>1.9324260125120455E-2</v>
      </c>
    </row>
    <row r="141" spans="1:7">
      <c r="A141" s="72" t="str">
        <f t="shared" si="96"/>
        <v>A9</v>
      </c>
      <c r="B141" s="88">
        <f t="shared" si="97"/>
        <v>0</v>
      </c>
      <c r="C141" s="88">
        <f t="shared" si="98"/>
        <v>4.149696885208657E-2</v>
      </c>
      <c r="D141" s="88">
        <f t="shared" si="99"/>
        <v>0</v>
      </c>
      <c r="E141" s="88">
        <f t="shared" si="100"/>
        <v>0</v>
      </c>
      <c r="F141" s="88">
        <f t="shared" si="101"/>
        <v>3.6133485627954383E-2</v>
      </c>
      <c r="G141" s="88">
        <f t="shared" si="102"/>
        <v>3.6133485627954383E-2</v>
      </c>
    </row>
    <row r="142" spans="1:7">
      <c r="A142" s="72" t="str">
        <f t="shared" si="96"/>
        <v>A10</v>
      </c>
      <c r="B142" s="88">
        <f t="shared" si="97"/>
        <v>0</v>
      </c>
      <c r="C142" s="88">
        <f t="shared" si="98"/>
        <v>3.2861579828885157E-2</v>
      </c>
      <c r="D142" s="88">
        <f t="shared" si="99"/>
        <v>0</v>
      </c>
      <c r="E142" s="88">
        <f t="shared" si="100"/>
        <v>0</v>
      </c>
      <c r="F142" s="88">
        <f t="shared" si="101"/>
        <v>0</v>
      </c>
      <c r="G142" s="88">
        <f t="shared" si="102"/>
        <v>0</v>
      </c>
    </row>
    <row r="143" spans="1:7">
      <c r="B143" s="90"/>
      <c r="C143" s="90"/>
      <c r="D143" s="90"/>
      <c r="E143" s="90"/>
      <c r="F143" s="90"/>
      <c r="G143" s="90"/>
    </row>
    <row r="144" spans="1:7" ht="25.55" customHeight="1">
      <c r="B144" s="91" t="s">
        <v>89</v>
      </c>
      <c r="C144" s="90"/>
      <c r="D144" s="92"/>
      <c r="E144" s="88">
        <f>SUM(E132:E143)</f>
        <v>0.10724536627029241</v>
      </c>
      <c r="F144" s="88">
        <f>SUM(F132:F143)</f>
        <v>0.26799904959668747</v>
      </c>
      <c r="G144" s="93">
        <f>E144+F144</f>
        <v>0.37524441586697987</v>
      </c>
    </row>
  </sheetData>
  <mergeCells count="8">
    <mergeCell ref="I26:L26"/>
    <mergeCell ref="C27:D27"/>
    <mergeCell ref="C26:F26"/>
    <mergeCell ref="AL26:AM26"/>
    <mergeCell ref="AO26:AQ26"/>
    <mergeCell ref="AF26:AI26"/>
    <mergeCell ref="Y26:Z26"/>
    <mergeCell ref="M26:X26"/>
  </mergeCells>
  <printOptions horizontalCentered="1"/>
  <pageMargins left="0.51181102362204722" right="0.23622047244094491" top="0.47244094488188981" bottom="0.47244094488188981" header="0.31496062992125984" footer="0.1574803149606299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workbookViewId="0"/>
    <sheetView workbookViewId="1">
      <selection activeCell="C18" sqref="C18"/>
    </sheetView>
  </sheetViews>
  <sheetFormatPr defaultRowHeight="18.55"/>
  <cols>
    <col min="2" max="2" width="15.625" customWidth="1"/>
  </cols>
  <sheetData>
    <row r="1" spans="2:4">
      <c r="B1" s="86" t="s">
        <v>144</v>
      </c>
    </row>
    <row r="2" spans="2:4">
      <c r="B2" t="s">
        <v>116</v>
      </c>
    </row>
    <row r="3" spans="2:4">
      <c r="B3" t="s">
        <v>111</v>
      </c>
    </row>
    <row r="6" spans="2:4">
      <c r="B6" t="s">
        <v>114</v>
      </c>
      <c r="C6" s="210">
        <f>'1primary conso Dike'!E13</f>
        <v>3.8070000000000004</v>
      </c>
      <c r="D6" t="s">
        <v>45</v>
      </c>
    </row>
    <row r="7" spans="2:4">
      <c r="B7" t="s">
        <v>115</v>
      </c>
      <c r="C7">
        <f>17.5-4.5</f>
        <v>13</v>
      </c>
      <c r="D7" t="s">
        <v>48</v>
      </c>
    </row>
    <row r="8" spans="2:4">
      <c r="B8" t="s">
        <v>117</v>
      </c>
      <c r="C8">
        <v>20</v>
      </c>
      <c r="D8" t="s">
        <v>48</v>
      </c>
    </row>
    <row r="9" spans="2:4">
      <c r="B9" t="s">
        <v>118</v>
      </c>
      <c r="C9">
        <v>1</v>
      </c>
      <c r="D9" t="s">
        <v>45</v>
      </c>
    </row>
    <row r="10" spans="2:4">
      <c r="B10" t="s">
        <v>152</v>
      </c>
      <c r="C10">
        <f>250*C9</f>
        <v>250</v>
      </c>
      <c r="D10" t="s">
        <v>45</v>
      </c>
    </row>
    <row r="11" spans="2:4">
      <c r="B11" t="s">
        <v>119</v>
      </c>
      <c r="C11">
        <f>C8/C7</f>
        <v>1.5384615384615385</v>
      </c>
    </row>
    <row r="12" spans="2:4">
      <c r="B12" t="s">
        <v>120</v>
      </c>
      <c r="C12">
        <v>0</v>
      </c>
    </row>
    <row r="13" spans="2:4">
      <c r="B13" t="s">
        <v>121</v>
      </c>
      <c r="C13">
        <f>2000/C7</f>
        <v>153.84615384615384</v>
      </c>
    </row>
    <row r="14" spans="2:4">
      <c r="B14" t="s">
        <v>112</v>
      </c>
      <c r="C14" s="2">
        <v>0.4</v>
      </c>
    </row>
    <row r="15" spans="2:4">
      <c r="B15" t="s">
        <v>113</v>
      </c>
      <c r="C15" s="2">
        <v>1</v>
      </c>
    </row>
    <row r="17" spans="2:13">
      <c r="B17" t="s">
        <v>122</v>
      </c>
      <c r="C17" s="152">
        <f>C14*C15*C6*C7/C10</f>
        <v>7.9185600000000009E-2</v>
      </c>
      <c r="D17" t="s">
        <v>48</v>
      </c>
    </row>
    <row r="28" spans="2:13">
      <c r="M28">
        <f>20/400</f>
        <v>0.05</v>
      </c>
    </row>
  </sheetData>
  <pageMargins left="0.70866141732283472" right="0.23622047244094491" top="0.74803149606299213" bottom="0.74803149606299213" header="0.31496062992125984" footer="0.31496062992125984"/>
  <pageSetup paperSize="9" scale="8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selection activeCell="L3" sqref="L3"/>
    </sheetView>
    <sheetView zoomScale="80" zoomScaleNormal="80" workbookViewId="1">
      <selection activeCell="G14" sqref="G14"/>
    </sheetView>
  </sheetViews>
  <sheetFormatPr defaultRowHeight="18.55"/>
  <cols>
    <col min="2" max="2" width="8" customWidth="1"/>
    <col min="3" max="3" width="4.875" customWidth="1"/>
    <col min="4" max="4" width="12" customWidth="1"/>
    <col min="5" max="5" width="6.375" customWidth="1"/>
    <col min="6" max="6" width="17.8125" customWidth="1"/>
    <col min="7" max="7" width="14.8125" customWidth="1"/>
  </cols>
  <sheetData>
    <row r="1" spans="1:15">
      <c r="B1" t="s">
        <v>98</v>
      </c>
      <c r="F1" t="s">
        <v>99</v>
      </c>
      <c r="G1" s="145">
        <v>1</v>
      </c>
      <c r="O1">
        <v>1</v>
      </c>
    </row>
    <row r="2" spans="1:15" ht="19" thickBot="1">
      <c r="D2" s="150">
        <f>'1primary conso Dike'!G144</f>
        <v>0.37524441586697987</v>
      </c>
      <c r="E2" t="s">
        <v>48</v>
      </c>
      <c r="F2" t="str">
        <f>VLOOKUP(G1,M6:O8,3)</f>
        <v>Case: Road, +2.75m</v>
      </c>
      <c r="O2">
        <v>2</v>
      </c>
    </row>
    <row r="3" spans="1:15" ht="25.65" thickBot="1">
      <c r="B3" s="247" t="s">
        <v>100</v>
      </c>
      <c r="C3" s="247"/>
      <c r="D3" s="247"/>
      <c r="E3" s="247"/>
      <c r="F3" s="247"/>
      <c r="G3" s="247"/>
      <c r="H3" s="247"/>
      <c r="I3" s="118"/>
      <c r="J3" t="s">
        <v>139</v>
      </c>
      <c r="L3" s="168">
        <f>'2Immediat Sett Dike'!C17</f>
        <v>7.9185600000000009E-2</v>
      </c>
      <c r="M3" t="s">
        <v>48</v>
      </c>
    </row>
    <row r="4" spans="1:15" ht="25.65" thickBot="1">
      <c r="A4" t="s">
        <v>136</v>
      </c>
      <c r="B4" s="146"/>
      <c r="C4" s="146"/>
      <c r="D4" s="146"/>
      <c r="E4" s="146" t="s">
        <v>123</v>
      </c>
      <c r="F4" s="146"/>
      <c r="G4" s="169">
        <v>2</v>
      </c>
      <c r="H4" s="146" t="s">
        <v>124</v>
      </c>
      <c r="I4" s="118"/>
      <c r="J4" t="s">
        <v>125</v>
      </c>
      <c r="K4" s="248" t="s">
        <v>126</v>
      </c>
      <c r="L4" s="248"/>
    </row>
    <row r="5" spans="1:15" ht="23.85" thickBot="1">
      <c r="B5" s="119" t="s">
        <v>90</v>
      </c>
      <c r="C5" s="120" t="s">
        <v>91</v>
      </c>
      <c r="D5" s="120" t="s">
        <v>92</v>
      </c>
      <c r="E5" s="120" t="s">
        <v>101</v>
      </c>
      <c r="F5" s="120" t="s">
        <v>93</v>
      </c>
      <c r="G5" s="120" t="s">
        <v>94</v>
      </c>
      <c r="H5" s="121" t="s">
        <v>95</v>
      </c>
      <c r="I5" s="121" t="s">
        <v>96</v>
      </c>
      <c r="J5" s="139" t="s">
        <v>102</v>
      </c>
      <c r="K5" s="139" t="s">
        <v>127</v>
      </c>
      <c r="L5" s="139" t="s">
        <v>128</v>
      </c>
    </row>
    <row r="6" spans="1:15" ht="20.25" customHeight="1">
      <c r="A6">
        <f>PI()/4*(C6/100)^2</f>
        <v>0</v>
      </c>
      <c r="B6" s="140">
        <f t="shared" ref="B6:B25" si="0">$D$2*C6/100</f>
        <v>0</v>
      </c>
      <c r="C6" s="122">
        <v>0</v>
      </c>
      <c r="D6" s="123">
        <v>0</v>
      </c>
      <c r="E6" s="137">
        <v>20</v>
      </c>
      <c r="F6" s="136">
        <f>7*10^-4</f>
        <v>6.9999999999999999E-4</v>
      </c>
      <c r="G6" s="124">
        <f>D6*(E6*100/$G$4)^2/F6</f>
        <v>0</v>
      </c>
      <c r="H6" s="132">
        <f>G6/(60*60*24)</f>
        <v>0</v>
      </c>
      <c r="I6" s="133">
        <f>H6/365</f>
        <v>0</v>
      </c>
      <c r="J6" s="138">
        <f>B6*-1</f>
        <v>0</v>
      </c>
      <c r="K6">
        <v>0</v>
      </c>
      <c r="L6" s="138">
        <v>0</v>
      </c>
      <c r="M6">
        <v>1</v>
      </c>
      <c r="N6" s="144">
        <v>0.59</v>
      </c>
      <c r="O6" t="s">
        <v>168</v>
      </c>
    </row>
    <row r="7" spans="1:15" ht="20.25" customHeight="1">
      <c r="A7">
        <f t="shared" ref="A7:A17" si="1">PI()/4*(C7/100)^2</f>
        <v>1.9634954084936209E-3</v>
      </c>
      <c r="B7" s="141">
        <f t="shared" si="0"/>
        <v>1.8762220793348994E-2</v>
      </c>
      <c r="C7" s="125">
        <v>5</v>
      </c>
      <c r="D7" s="126">
        <v>2E-3</v>
      </c>
      <c r="E7" s="142">
        <f>E6</f>
        <v>20</v>
      </c>
      <c r="F7" s="143">
        <f>F6</f>
        <v>6.9999999999999999E-4</v>
      </c>
      <c r="G7" s="124">
        <f t="shared" ref="G7:G25" si="2">D7*(E7*100/$G$4)^2/F7</f>
        <v>2857142.8571428573</v>
      </c>
      <c r="H7" s="132">
        <f t="shared" ref="H7:H25" si="3">G7/(60*60*24)</f>
        <v>33.06878306878307</v>
      </c>
      <c r="I7" s="133">
        <f t="shared" ref="I7:I25" si="4">H7/365</f>
        <v>9.0599405667898827E-2</v>
      </c>
      <c r="J7" s="138">
        <f>B7*-1-$L$3</f>
        <v>-9.7947820793349002E-2</v>
      </c>
      <c r="K7" s="138">
        <v>1.02</v>
      </c>
      <c r="L7">
        <v>-24.4</v>
      </c>
      <c r="M7">
        <v>2</v>
      </c>
      <c r="N7" s="144">
        <v>1.05</v>
      </c>
      <c r="O7" t="s">
        <v>169</v>
      </c>
    </row>
    <row r="8" spans="1:15" ht="20.25" customHeight="1">
      <c r="A8">
        <f t="shared" si="1"/>
        <v>7.8539816339744835E-3</v>
      </c>
      <c r="B8" s="141">
        <f t="shared" si="0"/>
        <v>3.7524441586697987E-2</v>
      </c>
      <c r="C8" s="122">
        <v>10</v>
      </c>
      <c r="D8" s="126">
        <v>7.7999999999999996E-3</v>
      </c>
      <c r="E8" s="142">
        <f t="shared" ref="E8:E25" si="5">E7</f>
        <v>20</v>
      </c>
      <c r="F8" s="143">
        <f t="shared" ref="F8:F25" si="6">F7</f>
        <v>6.9999999999999999E-4</v>
      </c>
      <c r="G8" s="124">
        <f t="shared" si="2"/>
        <v>11142857.142857144</v>
      </c>
      <c r="H8" s="132">
        <f t="shared" si="3"/>
        <v>128.96825396825398</v>
      </c>
      <c r="I8" s="133">
        <f t="shared" si="4"/>
        <v>0.35333768210480543</v>
      </c>
      <c r="J8" s="138">
        <f t="shared" ref="J8:J25" si="7">B8*-1-$L$3</f>
        <v>-0.116710041586698</v>
      </c>
      <c r="K8" s="138">
        <v>2.19</v>
      </c>
      <c r="L8">
        <v>-40.6</v>
      </c>
      <c r="M8">
        <v>3</v>
      </c>
      <c r="N8" s="144">
        <v>1.55</v>
      </c>
      <c r="O8" t="s">
        <v>164</v>
      </c>
    </row>
    <row r="9" spans="1:15" ht="20.25" customHeight="1">
      <c r="A9">
        <f t="shared" si="1"/>
        <v>1.7671458676442587E-2</v>
      </c>
      <c r="B9" s="141">
        <f t="shared" si="0"/>
        <v>5.6286662380046974E-2</v>
      </c>
      <c r="C9" s="125">
        <v>15</v>
      </c>
      <c r="D9" s="126">
        <v>1.77E-2</v>
      </c>
      <c r="E9" s="142">
        <f t="shared" si="5"/>
        <v>20</v>
      </c>
      <c r="F9" s="143">
        <f t="shared" si="6"/>
        <v>6.9999999999999999E-4</v>
      </c>
      <c r="G9" s="124">
        <f t="shared" si="2"/>
        <v>25285714.285714287</v>
      </c>
      <c r="H9" s="132">
        <f t="shared" si="3"/>
        <v>292.65873015873018</v>
      </c>
      <c r="I9" s="133">
        <f t="shared" si="4"/>
        <v>0.80180474016090464</v>
      </c>
      <c r="J9" s="138">
        <f t="shared" si="7"/>
        <v>-0.13547226238004698</v>
      </c>
      <c r="K9" s="138">
        <v>2.38</v>
      </c>
      <c r="L9">
        <v>-42</v>
      </c>
      <c r="M9">
        <v>4</v>
      </c>
      <c r="N9" s="144">
        <v>1.21</v>
      </c>
      <c r="O9" t="s">
        <v>175</v>
      </c>
    </row>
    <row r="10" spans="1:15" ht="20.25" customHeight="1">
      <c r="A10">
        <f t="shared" si="1"/>
        <v>3.1415926535897934E-2</v>
      </c>
      <c r="B10" s="141">
        <f t="shared" si="0"/>
        <v>7.5048883173395975E-2</v>
      </c>
      <c r="C10" s="122">
        <v>20</v>
      </c>
      <c r="D10" s="126">
        <v>3.1399999999999997E-2</v>
      </c>
      <c r="E10" s="142">
        <f t="shared" si="5"/>
        <v>20</v>
      </c>
      <c r="F10" s="143">
        <f t="shared" si="6"/>
        <v>6.9999999999999999E-4</v>
      </c>
      <c r="G10" s="124">
        <f t="shared" si="2"/>
        <v>44857142.857142851</v>
      </c>
      <c r="H10" s="132">
        <f t="shared" si="3"/>
        <v>519.17989417989406</v>
      </c>
      <c r="I10" s="133">
        <f t="shared" si="4"/>
        <v>1.4224106689860112</v>
      </c>
      <c r="J10" s="138">
        <f t="shared" si="7"/>
        <v>-0.154234483173396</v>
      </c>
      <c r="K10" s="138"/>
      <c r="M10">
        <v>5</v>
      </c>
      <c r="N10" s="144">
        <v>1.39</v>
      </c>
      <c r="O10" t="s">
        <v>170</v>
      </c>
    </row>
    <row r="11" spans="1:15" ht="20.25" customHeight="1">
      <c r="A11">
        <f t="shared" si="1"/>
        <v>4.9087385212340517E-2</v>
      </c>
      <c r="B11" s="141">
        <f t="shared" si="0"/>
        <v>9.3811103966744969E-2</v>
      </c>
      <c r="C11" s="125">
        <v>25</v>
      </c>
      <c r="D11" s="126">
        <v>4.9099999999999998E-2</v>
      </c>
      <c r="E11" s="142">
        <f t="shared" si="5"/>
        <v>20</v>
      </c>
      <c r="F11" s="143">
        <f t="shared" si="6"/>
        <v>6.9999999999999999E-4</v>
      </c>
      <c r="G11" s="124">
        <f t="shared" si="2"/>
        <v>70142857.142857149</v>
      </c>
      <c r="H11" s="132">
        <f t="shared" si="3"/>
        <v>811.83862433862441</v>
      </c>
      <c r="I11" s="133">
        <f t="shared" si="4"/>
        <v>2.2242154091469164</v>
      </c>
      <c r="J11" s="138">
        <f t="shared" si="7"/>
        <v>-0.17299670396674499</v>
      </c>
      <c r="K11" s="138"/>
      <c r="M11">
        <v>6</v>
      </c>
      <c r="N11" s="149">
        <v>0.8</v>
      </c>
      <c r="O11" t="s">
        <v>171</v>
      </c>
    </row>
    <row r="12" spans="1:15" ht="20.25" customHeight="1">
      <c r="A12">
        <f t="shared" si="1"/>
        <v>7.0685834705770348E-2</v>
      </c>
      <c r="B12" s="141">
        <f t="shared" si="0"/>
        <v>0.11257332476009395</v>
      </c>
      <c r="C12" s="122">
        <v>30</v>
      </c>
      <c r="D12" s="126">
        <v>7.0699999999999999E-2</v>
      </c>
      <c r="E12" s="142">
        <f t="shared" si="5"/>
        <v>20</v>
      </c>
      <c r="F12" s="143">
        <f t="shared" si="6"/>
        <v>6.9999999999999999E-4</v>
      </c>
      <c r="G12" s="124">
        <f t="shared" si="2"/>
        <v>101000000</v>
      </c>
      <c r="H12" s="132">
        <f t="shared" si="3"/>
        <v>1168.9814814814815</v>
      </c>
      <c r="I12" s="133">
        <f t="shared" si="4"/>
        <v>3.2026889903602234</v>
      </c>
      <c r="J12" s="138">
        <f t="shared" si="7"/>
        <v>-0.19175892476009396</v>
      </c>
      <c r="K12" s="138"/>
    </row>
    <row r="13" spans="1:15" ht="20.25" customHeight="1">
      <c r="A13">
        <f t="shared" si="1"/>
        <v>9.6211275016187398E-2</v>
      </c>
      <c r="B13" s="141">
        <f t="shared" si="0"/>
        <v>0.13133554555344296</v>
      </c>
      <c r="C13" s="125">
        <v>35</v>
      </c>
      <c r="D13" s="126">
        <v>9.6199999999999994E-2</v>
      </c>
      <c r="E13" s="142">
        <f t="shared" si="5"/>
        <v>20</v>
      </c>
      <c r="F13" s="143">
        <f t="shared" si="6"/>
        <v>6.9999999999999999E-4</v>
      </c>
      <c r="G13" s="124">
        <f t="shared" si="2"/>
        <v>137428571.42857143</v>
      </c>
      <c r="H13" s="132">
        <f t="shared" si="3"/>
        <v>1590.6084656084656</v>
      </c>
      <c r="I13" s="133">
        <f t="shared" si="4"/>
        <v>4.3578314126259334</v>
      </c>
      <c r="J13" s="138">
        <f t="shared" si="7"/>
        <v>-0.21052114555344298</v>
      </c>
      <c r="K13" s="138"/>
    </row>
    <row r="14" spans="1:15" ht="20.25" customHeight="1">
      <c r="A14">
        <f t="shared" si="1"/>
        <v>0.12566370614359174</v>
      </c>
      <c r="B14" s="141">
        <f t="shared" si="0"/>
        <v>0.15009776634679195</v>
      </c>
      <c r="C14" s="122">
        <v>40</v>
      </c>
      <c r="D14" s="126">
        <v>0.126</v>
      </c>
      <c r="E14" s="142">
        <f t="shared" si="5"/>
        <v>20</v>
      </c>
      <c r="F14" s="143">
        <f t="shared" si="6"/>
        <v>6.9999999999999999E-4</v>
      </c>
      <c r="G14" s="124">
        <f t="shared" si="2"/>
        <v>180000000</v>
      </c>
      <c r="H14" s="132">
        <f t="shared" si="3"/>
        <v>2083.3333333333335</v>
      </c>
      <c r="I14" s="133">
        <f t="shared" si="4"/>
        <v>5.7077625570776256</v>
      </c>
      <c r="J14" s="138">
        <f t="shared" si="7"/>
        <v>-0.22928336634679197</v>
      </c>
      <c r="K14" s="138"/>
    </row>
    <row r="15" spans="1:15" ht="20.25" customHeight="1">
      <c r="A15">
        <f t="shared" si="1"/>
        <v>0.15904312808798329</v>
      </c>
      <c r="B15" s="141">
        <f t="shared" si="0"/>
        <v>0.16885998714014094</v>
      </c>
      <c r="C15" s="125">
        <v>45</v>
      </c>
      <c r="D15" s="126">
        <v>0.159</v>
      </c>
      <c r="E15" s="142">
        <f t="shared" si="5"/>
        <v>20</v>
      </c>
      <c r="F15" s="143">
        <f t="shared" si="6"/>
        <v>6.9999999999999999E-4</v>
      </c>
      <c r="G15" s="124">
        <f t="shared" si="2"/>
        <v>227142857.14285713</v>
      </c>
      <c r="H15" s="132">
        <f t="shared" si="3"/>
        <v>2628.968253968254</v>
      </c>
      <c r="I15" s="133">
        <f t="shared" si="4"/>
        <v>7.2026527505979558</v>
      </c>
      <c r="J15" s="138">
        <f t="shared" si="7"/>
        <v>-0.24804558714014097</v>
      </c>
      <c r="K15" s="138"/>
    </row>
    <row r="16" spans="1:15" ht="20.25" customHeight="1">
      <c r="A16">
        <f t="shared" si="1"/>
        <v>0.19634954084936207</v>
      </c>
      <c r="B16" s="141">
        <f t="shared" si="0"/>
        <v>0.18762220793348994</v>
      </c>
      <c r="C16" s="122">
        <v>50</v>
      </c>
      <c r="D16" s="126">
        <v>0.19700000000000001</v>
      </c>
      <c r="E16" s="142">
        <f t="shared" si="5"/>
        <v>20</v>
      </c>
      <c r="F16" s="143">
        <f t="shared" si="6"/>
        <v>6.9999999999999999E-4</v>
      </c>
      <c r="G16" s="124">
        <f t="shared" si="2"/>
        <v>281428571.4285714</v>
      </c>
      <c r="H16" s="132">
        <f t="shared" si="3"/>
        <v>3257.2751322751319</v>
      </c>
      <c r="I16" s="133">
        <f t="shared" si="4"/>
        <v>8.9240414582880323</v>
      </c>
      <c r="J16" s="138">
        <f t="shared" si="7"/>
        <v>-0.26680780793348996</v>
      </c>
      <c r="K16" s="138"/>
    </row>
    <row r="17" spans="1:12" ht="20.25" customHeight="1">
      <c r="A17">
        <f t="shared" si="1"/>
        <v>0.23758294442772815</v>
      </c>
      <c r="B17" s="141">
        <f t="shared" si="0"/>
        <v>0.20638442872683893</v>
      </c>
      <c r="C17" s="125">
        <v>55</v>
      </c>
      <c r="D17" s="126">
        <v>0.23899999999999999</v>
      </c>
      <c r="E17" s="142">
        <f t="shared" si="5"/>
        <v>20</v>
      </c>
      <c r="F17" s="143">
        <f t="shared" si="6"/>
        <v>6.9999999999999999E-4</v>
      </c>
      <c r="G17" s="124">
        <f t="shared" si="2"/>
        <v>341428571.4285714</v>
      </c>
      <c r="H17" s="132">
        <f t="shared" si="3"/>
        <v>3951.7195767195763</v>
      </c>
      <c r="I17" s="133">
        <f t="shared" si="4"/>
        <v>10.826628977313907</v>
      </c>
      <c r="J17" s="138">
        <f t="shared" si="7"/>
        <v>-0.28557002872683895</v>
      </c>
      <c r="K17" s="138"/>
    </row>
    <row r="18" spans="1:12" ht="20.25" customHeight="1">
      <c r="A18">
        <f>1.781-0.933*LOG(100-C18)</f>
        <v>0.28627802809101111</v>
      </c>
      <c r="B18" s="141">
        <f t="shared" si="0"/>
        <v>0.2251466495201879</v>
      </c>
      <c r="C18" s="122">
        <v>60</v>
      </c>
      <c r="D18" s="126">
        <v>0.28599999999999998</v>
      </c>
      <c r="E18" s="142">
        <f t="shared" si="5"/>
        <v>20</v>
      </c>
      <c r="F18" s="143">
        <f t="shared" si="6"/>
        <v>6.9999999999999999E-4</v>
      </c>
      <c r="G18" s="124">
        <f t="shared" si="2"/>
        <v>408571428.5714286</v>
      </c>
      <c r="H18" s="132">
        <f t="shared" si="3"/>
        <v>4728.8359788359794</v>
      </c>
      <c r="I18" s="133">
        <f t="shared" si="4"/>
        <v>12.955715010509532</v>
      </c>
      <c r="J18" s="138">
        <f t="shared" si="7"/>
        <v>-0.30433224952018789</v>
      </c>
      <c r="K18" s="138"/>
    </row>
    <row r="19" spans="1:12" ht="20.25" customHeight="1">
      <c r="A19">
        <f t="shared" ref="A19:A25" si="8">1.781-0.933*LOG(100-C19)</f>
        <v>0.34038451462119257</v>
      </c>
      <c r="B19" s="141">
        <f t="shared" si="0"/>
        <v>0.24390887031353692</v>
      </c>
      <c r="C19" s="125">
        <v>65</v>
      </c>
      <c r="D19" s="126">
        <v>0.34200000000000003</v>
      </c>
      <c r="E19" s="142">
        <f t="shared" si="5"/>
        <v>20</v>
      </c>
      <c r="F19" s="143">
        <f t="shared" si="6"/>
        <v>6.9999999999999999E-4</v>
      </c>
      <c r="G19" s="124">
        <f t="shared" si="2"/>
        <v>488571428.5714286</v>
      </c>
      <c r="H19" s="132">
        <f t="shared" si="3"/>
        <v>5654.7619047619055</v>
      </c>
      <c r="I19" s="133">
        <f t="shared" si="4"/>
        <v>15.492498369210701</v>
      </c>
      <c r="J19" s="138">
        <f t="shared" si="7"/>
        <v>-0.32309447031353694</v>
      </c>
      <c r="K19" s="138"/>
    </row>
    <row r="20" spans="1:12" ht="20.25" customHeight="1">
      <c r="A20">
        <f t="shared" si="8"/>
        <v>0.40284586934655486</v>
      </c>
      <c r="B20" s="141">
        <f t="shared" si="0"/>
        <v>0.26267109110688591</v>
      </c>
      <c r="C20" s="122">
        <v>70</v>
      </c>
      <c r="D20" s="126">
        <v>0.40300000000000002</v>
      </c>
      <c r="E20" s="142">
        <f t="shared" si="5"/>
        <v>20</v>
      </c>
      <c r="F20" s="143">
        <f t="shared" si="6"/>
        <v>6.9999999999999999E-4</v>
      </c>
      <c r="G20" s="124">
        <f t="shared" si="2"/>
        <v>575714285.71428573</v>
      </c>
      <c r="H20" s="132">
        <f t="shared" si="3"/>
        <v>6663.3597883597886</v>
      </c>
      <c r="I20" s="133">
        <f t="shared" si="4"/>
        <v>18.255780242081613</v>
      </c>
      <c r="J20" s="138">
        <f t="shared" si="7"/>
        <v>-0.34185669110688593</v>
      </c>
      <c r="K20" s="138"/>
    </row>
    <row r="21" spans="1:12" ht="20.25" customHeight="1">
      <c r="A21">
        <f t="shared" si="8"/>
        <v>0.47672197190898857</v>
      </c>
      <c r="B21" s="141">
        <f t="shared" si="0"/>
        <v>0.28143331190023491</v>
      </c>
      <c r="C21" s="125">
        <v>75</v>
      </c>
      <c r="D21" s="126">
        <v>0.47699999999999998</v>
      </c>
      <c r="E21" s="142">
        <f t="shared" si="5"/>
        <v>20</v>
      </c>
      <c r="F21" s="143">
        <f t="shared" si="6"/>
        <v>6.9999999999999999E-4</v>
      </c>
      <c r="G21" s="124">
        <f t="shared" si="2"/>
        <v>681428571.42857146</v>
      </c>
      <c r="H21" s="132">
        <f t="shared" si="3"/>
        <v>7886.9047619047624</v>
      </c>
      <c r="I21" s="133">
        <f t="shared" si="4"/>
        <v>21.607958251793871</v>
      </c>
      <c r="J21" s="138">
        <f t="shared" si="7"/>
        <v>-0.36061891190023493</v>
      </c>
      <c r="K21" s="138"/>
    </row>
    <row r="22" spans="1:12" ht="20.25" customHeight="1">
      <c r="A22">
        <f t="shared" si="8"/>
        <v>0.56713901404550526</v>
      </c>
      <c r="B22" s="141">
        <f t="shared" si="0"/>
        <v>0.3001955326935839</v>
      </c>
      <c r="C22" s="122">
        <v>80</v>
      </c>
      <c r="D22" s="126">
        <v>0.56699999999999995</v>
      </c>
      <c r="E22" s="142">
        <f t="shared" si="5"/>
        <v>20</v>
      </c>
      <c r="F22" s="143">
        <f t="shared" si="6"/>
        <v>6.9999999999999999E-4</v>
      </c>
      <c r="G22" s="124">
        <f t="shared" si="2"/>
        <v>810000000</v>
      </c>
      <c r="H22" s="132">
        <f t="shared" si="3"/>
        <v>9375</v>
      </c>
      <c r="I22" s="133">
        <f t="shared" si="4"/>
        <v>25.684931506849313</v>
      </c>
      <c r="J22" s="138">
        <f t="shared" si="7"/>
        <v>-0.37938113269358392</v>
      </c>
      <c r="K22" s="138"/>
    </row>
    <row r="23" spans="1:12" ht="20.25" customHeight="1">
      <c r="A23">
        <f t="shared" si="8"/>
        <v>0.68370685530104924</v>
      </c>
      <c r="B23" s="141">
        <f t="shared" si="0"/>
        <v>0.31895775348693289</v>
      </c>
      <c r="C23" s="125">
        <v>85</v>
      </c>
      <c r="D23" s="126">
        <v>0.67400000000000004</v>
      </c>
      <c r="E23" s="142">
        <f t="shared" si="5"/>
        <v>20</v>
      </c>
      <c r="F23" s="143">
        <f t="shared" si="6"/>
        <v>6.9999999999999999E-4</v>
      </c>
      <c r="G23" s="124">
        <f t="shared" si="2"/>
        <v>962857142.85714293</v>
      </c>
      <c r="H23" s="132">
        <f t="shared" si="3"/>
        <v>11144.179894179895</v>
      </c>
      <c r="I23" s="133">
        <f t="shared" si="4"/>
        <v>30.531999710081905</v>
      </c>
      <c r="J23" s="138">
        <f t="shared" si="7"/>
        <v>-0.39814335348693292</v>
      </c>
      <c r="K23" s="138"/>
    </row>
    <row r="24" spans="1:12" ht="20.25" customHeight="1">
      <c r="A24">
        <f t="shared" si="8"/>
        <v>0.84799999999999986</v>
      </c>
      <c r="B24" s="141">
        <f t="shared" si="0"/>
        <v>0.33771997428028189</v>
      </c>
      <c r="C24" s="122">
        <v>90</v>
      </c>
      <c r="D24" s="126">
        <v>0.84799999999999998</v>
      </c>
      <c r="E24" s="142">
        <f t="shared" si="5"/>
        <v>20</v>
      </c>
      <c r="F24" s="143">
        <f t="shared" si="6"/>
        <v>6.9999999999999999E-4</v>
      </c>
      <c r="G24" s="124">
        <f t="shared" si="2"/>
        <v>1211428571.4285715</v>
      </c>
      <c r="H24" s="132">
        <f t="shared" si="3"/>
        <v>14021.164021164022</v>
      </c>
      <c r="I24" s="133">
        <f t="shared" si="4"/>
        <v>38.414148003189105</v>
      </c>
      <c r="J24" s="138">
        <f t="shared" si="7"/>
        <v>-0.41690557428028191</v>
      </c>
      <c r="K24" s="138"/>
    </row>
    <row r="25" spans="1:12" ht="20.25" customHeight="1">
      <c r="A25">
        <f t="shared" si="8"/>
        <v>1.1288609859544942</v>
      </c>
      <c r="B25" s="141">
        <f t="shared" si="0"/>
        <v>0.35648219507363088</v>
      </c>
      <c r="C25" s="125">
        <v>95</v>
      </c>
      <c r="D25" s="126">
        <v>1.129</v>
      </c>
      <c r="E25" s="142">
        <f t="shared" si="5"/>
        <v>20</v>
      </c>
      <c r="F25" s="143">
        <f t="shared" si="6"/>
        <v>6.9999999999999999E-4</v>
      </c>
      <c r="G25" s="124">
        <f t="shared" si="2"/>
        <v>1612857142.8571429</v>
      </c>
      <c r="H25" s="132">
        <f t="shared" si="3"/>
        <v>18667.328042328045</v>
      </c>
      <c r="I25" s="133">
        <f t="shared" si="4"/>
        <v>51.143364499528893</v>
      </c>
      <c r="J25" s="138">
        <f t="shared" si="7"/>
        <v>-0.4356677950736309</v>
      </c>
      <c r="K25" s="138"/>
    </row>
    <row r="26" spans="1:12" ht="20.25" customHeight="1" thickBot="1">
      <c r="B26" s="127"/>
      <c r="C26" s="128"/>
      <c r="D26" s="129"/>
      <c r="E26" s="128"/>
      <c r="F26" s="128"/>
      <c r="G26" s="128"/>
      <c r="H26" s="134"/>
      <c r="I26" s="135"/>
    </row>
    <row r="28" spans="1:12">
      <c r="B28" t="s">
        <v>98</v>
      </c>
      <c r="F28" t="s">
        <v>99</v>
      </c>
      <c r="G28" s="145">
        <f>G1</f>
        <v>1</v>
      </c>
      <c r="L28">
        <v>1</v>
      </c>
    </row>
    <row r="29" spans="1:12">
      <c r="D29" s="150">
        <f>D2</f>
        <v>0.37524441586697987</v>
      </c>
      <c r="E29" t="s">
        <v>48</v>
      </c>
      <c r="F29" t="str">
        <f>F2</f>
        <v>Case: Road, +2.75m</v>
      </c>
      <c r="L29">
        <v>2</v>
      </c>
    </row>
    <row r="30" spans="1:12" ht="25.65" thickBot="1">
      <c r="B30" s="247" t="s">
        <v>100</v>
      </c>
      <c r="C30" s="247"/>
      <c r="D30" s="247"/>
      <c r="E30" s="247"/>
      <c r="F30" s="247"/>
      <c r="G30" s="247"/>
      <c r="H30" s="247"/>
      <c r="I30" s="118"/>
    </row>
    <row r="31" spans="1:12" ht="25.65" thickBot="1">
      <c r="A31" t="s">
        <v>137</v>
      </c>
      <c r="B31" s="146"/>
      <c r="C31" s="146"/>
      <c r="D31" s="146"/>
      <c r="E31" s="146" t="s">
        <v>123</v>
      </c>
      <c r="F31" s="146"/>
      <c r="G31" s="154">
        <v>2</v>
      </c>
      <c r="H31" s="146" t="s">
        <v>124</v>
      </c>
      <c r="I31" s="118"/>
      <c r="J31" t="s">
        <v>125</v>
      </c>
      <c r="K31" s="248" t="s">
        <v>126</v>
      </c>
      <c r="L31" s="248"/>
    </row>
    <row r="32" spans="1:12" ht="23.85" thickBot="1">
      <c r="B32" s="119" t="s">
        <v>90</v>
      </c>
      <c r="C32" s="120" t="s">
        <v>91</v>
      </c>
      <c r="D32" s="120" t="s">
        <v>92</v>
      </c>
      <c r="E32" s="120" t="s">
        <v>101</v>
      </c>
      <c r="F32" s="120" t="s">
        <v>93</v>
      </c>
      <c r="G32" s="120" t="s">
        <v>94</v>
      </c>
      <c r="H32" s="121" t="s">
        <v>95</v>
      </c>
      <c r="I32" s="121" t="s">
        <v>96</v>
      </c>
      <c r="J32" s="139" t="s">
        <v>102</v>
      </c>
      <c r="K32" s="139" t="s">
        <v>127</v>
      </c>
      <c r="L32" s="139" t="s">
        <v>128</v>
      </c>
    </row>
    <row r="33" spans="1:15" ht="20.25" customHeight="1">
      <c r="A33">
        <f>PI()/4*(C33/100)^2</f>
        <v>0</v>
      </c>
      <c r="B33" s="140">
        <f t="shared" ref="B33:B52" si="9">$D$2*C33/100</f>
        <v>0</v>
      </c>
      <c r="C33" s="122">
        <v>0</v>
      </c>
      <c r="D33" s="123">
        <v>0</v>
      </c>
      <c r="E33" s="137">
        <f>E6</f>
        <v>20</v>
      </c>
      <c r="F33" s="155">
        <v>2.5000000000000001E-4</v>
      </c>
      <c r="G33" s="124">
        <f>D33*(E33*100/$G$31)^2/F33</f>
        <v>0</v>
      </c>
      <c r="H33" s="132">
        <f>G33/(60*60*24)</f>
        <v>0</v>
      </c>
      <c r="I33" s="133">
        <f>H33/365</f>
        <v>0</v>
      </c>
      <c r="J33" s="138">
        <f>B33*-1</f>
        <v>0</v>
      </c>
      <c r="K33">
        <v>0</v>
      </c>
      <c r="L33" s="138">
        <v>0</v>
      </c>
      <c r="M33">
        <v>1</v>
      </c>
      <c r="N33" s="144">
        <v>1.05</v>
      </c>
      <c r="O33" t="s">
        <v>103</v>
      </c>
    </row>
    <row r="34" spans="1:15" ht="20.25" customHeight="1">
      <c r="A34">
        <f t="shared" ref="A34:A44" si="10">PI()/4*(C34/100)^2</f>
        <v>1.9634954084936209E-3</v>
      </c>
      <c r="B34" s="141">
        <f t="shared" si="9"/>
        <v>1.8762220793348994E-2</v>
      </c>
      <c r="C34" s="125">
        <v>5</v>
      </c>
      <c r="D34" s="126">
        <v>2E-3</v>
      </c>
      <c r="E34" s="142">
        <f>E33</f>
        <v>20</v>
      </c>
      <c r="F34" s="143">
        <f>F33</f>
        <v>2.5000000000000001E-4</v>
      </c>
      <c r="G34" s="124">
        <f t="shared" ref="G34:G52" si="11">D34*(E34*100/$G$31)^2/F34</f>
        <v>8000000</v>
      </c>
      <c r="H34" s="132">
        <f t="shared" ref="H34:H52" si="12">G34/(60*60*24)</f>
        <v>92.592592592592595</v>
      </c>
      <c r="I34" s="133">
        <f t="shared" ref="I34:I52" si="13">H34/365</f>
        <v>0.25367833587011668</v>
      </c>
      <c r="J34" s="138">
        <f>B34*-1-$L$3</f>
        <v>-9.7947820793349002E-2</v>
      </c>
      <c r="K34" s="138">
        <v>1.02</v>
      </c>
      <c r="L34">
        <v>-24.4</v>
      </c>
      <c r="M34">
        <v>2</v>
      </c>
      <c r="N34" s="144">
        <v>1.54</v>
      </c>
      <c r="O34" t="s">
        <v>104</v>
      </c>
    </row>
    <row r="35" spans="1:15" ht="20.25" customHeight="1">
      <c r="A35">
        <f t="shared" si="10"/>
        <v>7.8539816339744835E-3</v>
      </c>
      <c r="B35" s="141">
        <f t="shared" si="9"/>
        <v>3.7524441586697987E-2</v>
      </c>
      <c r="C35" s="122">
        <v>10</v>
      </c>
      <c r="D35" s="126">
        <v>7.7999999999999996E-3</v>
      </c>
      <c r="E35" s="142">
        <f t="shared" ref="E35:F50" si="14">E34</f>
        <v>20</v>
      </c>
      <c r="F35" s="143">
        <f t="shared" si="14"/>
        <v>2.5000000000000001E-4</v>
      </c>
      <c r="G35" s="124">
        <f t="shared" si="11"/>
        <v>31200000</v>
      </c>
      <c r="H35" s="132">
        <f t="shared" si="12"/>
        <v>361.11111111111109</v>
      </c>
      <c r="I35" s="133">
        <f t="shared" si="13"/>
        <v>0.98934550989345504</v>
      </c>
      <c r="J35" s="138">
        <f t="shared" ref="J35:J52" si="15">B35*-1-$L$3</f>
        <v>-0.116710041586698</v>
      </c>
      <c r="K35" s="138">
        <v>2.19</v>
      </c>
      <c r="L35">
        <v>-40.6</v>
      </c>
      <c r="M35">
        <v>3</v>
      </c>
      <c r="N35" s="144">
        <v>2.0099999999999998</v>
      </c>
      <c r="O35" t="s">
        <v>105</v>
      </c>
    </row>
    <row r="36" spans="1:15" ht="20.25" customHeight="1">
      <c r="A36">
        <f t="shared" si="10"/>
        <v>1.7671458676442587E-2</v>
      </c>
      <c r="B36" s="141">
        <f t="shared" si="9"/>
        <v>5.6286662380046974E-2</v>
      </c>
      <c r="C36" s="125">
        <v>15</v>
      </c>
      <c r="D36" s="126">
        <v>1.77E-2</v>
      </c>
      <c r="E36" s="142">
        <f t="shared" si="14"/>
        <v>20</v>
      </c>
      <c r="F36" s="143">
        <f t="shared" si="14"/>
        <v>2.5000000000000001E-4</v>
      </c>
      <c r="G36" s="124">
        <f t="shared" si="11"/>
        <v>70800000</v>
      </c>
      <c r="H36" s="132">
        <f t="shared" si="12"/>
        <v>819.44444444444446</v>
      </c>
      <c r="I36" s="133">
        <f t="shared" si="13"/>
        <v>2.2450532724505328</v>
      </c>
      <c r="J36" s="138">
        <f t="shared" si="15"/>
        <v>-0.13547226238004698</v>
      </c>
      <c r="K36" s="138">
        <v>2.38</v>
      </c>
      <c r="L36">
        <v>-42</v>
      </c>
      <c r="M36">
        <v>4</v>
      </c>
      <c r="N36" s="144">
        <v>1.21</v>
      </c>
      <c r="O36" t="s">
        <v>106</v>
      </c>
    </row>
    <row r="37" spans="1:15" ht="20.25" customHeight="1">
      <c r="A37">
        <f t="shared" si="10"/>
        <v>3.1415926535897934E-2</v>
      </c>
      <c r="B37" s="141">
        <f t="shared" si="9"/>
        <v>7.5048883173395975E-2</v>
      </c>
      <c r="C37" s="122">
        <v>20</v>
      </c>
      <c r="D37" s="126">
        <v>3.1399999999999997E-2</v>
      </c>
      <c r="E37" s="142">
        <f t="shared" si="14"/>
        <v>20</v>
      </c>
      <c r="F37" s="143">
        <f t="shared" si="14"/>
        <v>2.5000000000000001E-4</v>
      </c>
      <c r="G37" s="124">
        <f t="shared" si="11"/>
        <v>125599999.99999999</v>
      </c>
      <c r="H37" s="132">
        <f t="shared" si="12"/>
        <v>1453.7037037037035</v>
      </c>
      <c r="I37" s="133">
        <f t="shared" si="13"/>
        <v>3.9827498731608313</v>
      </c>
      <c r="J37" s="138">
        <f t="shared" si="15"/>
        <v>-0.154234483173396</v>
      </c>
      <c r="K37" s="138"/>
      <c r="M37">
        <v>5</v>
      </c>
      <c r="N37" s="144">
        <v>1.39</v>
      </c>
      <c r="O37" t="s">
        <v>107</v>
      </c>
    </row>
    <row r="38" spans="1:15" ht="20.25" customHeight="1">
      <c r="A38">
        <f t="shared" si="10"/>
        <v>4.9087385212340517E-2</v>
      </c>
      <c r="B38" s="141">
        <f t="shared" si="9"/>
        <v>9.3811103966744969E-2</v>
      </c>
      <c r="C38" s="125">
        <v>25</v>
      </c>
      <c r="D38" s="126">
        <v>4.9099999999999998E-2</v>
      </c>
      <c r="E38" s="142">
        <f t="shared" si="14"/>
        <v>20</v>
      </c>
      <c r="F38" s="143">
        <f t="shared" si="14"/>
        <v>2.5000000000000001E-4</v>
      </c>
      <c r="G38" s="124">
        <f t="shared" si="11"/>
        <v>196400000</v>
      </c>
      <c r="H38" s="132">
        <f t="shared" si="12"/>
        <v>2273.1481481481483</v>
      </c>
      <c r="I38" s="133">
        <f t="shared" si="13"/>
        <v>6.2278031456113654</v>
      </c>
      <c r="J38" s="138">
        <f t="shared" si="15"/>
        <v>-0.17299670396674499</v>
      </c>
      <c r="K38" s="138"/>
      <c r="M38">
        <v>6</v>
      </c>
      <c r="N38" s="149">
        <v>0.8</v>
      </c>
      <c r="O38" t="s">
        <v>108</v>
      </c>
    </row>
    <row r="39" spans="1:15" ht="20.25" customHeight="1">
      <c r="A39">
        <f t="shared" si="10"/>
        <v>7.0685834705770348E-2</v>
      </c>
      <c r="B39" s="141">
        <f t="shared" si="9"/>
        <v>0.11257332476009395</v>
      </c>
      <c r="C39" s="122">
        <v>30</v>
      </c>
      <c r="D39" s="126">
        <v>7.0699999999999999E-2</v>
      </c>
      <c r="E39" s="142">
        <f t="shared" si="14"/>
        <v>20</v>
      </c>
      <c r="F39" s="143">
        <f t="shared" si="14"/>
        <v>2.5000000000000001E-4</v>
      </c>
      <c r="G39" s="124">
        <f t="shared" si="11"/>
        <v>282800000</v>
      </c>
      <c r="H39" s="132">
        <f t="shared" si="12"/>
        <v>3273.1481481481483</v>
      </c>
      <c r="I39" s="133">
        <f t="shared" si="13"/>
        <v>8.9675291730086251</v>
      </c>
      <c r="J39" s="138">
        <f t="shared" si="15"/>
        <v>-0.19175892476009396</v>
      </c>
      <c r="K39" s="138"/>
    </row>
    <row r="40" spans="1:15" ht="20.25" customHeight="1">
      <c r="A40">
        <f t="shared" si="10"/>
        <v>9.6211275016187398E-2</v>
      </c>
      <c r="B40" s="141">
        <f t="shared" si="9"/>
        <v>0.13133554555344296</v>
      </c>
      <c r="C40" s="125">
        <v>35</v>
      </c>
      <c r="D40" s="126">
        <v>9.6199999999999994E-2</v>
      </c>
      <c r="E40" s="142">
        <f t="shared" si="14"/>
        <v>20</v>
      </c>
      <c r="F40" s="143">
        <f t="shared" si="14"/>
        <v>2.5000000000000001E-4</v>
      </c>
      <c r="G40" s="124">
        <f t="shared" si="11"/>
        <v>384800000</v>
      </c>
      <c r="H40" s="132">
        <f t="shared" si="12"/>
        <v>4453.7037037037035</v>
      </c>
      <c r="I40" s="133">
        <f t="shared" si="13"/>
        <v>12.201927955352613</v>
      </c>
      <c r="J40" s="138">
        <f t="shared" si="15"/>
        <v>-0.21052114555344298</v>
      </c>
      <c r="K40" s="138"/>
    </row>
    <row r="41" spans="1:15" ht="20.25" customHeight="1">
      <c r="A41">
        <f t="shared" si="10"/>
        <v>0.12566370614359174</v>
      </c>
      <c r="B41" s="141">
        <f t="shared" si="9"/>
        <v>0.15009776634679195</v>
      </c>
      <c r="C41" s="122">
        <v>40</v>
      </c>
      <c r="D41" s="126">
        <v>0.126</v>
      </c>
      <c r="E41" s="142">
        <f t="shared" si="14"/>
        <v>20</v>
      </c>
      <c r="F41" s="143">
        <f t="shared" si="14"/>
        <v>2.5000000000000001E-4</v>
      </c>
      <c r="G41" s="124">
        <f t="shared" si="11"/>
        <v>504000000</v>
      </c>
      <c r="H41" s="132">
        <f t="shared" si="12"/>
        <v>5833.333333333333</v>
      </c>
      <c r="I41" s="133">
        <f t="shared" si="13"/>
        <v>15.981735159817351</v>
      </c>
      <c r="J41" s="138">
        <f t="shared" si="15"/>
        <v>-0.22928336634679197</v>
      </c>
      <c r="K41" s="138"/>
    </row>
    <row r="42" spans="1:15" ht="20.25" customHeight="1">
      <c r="A42">
        <f t="shared" si="10"/>
        <v>0.15904312808798329</v>
      </c>
      <c r="B42" s="141">
        <f t="shared" si="9"/>
        <v>0.16885998714014094</v>
      </c>
      <c r="C42" s="125">
        <v>45</v>
      </c>
      <c r="D42" s="126">
        <v>0.159</v>
      </c>
      <c r="E42" s="142">
        <f t="shared" si="14"/>
        <v>20</v>
      </c>
      <c r="F42" s="143">
        <f t="shared" si="14"/>
        <v>2.5000000000000001E-4</v>
      </c>
      <c r="G42" s="124">
        <f t="shared" si="11"/>
        <v>636000000</v>
      </c>
      <c r="H42" s="132">
        <f t="shared" si="12"/>
        <v>7361.1111111111113</v>
      </c>
      <c r="I42" s="133">
        <f t="shared" si="13"/>
        <v>20.167427701674278</v>
      </c>
      <c r="J42" s="138">
        <f t="shared" si="15"/>
        <v>-0.24804558714014097</v>
      </c>
      <c r="K42" s="138"/>
    </row>
    <row r="43" spans="1:15" ht="20.25" customHeight="1">
      <c r="A43">
        <f t="shared" si="10"/>
        <v>0.19634954084936207</v>
      </c>
      <c r="B43" s="141">
        <f t="shared" si="9"/>
        <v>0.18762220793348994</v>
      </c>
      <c r="C43" s="122">
        <v>50</v>
      </c>
      <c r="D43" s="126">
        <v>0.19700000000000001</v>
      </c>
      <c r="E43" s="142">
        <f t="shared" si="14"/>
        <v>20</v>
      </c>
      <c r="F43" s="143">
        <f t="shared" si="14"/>
        <v>2.5000000000000001E-4</v>
      </c>
      <c r="G43" s="124">
        <f t="shared" si="11"/>
        <v>788000000</v>
      </c>
      <c r="H43" s="132">
        <f t="shared" si="12"/>
        <v>9120.3703703703704</v>
      </c>
      <c r="I43" s="133">
        <f t="shared" si="13"/>
        <v>24.987316083206494</v>
      </c>
      <c r="J43" s="138">
        <f t="shared" si="15"/>
        <v>-0.26680780793348996</v>
      </c>
      <c r="K43" s="138"/>
    </row>
    <row r="44" spans="1:15" ht="20.25" customHeight="1">
      <c r="A44">
        <f t="shared" si="10"/>
        <v>0.23758294442772815</v>
      </c>
      <c r="B44" s="141">
        <f t="shared" si="9"/>
        <v>0.20638442872683893</v>
      </c>
      <c r="C44" s="125">
        <v>55</v>
      </c>
      <c r="D44" s="126">
        <v>0.23899999999999999</v>
      </c>
      <c r="E44" s="142">
        <f t="shared" si="14"/>
        <v>20</v>
      </c>
      <c r="F44" s="143">
        <f t="shared" si="14"/>
        <v>2.5000000000000001E-4</v>
      </c>
      <c r="G44" s="124">
        <f t="shared" si="11"/>
        <v>956000000</v>
      </c>
      <c r="H44" s="132">
        <f t="shared" si="12"/>
        <v>11064.814814814816</v>
      </c>
      <c r="I44" s="133">
        <f t="shared" si="13"/>
        <v>30.314561136478947</v>
      </c>
      <c r="J44" s="138">
        <f t="shared" si="15"/>
        <v>-0.28557002872683895</v>
      </c>
      <c r="K44" s="138"/>
    </row>
    <row r="45" spans="1:15" ht="20.25" customHeight="1">
      <c r="A45">
        <f>1.781-0.933*LOG(100-C45)</f>
        <v>0.28627802809101111</v>
      </c>
      <c r="B45" s="141">
        <f t="shared" si="9"/>
        <v>0.2251466495201879</v>
      </c>
      <c r="C45" s="122">
        <v>60</v>
      </c>
      <c r="D45" s="126">
        <v>0.28599999999999998</v>
      </c>
      <c r="E45" s="142">
        <f t="shared" si="14"/>
        <v>20</v>
      </c>
      <c r="F45" s="143">
        <f t="shared" si="14"/>
        <v>2.5000000000000001E-4</v>
      </c>
      <c r="G45" s="124">
        <f t="shared" si="11"/>
        <v>1144000000</v>
      </c>
      <c r="H45" s="132">
        <f t="shared" si="12"/>
        <v>13240.740740740741</v>
      </c>
      <c r="I45" s="133">
        <f t="shared" si="13"/>
        <v>36.276002029426685</v>
      </c>
      <c r="J45" s="138">
        <f t="shared" si="15"/>
        <v>-0.30433224952018789</v>
      </c>
      <c r="K45" s="138"/>
    </row>
    <row r="46" spans="1:15" ht="20.25" customHeight="1">
      <c r="A46">
        <f t="shared" ref="A46:A52" si="16">1.781-0.933*LOG(100-C46)</f>
        <v>0.34038451462119257</v>
      </c>
      <c r="B46" s="141">
        <f t="shared" si="9"/>
        <v>0.24390887031353692</v>
      </c>
      <c r="C46" s="125">
        <v>65</v>
      </c>
      <c r="D46" s="126">
        <v>0.34200000000000003</v>
      </c>
      <c r="E46" s="142">
        <f t="shared" si="14"/>
        <v>20</v>
      </c>
      <c r="F46" s="143">
        <f t="shared" si="14"/>
        <v>2.5000000000000001E-4</v>
      </c>
      <c r="G46" s="124">
        <f t="shared" si="11"/>
        <v>1368000000</v>
      </c>
      <c r="H46" s="132">
        <f t="shared" si="12"/>
        <v>15833.333333333334</v>
      </c>
      <c r="I46" s="133">
        <f t="shared" si="13"/>
        <v>43.378995433789953</v>
      </c>
      <c r="J46" s="138">
        <f t="shared" si="15"/>
        <v>-0.32309447031353694</v>
      </c>
      <c r="K46" s="138"/>
    </row>
    <row r="47" spans="1:15" ht="20.25" customHeight="1">
      <c r="A47">
        <f t="shared" si="16"/>
        <v>0.40284586934655486</v>
      </c>
      <c r="B47" s="141">
        <f t="shared" si="9"/>
        <v>0.26267109110688591</v>
      </c>
      <c r="C47" s="122">
        <v>70</v>
      </c>
      <c r="D47" s="126">
        <v>0.40300000000000002</v>
      </c>
      <c r="E47" s="142">
        <f t="shared" si="14"/>
        <v>20</v>
      </c>
      <c r="F47" s="143">
        <f t="shared" si="14"/>
        <v>2.5000000000000001E-4</v>
      </c>
      <c r="G47" s="124">
        <f t="shared" si="11"/>
        <v>1612000000</v>
      </c>
      <c r="H47" s="132">
        <f t="shared" si="12"/>
        <v>18657.407407407409</v>
      </c>
      <c r="I47" s="133">
        <f t="shared" si="13"/>
        <v>51.116184677828514</v>
      </c>
      <c r="J47" s="138">
        <f t="shared" si="15"/>
        <v>-0.34185669110688593</v>
      </c>
      <c r="K47" s="138"/>
    </row>
    <row r="48" spans="1:15" ht="20.25" customHeight="1">
      <c r="A48">
        <f t="shared" si="16"/>
        <v>0.47672197190898857</v>
      </c>
      <c r="B48" s="141">
        <f t="shared" si="9"/>
        <v>0.28143331190023491</v>
      </c>
      <c r="C48" s="125">
        <v>75</v>
      </c>
      <c r="D48" s="126">
        <v>0.47699999999999998</v>
      </c>
      <c r="E48" s="142">
        <f t="shared" si="14"/>
        <v>20</v>
      </c>
      <c r="F48" s="143">
        <f t="shared" si="14"/>
        <v>2.5000000000000001E-4</v>
      </c>
      <c r="G48" s="124">
        <f t="shared" si="11"/>
        <v>1908000000</v>
      </c>
      <c r="H48" s="132">
        <f t="shared" si="12"/>
        <v>22083.333333333332</v>
      </c>
      <c r="I48" s="133">
        <f t="shared" si="13"/>
        <v>60.502283105022826</v>
      </c>
      <c r="J48" s="138">
        <f t="shared" si="15"/>
        <v>-0.36061891190023493</v>
      </c>
      <c r="K48" s="138"/>
    </row>
    <row r="49" spans="1:15" ht="20.25" customHeight="1">
      <c r="A49">
        <f t="shared" si="16"/>
        <v>0.56713901404550526</v>
      </c>
      <c r="B49" s="141">
        <f t="shared" si="9"/>
        <v>0.3001955326935839</v>
      </c>
      <c r="C49" s="122">
        <v>80</v>
      </c>
      <c r="D49" s="126">
        <v>0.56699999999999995</v>
      </c>
      <c r="E49" s="142">
        <f t="shared" si="14"/>
        <v>20</v>
      </c>
      <c r="F49" s="143">
        <f t="shared" si="14"/>
        <v>2.5000000000000001E-4</v>
      </c>
      <c r="G49" s="124">
        <f t="shared" si="11"/>
        <v>2268000000</v>
      </c>
      <c r="H49" s="132">
        <f t="shared" si="12"/>
        <v>26250</v>
      </c>
      <c r="I49" s="133">
        <f t="shared" si="13"/>
        <v>71.917808219178085</v>
      </c>
      <c r="J49" s="138">
        <f t="shared" si="15"/>
        <v>-0.37938113269358392</v>
      </c>
      <c r="K49" s="138"/>
    </row>
    <row r="50" spans="1:15" ht="20.25" customHeight="1">
      <c r="A50">
        <f t="shared" si="16"/>
        <v>0.68370685530104924</v>
      </c>
      <c r="B50" s="141">
        <f t="shared" si="9"/>
        <v>0.31895775348693289</v>
      </c>
      <c r="C50" s="125">
        <v>85</v>
      </c>
      <c r="D50" s="126">
        <v>0.67400000000000004</v>
      </c>
      <c r="E50" s="142">
        <f t="shared" si="14"/>
        <v>20</v>
      </c>
      <c r="F50" s="143">
        <f t="shared" si="14"/>
        <v>2.5000000000000001E-4</v>
      </c>
      <c r="G50" s="124">
        <f t="shared" si="11"/>
        <v>2696000000</v>
      </c>
      <c r="H50" s="132">
        <f t="shared" si="12"/>
        <v>31203.703703703704</v>
      </c>
      <c r="I50" s="133">
        <f t="shared" si="13"/>
        <v>85.48959918822932</v>
      </c>
      <c r="J50" s="138">
        <f t="shared" si="15"/>
        <v>-0.39814335348693292</v>
      </c>
      <c r="K50" s="138"/>
    </row>
    <row r="51" spans="1:15" ht="20.25" customHeight="1">
      <c r="A51">
        <f t="shared" si="16"/>
        <v>0.84799999999999986</v>
      </c>
      <c r="B51" s="141">
        <f t="shared" si="9"/>
        <v>0.33771997428028189</v>
      </c>
      <c r="C51" s="122">
        <v>90</v>
      </c>
      <c r="D51" s="126">
        <v>0.84799999999999998</v>
      </c>
      <c r="E51" s="142">
        <f t="shared" ref="E51:F52" si="17">E50</f>
        <v>20</v>
      </c>
      <c r="F51" s="143">
        <f t="shared" si="17"/>
        <v>2.5000000000000001E-4</v>
      </c>
      <c r="G51" s="124">
        <f t="shared" si="11"/>
        <v>3392000000</v>
      </c>
      <c r="H51" s="132">
        <f t="shared" si="12"/>
        <v>39259.259259259263</v>
      </c>
      <c r="I51" s="133">
        <f t="shared" si="13"/>
        <v>107.55961440892949</v>
      </c>
      <c r="J51" s="138">
        <f t="shared" si="15"/>
        <v>-0.41690557428028191</v>
      </c>
      <c r="K51" s="138"/>
    </row>
    <row r="52" spans="1:15" ht="20.25" customHeight="1">
      <c r="A52">
        <f t="shared" si="16"/>
        <v>1.1288609859544942</v>
      </c>
      <c r="B52" s="141">
        <f t="shared" si="9"/>
        <v>0.35648219507363088</v>
      </c>
      <c r="C52" s="125">
        <v>95</v>
      </c>
      <c r="D52" s="126">
        <v>1.129</v>
      </c>
      <c r="E52" s="142">
        <f t="shared" si="17"/>
        <v>20</v>
      </c>
      <c r="F52" s="143">
        <f t="shared" si="17"/>
        <v>2.5000000000000001E-4</v>
      </c>
      <c r="G52" s="124">
        <f t="shared" si="11"/>
        <v>4516000000</v>
      </c>
      <c r="H52" s="132">
        <f t="shared" si="12"/>
        <v>52268.518518518518</v>
      </c>
      <c r="I52" s="133">
        <f t="shared" si="13"/>
        <v>143.20142059868087</v>
      </c>
      <c r="J52" s="138">
        <f t="shared" si="15"/>
        <v>-0.4356677950736309</v>
      </c>
      <c r="K52" s="138"/>
    </row>
    <row r="53" spans="1:15" ht="20.25" customHeight="1" thickBot="1">
      <c r="B53" s="127"/>
      <c r="C53" s="128"/>
      <c r="D53" s="129"/>
      <c r="E53" s="128"/>
      <c r="F53" s="128"/>
      <c r="G53" s="128"/>
      <c r="H53" s="134"/>
      <c r="I53" s="135"/>
    </row>
    <row r="56" spans="1:15">
      <c r="B56" t="s">
        <v>98</v>
      </c>
      <c r="F56" t="s">
        <v>99</v>
      </c>
      <c r="G56" s="145">
        <f>G1</f>
        <v>1</v>
      </c>
      <c r="L56">
        <v>1</v>
      </c>
    </row>
    <row r="57" spans="1:15">
      <c r="D57" s="150">
        <f>D2</f>
        <v>0.37524441586697987</v>
      </c>
      <c r="E57" t="s">
        <v>48</v>
      </c>
      <c r="F57" t="str">
        <f>F2</f>
        <v>Case: Road, +2.75m</v>
      </c>
      <c r="L57">
        <v>2</v>
      </c>
    </row>
    <row r="58" spans="1:15" ht="25.65" thickBot="1">
      <c r="B58" s="247" t="s">
        <v>100</v>
      </c>
      <c r="C58" s="247"/>
      <c r="D58" s="247"/>
      <c r="E58" s="247"/>
      <c r="F58" s="247"/>
      <c r="G58" s="247"/>
      <c r="H58" s="247"/>
      <c r="I58" s="118"/>
    </row>
    <row r="59" spans="1:15" ht="25.65" thickBot="1">
      <c r="A59" t="s">
        <v>138</v>
      </c>
      <c r="B59" s="146"/>
      <c r="C59" s="146"/>
      <c r="D59" s="146"/>
      <c r="E59" s="146" t="s">
        <v>123</v>
      </c>
      <c r="F59" s="146"/>
      <c r="G59" s="154">
        <v>2</v>
      </c>
      <c r="H59" s="146" t="s">
        <v>124</v>
      </c>
      <c r="I59" s="118"/>
      <c r="J59" t="s">
        <v>125</v>
      </c>
      <c r="K59" s="248" t="s">
        <v>126</v>
      </c>
      <c r="L59" s="248"/>
    </row>
    <row r="60" spans="1:15" ht="23.85" thickBot="1">
      <c r="B60" s="119" t="s">
        <v>90</v>
      </c>
      <c r="C60" s="120" t="s">
        <v>91</v>
      </c>
      <c r="D60" s="120" t="s">
        <v>92</v>
      </c>
      <c r="E60" s="120" t="s">
        <v>101</v>
      </c>
      <c r="F60" s="120" t="s">
        <v>93</v>
      </c>
      <c r="G60" s="120" t="s">
        <v>94</v>
      </c>
      <c r="H60" s="121" t="s">
        <v>95</v>
      </c>
      <c r="I60" s="121" t="s">
        <v>96</v>
      </c>
      <c r="J60" s="139" t="s">
        <v>102</v>
      </c>
      <c r="K60" s="139" t="s">
        <v>127</v>
      </c>
      <c r="L60" s="139" t="s">
        <v>128</v>
      </c>
    </row>
    <row r="61" spans="1:15" ht="20.25" customHeight="1">
      <c r="A61">
        <f>PI()/4*(C61/100)^2</f>
        <v>0</v>
      </c>
      <c r="B61" s="140">
        <f t="shared" ref="B61:B80" si="18">$D$2*C61/100</f>
        <v>0</v>
      </c>
      <c r="C61" s="122">
        <v>0</v>
      </c>
      <c r="D61" s="123">
        <v>0</v>
      </c>
      <c r="E61" s="137">
        <f>E34</f>
        <v>20</v>
      </c>
      <c r="F61" s="155">
        <v>2.5000000000000001E-3</v>
      </c>
      <c r="G61" s="124">
        <f>D61*(E61*100/$G$59)^2/F61</f>
        <v>0</v>
      </c>
      <c r="H61" s="132">
        <f>G61/(60*60*24)</f>
        <v>0</v>
      </c>
      <c r="I61" s="133">
        <f>H61/365</f>
        <v>0</v>
      </c>
      <c r="J61" s="138">
        <f>B61*-1</f>
        <v>0</v>
      </c>
      <c r="K61">
        <v>0</v>
      </c>
      <c r="L61" s="138">
        <v>0</v>
      </c>
      <c r="M61">
        <v>1</v>
      </c>
      <c r="N61" s="144">
        <v>1.05</v>
      </c>
      <c r="O61" t="s">
        <v>103</v>
      </c>
    </row>
    <row r="62" spans="1:15" ht="20.25" customHeight="1">
      <c r="A62">
        <f t="shared" ref="A62:A72" si="19">PI()/4*(C62/100)^2</f>
        <v>1.9634954084936209E-3</v>
      </c>
      <c r="B62" s="141">
        <f t="shared" si="18"/>
        <v>1.8762220793348994E-2</v>
      </c>
      <c r="C62" s="125">
        <v>5</v>
      </c>
      <c r="D62" s="126">
        <v>2E-3</v>
      </c>
      <c r="E62" s="142">
        <f>E61</f>
        <v>20</v>
      </c>
      <c r="F62" s="143">
        <f>F61</f>
        <v>2.5000000000000001E-3</v>
      </c>
      <c r="G62" s="124">
        <f>D62*(E62*100/$G$59)^2/F62</f>
        <v>800000</v>
      </c>
      <c r="H62" s="132">
        <f t="shared" ref="H62:H80" si="20">G62/(60*60*24)</f>
        <v>9.2592592592592595</v>
      </c>
      <c r="I62" s="133">
        <f t="shared" ref="I62:I80" si="21">H62/365</f>
        <v>2.5367833587011671E-2</v>
      </c>
      <c r="J62" s="138">
        <f>B62*-1-$L$3</f>
        <v>-9.7947820793349002E-2</v>
      </c>
      <c r="K62" s="138">
        <v>1.02</v>
      </c>
      <c r="L62">
        <v>-24.4</v>
      </c>
      <c r="M62">
        <v>2</v>
      </c>
      <c r="N62" s="144">
        <v>1.54</v>
      </c>
      <c r="O62" t="s">
        <v>104</v>
      </c>
    </row>
    <row r="63" spans="1:15" ht="20.25" customHeight="1">
      <c r="A63">
        <f t="shared" si="19"/>
        <v>7.8539816339744835E-3</v>
      </c>
      <c r="B63" s="141">
        <f t="shared" si="18"/>
        <v>3.7524441586697987E-2</v>
      </c>
      <c r="C63" s="122">
        <v>10</v>
      </c>
      <c r="D63" s="126">
        <v>7.7999999999999996E-3</v>
      </c>
      <c r="E63" s="142">
        <f t="shared" ref="E63:F63" si="22">E62</f>
        <v>20</v>
      </c>
      <c r="F63" s="143">
        <f t="shared" si="22"/>
        <v>2.5000000000000001E-3</v>
      </c>
      <c r="G63" s="124">
        <f t="shared" ref="G63:G80" si="23">D63*(E63*100/$G$59)^2/F63</f>
        <v>3120000</v>
      </c>
      <c r="H63" s="132">
        <f t="shared" si="20"/>
        <v>36.111111111111114</v>
      </c>
      <c r="I63" s="133">
        <f t="shared" si="21"/>
        <v>9.8934550989345518E-2</v>
      </c>
      <c r="J63" s="138">
        <f t="shared" ref="J63:J80" si="24">B63*-1-$L$3</f>
        <v>-0.116710041586698</v>
      </c>
      <c r="K63" s="138">
        <v>2.19</v>
      </c>
      <c r="L63">
        <v>-40.6</v>
      </c>
      <c r="M63">
        <v>3</v>
      </c>
      <c r="N63" s="144">
        <v>2.0099999999999998</v>
      </c>
      <c r="O63" t="s">
        <v>105</v>
      </c>
    </row>
    <row r="64" spans="1:15" ht="20.25" customHeight="1">
      <c r="A64">
        <f t="shared" si="19"/>
        <v>1.7671458676442587E-2</v>
      </c>
      <c r="B64" s="141">
        <f t="shared" si="18"/>
        <v>5.6286662380046974E-2</v>
      </c>
      <c r="C64" s="125">
        <v>15</v>
      </c>
      <c r="D64" s="126">
        <v>1.77E-2</v>
      </c>
      <c r="E64" s="142">
        <f t="shared" ref="E64:F64" si="25">E63</f>
        <v>20</v>
      </c>
      <c r="F64" s="143">
        <f t="shared" si="25"/>
        <v>2.5000000000000001E-3</v>
      </c>
      <c r="G64" s="124">
        <f t="shared" si="23"/>
        <v>7080000</v>
      </c>
      <c r="H64" s="132">
        <f t="shared" si="20"/>
        <v>81.944444444444443</v>
      </c>
      <c r="I64" s="133">
        <f t="shared" si="21"/>
        <v>0.22450532724505326</v>
      </c>
      <c r="J64" s="138">
        <f t="shared" si="24"/>
        <v>-0.13547226238004698</v>
      </c>
      <c r="K64" s="138">
        <v>2.38</v>
      </c>
      <c r="L64">
        <v>-42</v>
      </c>
      <c r="M64">
        <v>4</v>
      </c>
      <c r="N64" s="144">
        <v>1.21</v>
      </c>
      <c r="O64" t="s">
        <v>106</v>
      </c>
    </row>
    <row r="65" spans="1:15" ht="20.25" customHeight="1">
      <c r="A65">
        <f t="shared" si="19"/>
        <v>3.1415926535897934E-2</v>
      </c>
      <c r="B65" s="141">
        <f t="shared" si="18"/>
        <v>7.5048883173395975E-2</v>
      </c>
      <c r="C65" s="122">
        <v>20</v>
      </c>
      <c r="D65" s="126">
        <v>3.1399999999999997E-2</v>
      </c>
      <c r="E65" s="142">
        <f t="shared" ref="E65:F65" si="26">E64</f>
        <v>20</v>
      </c>
      <c r="F65" s="143">
        <f t="shared" si="26"/>
        <v>2.5000000000000001E-3</v>
      </c>
      <c r="G65" s="124">
        <f t="shared" si="23"/>
        <v>12559999.999999998</v>
      </c>
      <c r="H65" s="132">
        <f t="shared" si="20"/>
        <v>145.37037037037035</v>
      </c>
      <c r="I65" s="133">
        <f t="shared" si="21"/>
        <v>0.39827498731608318</v>
      </c>
      <c r="J65" s="138">
        <f t="shared" si="24"/>
        <v>-0.154234483173396</v>
      </c>
      <c r="K65" s="138"/>
      <c r="M65">
        <v>5</v>
      </c>
      <c r="N65" s="144">
        <v>1.39</v>
      </c>
      <c r="O65" t="s">
        <v>107</v>
      </c>
    </row>
    <row r="66" spans="1:15" ht="20.25" customHeight="1">
      <c r="A66">
        <f t="shared" si="19"/>
        <v>4.9087385212340517E-2</v>
      </c>
      <c r="B66" s="141">
        <f t="shared" si="18"/>
        <v>9.3811103966744969E-2</v>
      </c>
      <c r="C66" s="125">
        <v>25</v>
      </c>
      <c r="D66" s="126">
        <v>4.9099999999999998E-2</v>
      </c>
      <c r="E66" s="142">
        <f t="shared" ref="E66:F66" si="27">E65</f>
        <v>20</v>
      </c>
      <c r="F66" s="143">
        <f t="shared" si="27"/>
        <v>2.5000000000000001E-3</v>
      </c>
      <c r="G66" s="124">
        <f t="shared" si="23"/>
        <v>19640000</v>
      </c>
      <c r="H66" s="132">
        <f t="shared" si="20"/>
        <v>227.31481481481481</v>
      </c>
      <c r="I66" s="133">
        <f t="shared" si="21"/>
        <v>0.62278031456113647</v>
      </c>
      <c r="J66" s="138">
        <f t="shared" si="24"/>
        <v>-0.17299670396674499</v>
      </c>
      <c r="K66" s="138"/>
      <c r="M66">
        <v>6</v>
      </c>
      <c r="N66" s="149">
        <v>0.8</v>
      </c>
      <c r="O66" t="s">
        <v>108</v>
      </c>
    </row>
    <row r="67" spans="1:15" ht="20.25" customHeight="1">
      <c r="A67">
        <f t="shared" si="19"/>
        <v>7.0685834705770348E-2</v>
      </c>
      <c r="B67" s="141">
        <f t="shared" si="18"/>
        <v>0.11257332476009395</v>
      </c>
      <c r="C67" s="122">
        <v>30</v>
      </c>
      <c r="D67" s="126">
        <v>7.0699999999999999E-2</v>
      </c>
      <c r="E67" s="142">
        <f t="shared" ref="E67:F67" si="28">E66</f>
        <v>20</v>
      </c>
      <c r="F67" s="143">
        <f t="shared" si="28"/>
        <v>2.5000000000000001E-3</v>
      </c>
      <c r="G67" s="124">
        <f t="shared" si="23"/>
        <v>28280000</v>
      </c>
      <c r="H67" s="132">
        <f t="shared" si="20"/>
        <v>327.31481481481484</v>
      </c>
      <c r="I67" s="133">
        <f t="shared" si="21"/>
        <v>0.8967529173008626</v>
      </c>
      <c r="J67" s="138">
        <f t="shared" si="24"/>
        <v>-0.19175892476009396</v>
      </c>
      <c r="K67" s="138"/>
    </row>
    <row r="68" spans="1:15" ht="20.25" customHeight="1">
      <c r="A68">
        <f t="shared" si="19"/>
        <v>9.6211275016187398E-2</v>
      </c>
      <c r="B68" s="141">
        <f t="shared" si="18"/>
        <v>0.13133554555344296</v>
      </c>
      <c r="C68" s="125">
        <v>35</v>
      </c>
      <c r="D68" s="126">
        <v>9.6199999999999994E-2</v>
      </c>
      <c r="E68" s="142">
        <f t="shared" ref="E68:F68" si="29">E67</f>
        <v>20</v>
      </c>
      <c r="F68" s="143">
        <f t="shared" si="29"/>
        <v>2.5000000000000001E-3</v>
      </c>
      <c r="G68" s="124">
        <f t="shared" si="23"/>
        <v>38480000</v>
      </c>
      <c r="H68" s="132">
        <f t="shared" si="20"/>
        <v>445.37037037037038</v>
      </c>
      <c r="I68" s="133">
        <f t="shared" si="21"/>
        <v>1.2201927955352614</v>
      </c>
      <c r="J68" s="138">
        <f t="shared" si="24"/>
        <v>-0.21052114555344298</v>
      </c>
      <c r="K68" s="138"/>
    </row>
    <row r="69" spans="1:15" ht="20.25" customHeight="1">
      <c r="A69">
        <f t="shared" si="19"/>
        <v>0.12566370614359174</v>
      </c>
      <c r="B69" s="141">
        <f t="shared" si="18"/>
        <v>0.15009776634679195</v>
      </c>
      <c r="C69" s="122">
        <v>40</v>
      </c>
      <c r="D69" s="126">
        <v>0.126</v>
      </c>
      <c r="E69" s="142">
        <f t="shared" ref="E69:F69" si="30">E68</f>
        <v>20</v>
      </c>
      <c r="F69" s="143">
        <f t="shared" si="30"/>
        <v>2.5000000000000001E-3</v>
      </c>
      <c r="G69" s="124">
        <f t="shared" si="23"/>
        <v>50400000</v>
      </c>
      <c r="H69" s="132">
        <f t="shared" si="20"/>
        <v>583.33333333333337</v>
      </c>
      <c r="I69" s="133">
        <f t="shared" si="21"/>
        <v>1.5981735159817352</v>
      </c>
      <c r="J69" s="138">
        <f t="shared" si="24"/>
        <v>-0.22928336634679197</v>
      </c>
      <c r="K69" s="138"/>
    </row>
    <row r="70" spans="1:15" ht="20.25" customHeight="1">
      <c r="A70">
        <f t="shared" si="19"/>
        <v>0.15904312808798329</v>
      </c>
      <c r="B70" s="141">
        <f t="shared" si="18"/>
        <v>0.16885998714014094</v>
      </c>
      <c r="C70" s="125">
        <v>45</v>
      </c>
      <c r="D70" s="126">
        <v>0.159</v>
      </c>
      <c r="E70" s="142">
        <f t="shared" ref="E70:F70" si="31">E69</f>
        <v>20</v>
      </c>
      <c r="F70" s="143">
        <f t="shared" si="31"/>
        <v>2.5000000000000001E-3</v>
      </c>
      <c r="G70" s="124">
        <f t="shared" si="23"/>
        <v>63600000</v>
      </c>
      <c r="H70" s="132">
        <f t="shared" si="20"/>
        <v>736.11111111111109</v>
      </c>
      <c r="I70" s="133">
        <f t="shared" si="21"/>
        <v>2.0167427701674274</v>
      </c>
      <c r="J70" s="138">
        <f t="shared" si="24"/>
        <v>-0.24804558714014097</v>
      </c>
      <c r="K70" s="138"/>
    </row>
    <row r="71" spans="1:15" ht="20.25" customHeight="1">
      <c r="A71">
        <f t="shared" si="19"/>
        <v>0.19634954084936207</v>
      </c>
      <c r="B71" s="141">
        <f t="shared" si="18"/>
        <v>0.18762220793348994</v>
      </c>
      <c r="C71" s="122">
        <v>50</v>
      </c>
      <c r="D71" s="126">
        <v>0.19700000000000001</v>
      </c>
      <c r="E71" s="142">
        <f t="shared" ref="E71:F71" si="32">E70</f>
        <v>20</v>
      </c>
      <c r="F71" s="143">
        <f t="shared" si="32"/>
        <v>2.5000000000000001E-3</v>
      </c>
      <c r="G71" s="124">
        <f t="shared" si="23"/>
        <v>78800000</v>
      </c>
      <c r="H71" s="132">
        <f t="shared" si="20"/>
        <v>912.03703703703707</v>
      </c>
      <c r="I71" s="133">
        <f t="shared" si="21"/>
        <v>2.4987316083206497</v>
      </c>
      <c r="J71" s="138">
        <f t="shared" si="24"/>
        <v>-0.26680780793348996</v>
      </c>
      <c r="K71" s="138"/>
    </row>
    <row r="72" spans="1:15" ht="20.25" customHeight="1">
      <c r="A72">
        <f t="shared" si="19"/>
        <v>0.23758294442772815</v>
      </c>
      <c r="B72" s="141">
        <f t="shared" si="18"/>
        <v>0.20638442872683893</v>
      </c>
      <c r="C72" s="125">
        <v>55</v>
      </c>
      <c r="D72" s="126">
        <v>0.23899999999999999</v>
      </c>
      <c r="E72" s="142">
        <f t="shared" ref="E72:F72" si="33">E71</f>
        <v>20</v>
      </c>
      <c r="F72" s="143">
        <f t="shared" si="33"/>
        <v>2.5000000000000001E-3</v>
      </c>
      <c r="G72" s="124">
        <f t="shared" si="23"/>
        <v>95600000</v>
      </c>
      <c r="H72" s="132">
        <f t="shared" si="20"/>
        <v>1106.4814814814815</v>
      </c>
      <c r="I72" s="133">
        <f t="shared" si="21"/>
        <v>3.0314561136478946</v>
      </c>
      <c r="J72" s="138">
        <f t="shared" si="24"/>
        <v>-0.28557002872683895</v>
      </c>
      <c r="K72" s="138"/>
    </row>
    <row r="73" spans="1:15" ht="20.25" customHeight="1">
      <c r="A73">
        <f>1.781-0.933*LOG(100-C73)</f>
        <v>0.28627802809101111</v>
      </c>
      <c r="B73" s="141">
        <f t="shared" si="18"/>
        <v>0.2251466495201879</v>
      </c>
      <c r="C73" s="122">
        <v>60</v>
      </c>
      <c r="D73" s="126">
        <v>0.28599999999999998</v>
      </c>
      <c r="E73" s="142">
        <f t="shared" ref="E73:F73" si="34">E72</f>
        <v>20</v>
      </c>
      <c r="F73" s="143">
        <f t="shared" si="34"/>
        <v>2.5000000000000001E-3</v>
      </c>
      <c r="G73" s="124">
        <f t="shared" si="23"/>
        <v>114400000</v>
      </c>
      <c r="H73" s="132">
        <f t="shared" si="20"/>
        <v>1324.0740740740741</v>
      </c>
      <c r="I73" s="133">
        <f t="shared" si="21"/>
        <v>3.627600202942669</v>
      </c>
      <c r="J73" s="138">
        <f t="shared" si="24"/>
        <v>-0.30433224952018789</v>
      </c>
      <c r="K73" s="138"/>
    </row>
    <row r="74" spans="1:15" ht="20.25" customHeight="1">
      <c r="A74">
        <f t="shared" ref="A74:A80" si="35">1.781-0.933*LOG(100-C74)</f>
        <v>0.34038451462119257</v>
      </c>
      <c r="B74" s="141">
        <f t="shared" si="18"/>
        <v>0.24390887031353692</v>
      </c>
      <c r="C74" s="125">
        <v>65</v>
      </c>
      <c r="D74" s="126">
        <v>0.34200000000000003</v>
      </c>
      <c r="E74" s="142">
        <f t="shared" ref="E74:F74" si="36">E73</f>
        <v>20</v>
      </c>
      <c r="F74" s="143">
        <f t="shared" si="36"/>
        <v>2.5000000000000001E-3</v>
      </c>
      <c r="G74" s="124">
        <f t="shared" si="23"/>
        <v>136800000</v>
      </c>
      <c r="H74" s="132">
        <f t="shared" si="20"/>
        <v>1583.3333333333333</v>
      </c>
      <c r="I74" s="133">
        <f t="shared" si="21"/>
        <v>4.3378995433789953</v>
      </c>
      <c r="J74" s="138">
        <f t="shared" si="24"/>
        <v>-0.32309447031353694</v>
      </c>
      <c r="K74" s="138"/>
    </row>
    <row r="75" spans="1:15" ht="20.25" customHeight="1">
      <c r="A75">
        <f t="shared" si="35"/>
        <v>0.40284586934655486</v>
      </c>
      <c r="B75" s="141">
        <f t="shared" si="18"/>
        <v>0.26267109110688591</v>
      </c>
      <c r="C75" s="122">
        <v>70</v>
      </c>
      <c r="D75" s="126">
        <v>0.40300000000000002</v>
      </c>
      <c r="E75" s="142">
        <f t="shared" ref="E75:F75" si="37">E74</f>
        <v>20</v>
      </c>
      <c r="F75" s="143">
        <f t="shared" si="37"/>
        <v>2.5000000000000001E-3</v>
      </c>
      <c r="G75" s="124">
        <f t="shared" si="23"/>
        <v>161200000</v>
      </c>
      <c r="H75" s="132">
        <f t="shared" si="20"/>
        <v>1865.7407407407406</v>
      </c>
      <c r="I75" s="133">
        <f t="shared" si="21"/>
        <v>5.1116184677828507</v>
      </c>
      <c r="J75" s="138">
        <f t="shared" si="24"/>
        <v>-0.34185669110688593</v>
      </c>
      <c r="K75" s="138"/>
    </row>
    <row r="76" spans="1:15" ht="20.25" customHeight="1">
      <c r="A76">
        <f t="shared" si="35"/>
        <v>0.47672197190898857</v>
      </c>
      <c r="B76" s="141">
        <f t="shared" si="18"/>
        <v>0.28143331190023491</v>
      </c>
      <c r="C76" s="125">
        <v>75</v>
      </c>
      <c r="D76" s="126">
        <v>0.47699999999999998</v>
      </c>
      <c r="E76" s="142">
        <f t="shared" ref="E76:F76" si="38">E75</f>
        <v>20</v>
      </c>
      <c r="F76" s="143">
        <f t="shared" si="38"/>
        <v>2.5000000000000001E-3</v>
      </c>
      <c r="G76" s="124">
        <f t="shared" si="23"/>
        <v>190800000</v>
      </c>
      <c r="H76" s="132">
        <f t="shared" si="20"/>
        <v>2208.3333333333335</v>
      </c>
      <c r="I76" s="133">
        <f t="shared" si="21"/>
        <v>6.0502283105022832</v>
      </c>
      <c r="J76" s="138">
        <f t="shared" si="24"/>
        <v>-0.36061891190023493</v>
      </c>
      <c r="K76" s="138"/>
    </row>
    <row r="77" spans="1:15" ht="20.25" customHeight="1">
      <c r="A77">
        <f t="shared" si="35"/>
        <v>0.56713901404550526</v>
      </c>
      <c r="B77" s="141">
        <f t="shared" si="18"/>
        <v>0.3001955326935839</v>
      </c>
      <c r="C77" s="122">
        <v>80</v>
      </c>
      <c r="D77" s="126">
        <v>0.56699999999999995</v>
      </c>
      <c r="E77" s="142">
        <f t="shared" ref="E77:F77" si="39">E76</f>
        <v>20</v>
      </c>
      <c r="F77" s="143">
        <f t="shared" si="39"/>
        <v>2.5000000000000001E-3</v>
      </c>
      <c r="G77" s="124">
        <f t="shared" si="23"/>
        <v>226800000</v>
      </c>
      <c r="H77" s="132">
        <f t="shared" si="20"/>
        <v>2625</v>
      </c>
      <c r="I77" s="133">
        <f t="shared" si="21"/>
        <v>7.1917808219178081</v>
      </c>
      <c r="J77" s="138">
        <f t="shared" si="24"/>
        <v>-0.37938113269358392</v>
      </c>
      <c r="K77" s="138"/>
    </row>
    <row r="78" spans="1:15" ht="20.25" customHeight="1">
      <c r="A78">
        <f t="shared" si="35"/>
        <v>0.68370685530104924</v>
      </c>
      <c r="B78" s="141">
        <f t="shared" si="18"/>
        <v>0.31895775348693289</v>
      </c>
      <c r="C78" s="125">
        <v>85</v>
      </c>
      <c r="D78" s="126">
        <v>0.67400000000000004</v>
      </c>
      <c r="E78" s="142">
        <f t="shared" ref="E78:F78" si="40">E77</f>
        <v>20</v>
      </c>
      <c r="F78" s="143">
        <f t="shared" si="40"/>
        <v>2.5000000000000001E-3</v>
      </c>
      <c r="G78" s="124">
        <f t="shared" si="23"/>
        <v>269600000</v>
      </c>
      <c r="H78" s="132">
        <f t="shared" si="20"/>
        <v>3120.3703703703704</v>
      </c>
      <c r="I78" s="133">
        <f t="shared" si="21"/>
        <v>8.5489599188229324</v>
      </c>
      <c r="J78" s="138">
        <f t="shared" si="24"/>
        <v>-0.39814335348693292</v>
      </c>
      <c r="K78" s="138"/>
    </row>
    <row r="79" spans="1:15" ht="20.25" customHeight="1">
      <c r="A79">
        <f t="shared" si="35"/>
        <v>0.84799999999999986</v>
      </c>
      <c r="B79" s="141">
        <f t="shared" si="18"/>
        <v>0.33771997428028189</v>
      </c>
      <c r="C79" s="122">
        <v>90</v>
      </c>
      <c r="D79" s="126">
        <v>0.84799999999999998</v>
      </c>
      <c r="E79" s="142">
        <f t="shared" ref="E79:F79" si="41">E78</f>
        <v>20</v>
      </c>
      <c r="F79" s="143">
        <f t="shared" si="41"/>
        <v>2.5000000000000001E-3</v>
      </c>
      <c r="G79" s="124">
        <f t="shared" si="23"/>
        <v>339200000</v>
      </c>
      <c r="H79" s="132">
        <f t="shared" si="20"/>
        <v>3925.9259259259261</v>
      </c>
      <c r="I79" s="133">
        <f t="shared" si="21"/>
        <v>10.755961440892948</v>
      </c>
      <c r="J79" s="138">
        <f t="shared" si="24"/>
        <v>-0.41690557428028191</v>
      </c>
      <c r="K79" s="138"/>
    </row>
    <row r="80" spans="1:15" ht="20.25" customHeight="1">
      <c r="A80">
        <f t="shared" si="35"/>
        <v>1.1288609859544942</v>
      </c>
      <c r="B80" s="141">
        <f t="shared" si="18"/>
        <v>0.35648219507363088</v>
      </c>
      <c r="C80" s="125">
        <v>95</v>
      </c>
      <c r="D80" s="126">
        <v>1.129</v>
      </c>
      <c r="E80" s="142">
        <f t="shared" ref="E80:F80" si="42">E79</f>
        <v>20</v>
      </c>
      <c r="F80" s="143">
        <f t="shared" si="42"/>
        <v>2.5000000000000001E-3</v>
      </c>
      <c r="G80" s="124">
        <f t="shared" si="23"/>
        <v>451600000</v>
      </c>
      <c r="H80" s="132">
        <f t="shared" si="20"/>
        <v>5226.8518518518522</v>
      </c>
      <c r="I80" s="133">
        <f t="shared" si="21"/>
        <v>14.320142059868088</v>
      </c>
      <c r="J80" s="138">
        <f t="shared" si="24"/>
        <v>-0.4356677950736309</v>
      </c>
      <c r="K80" s="138"/>
    </row>
    <row r="81" spans="1:15" ht="20.25" customHeight="1" thickBot="1">
      <c r="B81" s="127"/>
      <c r="C81" s="128"/>
      <c r="D81" s="129"/>
      <c r="E81" s="128"/>
      <c r="F81" s="128"/>
      <c r="G81" s="128"/>
      <c r="H81" s="134"/>
      <c r="I81" s="135"/>
    </row>
    <row r="84" spans="1:15">
      <c r="B84" t="s">
        <v>98</v>
      </c>
      <c r="F84" t="s">
        <v>99</v>
      </c>
      <c r="G84" s="145">
        <f>G29</f>
        <v>0</v>
      </c>
      <c r="L84">
        <v>1</v>
      </c>
    </row>
    <row r="85" spans="1:15">
      <c r="D85" s="150">
        <f>D30</f>
        <v>0</v>
      </c>
      <c r="E85" t="s">
        <v>48</v>
      </c>
      <c r="F85">
        <f>F30</f>
        <v>0</v>
      </c>
      <c r="L85">
        <v>2</v>
      </c>
    </row>
    <row r="86" spans="1:15" ht="25.65" thickBot="1">
      <c r="B86" s="247" t="s">
        <v>100</v>
      </c>
      <c r="C86" s="247"/>
      <c r="D86" s="247"/>
      <c r="E86" s="247"/>
      <c r="F86" s="247"/>
      <c r="G86" s="247"/>
      <c r="H86" s="247"/>
      <c r="I86" s="118"/>
    </row>
    <row r="87" spans="1:15" ht="25.65" thickBot="1">
      <c r="A87" t="s">
        <v>146</v>
      </c>
      <c r="B87" s="167"/>
      <c r="C87" s="167"/>
      <c r="D87" s="167"/>
      <c r="E87" s="167" t="s">
        <v>123</v>
      </c>
      <c r="F87" s="167"/>
      <c r="G87" s="154">
        <v>2</v>
      </c>
      <c r="H87" s="167" t="s">
        <v>124</v>
      </c>
      <c r="I87" s="118"/>
      <c r="J87" t="s">
        <v>125</v>
      </c>
      <c r="K87" s="248" t="s">
        <v>126</v>
      </c>
      <c r="L87" s="248"/>
    </row>
    <row r="88" spans="1:15" ht="23.85" thickBot="1">
      <c r="B88" s="119" t="s">
        <v>90</v>
      </c>
      <c r="C88" s="120" t="s">
        <v>91</v>
      </c>
      <c r="D88" s="120" t="s">
        <v>92</v>
      </c>
      <c r="E88" s="120" t="s">
        <v>101</v>
      </c>
      <c r="F88" s="120" t="s">
        <v>93</v>
      </c>
      <c r="G88" s="120" t="s">
        <v>94</v>
      </c>
      <c r="H88" s="121" t="s">
        <v>95</v>
      </c>
      <c r="I88" s="121" t="s">
        <v>96</v>
      </c>
      <c r="J88" s="139" t="s">
        <v>102</v>
      </c>
      <c r="K88" s="139" t="s">
        <v>127</v>
      </c>
      <c r="L88" s="139" t="s">
        <v>128</v>
      </c>
    </row>
    <row r="89" spans="1:15" ht="20.25" customHeight="1">
      <c r="A89">
        <f>PI()/4*(C89/100)^2</f>
        <v>0</v>
      </c>
      <c r="B89" s="140">
        <f t="shared" ref="B89:B108" si="43">$D$2*C89/100</f>
        <v>0</v>
      </c>
      <c r="C89" s="122">
        <v>0</v>
      </c>
      <c r="D89" s="123">
        <v>0</v>
      </c>
      <c r="E89" s="137">
        <f>E62</f>
        <v>20</v>
      </c>
      <c r="F89" s="155">
        <v>5.0000000000000001E-3</v>
      </c>
      <c r="G89" s="124">
        <f>D89*(E89*100/$G$59)^2/F89</f>
        <v>0</v>
      </c>
      <c r="H89" s="132">
        <f>G89/(60*60*24)</f>
        <v>0</v>
      </c>
      <c r="I89" s="133">
        <f>H89/365</f>
        <v>0</v>
      </c>
      <c r="J89" s="138">
        <f>B89*-1</f>
        <v>0</v>
      </c>
      <c r="K89">
        <v>0</v>
      </c>
      <c r="L89" s="138">
        <v>0</v>
      </c>
      <c r="M89">
        <v>1</v>
      </c>
      <c r="N89" s="144">
        <v>1.05</v>
      </c>
      <c r="O89" t="s">
        <v>158</v>
      </c>
    </row>
    <row r="90" spans="1:15" ht="20.25" customHeight="1">
      <c r="A90">
        <f t="shared" ref="A90:A100" si="44">PI()/4*(C90/100)^2</f>
        <v>1.9634954084936209E-3</v>
      </c>
      <c r="B90" s="141">
        <f t="shared" si="43"/>
        <v>1.8762220793348994E-2</v>
      </c>
      <c r="C90" s="125">
        <v>5</v>
      </c>
      <c r="D90" s="126">
        <v>2E-3</v>
      </c>
      <c r="E90" s="142">
        <f>E89</f>
        <v>20</v>
      </c>
      <c r="F90" s="143">
        <f>F89</f>
        <v>5.0000000000000001E-3</v>
      </c>
      <c r="G90" s="124">
        <f>D90*(E90*100/$G$87)^2/F90</f>
        <v>400000</v>
      </c>
      <c r="H90" s="132">
        <f t="shared" ref="H90:H108" si="45">G90/(60*60*24)</f>
        <v>4.6296296296296298</v>
      </c>
      <c r="I90" s="133">
        <f t="shared" ref="I90:I108" si="46">H90/365</f>
        <v>1.2683916793505836E-2</v>
      </c>
      <c r="J90" s="138">
        <f>B90*-1-$L$3</f>
        <v>-9.7947820793349002E-2</v>
      </c>
      <c r="K90" s="138">
        <v>1.02</v>
      </c>
      <c r="L90">
        <v>-24.4</v>
      </c>
      <c r="M90">
        <v>2</v>
      </c>
      <c r="N90" s="144">
        <v>1.54</v>
      </c>
      <c r="O90" t="s">
        <v>159</v>
      </c>
    </row>
    <row r="91" spans="1:15" ht="20.25" customHeight="1">
      <c r="A91">
        <f t="shared" si="44"/>
        <v>7.8539816339744835E-3</v>
      </c>
      <c r="B91" s="141">
        <f t="shared" si="43"/>
        <v>3.7524441586697987E-2</v>
      </c>
      <c r="C91" s="122">
        <v>10</v>
      </c>
      <c r="D91" s="126">
        <v>7.7999999999999996E-3</v>
      </c>
      <c r="E91" s="142">
        <f t="shared" ref="E91:F91" si="47">E90</f>
        <v>20</v>
      </c>
      <c r="F91" s="143">
        <f t="shared" si="47"/>
        <v>5.0000000000000001E-3</v>
      </c>
      <c r="G91" s="124">
        <f t="shared" ref="G91:G108" si="48">D91*(E91*100/$G$87)^2/F91</f>
        <v>1560000</v>
      </c>
      <c r="H91" s="132">
        <f t="shared" si="45"/>
        <v>18.055555555555557</v>
      </c>
      <c r="I91" s="133">
        <f t="shared" si="46"/>
        <v>4.9467275494672759E-2</v>
      </c>
      <c r="J91" s="138">
        <f t="shared" ref="J91:J108" si="49">B91*-1-$L$3</f>
        <v>-0.116710041586698</v>
      </c>
      <c r="K91" s="138">
        <v>2.19</v>
      </c>
      <c r="L91">
        <v>-40.6</v>
      </c>
      <c r="M91">
        <v>3</v>
      </c>
      <c r="N91" s="144">
        <v>2.0099999999999998</v>
      </c>
      <c r="O91" t="s">
        <v>164</v>
      </c>
    </row>
    <row r="92" spans="1:15" ht="20.25" customHeight="1">
      <c r="A92">
        <f t="shared" si="44"/>
        <v>1.7671458676442587E-2</v>
      </c>
      <c r="B92" s="141">
        <f t="shared" si="43"/>
        <v>5.6286662380046974E-2</v>
      </c>
      <c r="C92" s="125">
        <v>15</v>
      </c>
      <c r="D92" s="126">
        <v>1.77E-2</v>
      </c>
      <c r="E92" s="142">
        <f t="shared" ref="E92:F92" si="50">E91</f>
        <v>20</v>
      </c>
      <c r="F92" s="143">
        <f t="shared" si="50"/>
        <v>5.0000000000000001E-3</v>
      </c>
      <c r="G92" s="124">
        <f t="shared" si="48"/>
        <v>3540000</v>
      </c>
      <c r="H92" s="132">
        <f t="shared" si="45"/>
        <v>40.972222222222221</v>
      </c>
      <c r="I92" s="133">
        <f t="shared" si="46"/>
        <v>0.11225266362252663</v>
      </c>
      <c r="J92" s="138">
        <f t="shared" si="49"/>
        <v>-0.13547226238004698</v>
      </c>
      <c r="K92" s="138">
        <v>2.38</v>
      </c>
      <c r="L92">
        <v>-42</v>
      </c>
      <c r="M92">
        <v>4</v>
      </c>
      <c r="N92" s="144">
        <v>1.21</v>
      </c>
      <c r="O92" t="s">
        <v>165</v>
      </c>
    </row>
    <row r="93" spans="1:15" ht="20.25" customHeight="1">
      <c r="A93">
        <f t="shared" si="44"/>
        <v>3.1415926535897934E-2</v>
      </c>
      <c r="B93" s="141">
        <f t="shared" si="43"/>
        <v>7.5048883173395975E-2</v>
      </c>
      <c r="C93" s="122">
        <v>20</v>
      </c>
      <c r="D93" s="126">
        <v>3.1399999999999997E-2</v>
      </c>
      <c r="E93" s="142">
        <f t="shared" ref="E93:F93" si="51">E92</f>
        <v>20</v>
      </c>
      <c r="F93" s="143">
        <f t="shared" si="51"/>
        <v>5.0000000000000001E-3</v>
      </c>
      <c r="G93" s="124">
        <f t="shared" si="48"/>
        <v>6279999.9999999991</v>
      </c>
      <c r="H93" s="132">
        <f t="shared" si="45"/>
        <v>72.685185185185176</v>
      </c>
      <c r="I93" s="133">
        <f t="shared" si="46"/>
        <v>0.19913749365804159</v>
      </c>
      <c r="J93" s="138">
        <f t="shared" si="49"/>
        <v>-0.154234483173396</v>
      </c>
      <c r="K93" s="138"/>
      <c r="M93">
        <v>5</v>
      </c>
      <c r="N93" s="144">
        <v>1.39</v>
      </c>
      <c r="O93" t="s">
        <v>166</v>
      </c>
    </row>
    <row r="94" spans="1:15" ht="20.25" customHeight="1">
      <c r="A94">
        <f t="shared" si="44"/>
        <v>4.9087385212340517E-2</v>
      </c>
      <c r="B94" s="141">
        <f t="shared" si="43"/>
        <v>9.3811103966744969E-2</v>
      </c>
      <c r="C94" s="125">
        <v>25</v>
      </c>
      <c r="D94" s="126">
        <v>4.9099999999999998E-2</v>
      </c>
      <c r="E94" s="142">
        <f t="shared" ref="E94:F94" si="52">E93</f>
        <v>20</v>
      </c>
      <c r="F94" s="143">
        <f t="shared" si="52"/>
        <v>5.0000000000000001E-3</v>
      </c>
      <c r="G94" s="124">
        <f t="shared" si="48"/>
        <v>9820000</v>
      </c>
      <c r="H94" s="132">
        <f t="shared" si="45"/>
        <v>113.6574074074074</v>
      </c>
      <c r="I94" s="133">
        <f t="shared" si="46"/>
        <v>0.31139015728056824</v>
      </c>
      <c r="J94" s="138">
        <f t="shared" si="49"/>
        <v>-0.17299670396674499</v>
      </c>
      <c r="K94" s="138"/>
      <c r="M94">
        <v>6</v>
      </c>
      <c r="N94" s="149">
        <v>0.8</v>
      </c>
      <c r="O94" t="s">
        <v>167</v>
      </c>
    </row>
    <row r="95" spans="1:15" ht="20.25" customHeight="1">
      <c r="A95">
        <f t="shared" si="44"/>
        <v>7.0685834705770348E-2</v>
      </c>
      <c r="B95" s="141">
        <f t="shared" si="43"/>
        <v>0.11257332476009395</v>
      </c>
      <c r="C95" s="122">
        <v>30</v>
      </c>
      <c r="D95" s="126">
        <v>7.0699999999999999E-2</v>
      </c>
      <c r="E95" s="142">
        <f t="shared" ref="E95:F95" si="53">E94</f>
        <v>20</v>
      </c>
      <c r="F95" s="143">
        <f t="shared" si="53"/>
        <v>5.0000000000000001E-3</v>
      </c>
      <c r="G95" s="124">
        <f t="shared" si="48"/>
        <v>14140000</v>
      </c>
      <c r="H95" s="132">
        <f t="shared" si="45"/>
        <v>163.65740740740742</v>
      </c>
      <c r="I95" s="133">
        <f t="shared" si="46"/>
        <v>0.4483764586504313</v>
      </c>
      <c r="J95" s="138">
        <f t="shared" si="49"/>
        <v>-0.19175892476009396</v>
      </c>
      <c r="K95" s="138"/>
    </row>
    <row r="96" spans="1:15" ht="20.25" customHeight="1">
      <c r="A96">
        <f t="shared" si="44"/>
        <v>9.6211275016187398E-2</v>
      </c>
      <c r="B96" s="141">
        <f t="shared" si="43"/>
        <v>0.13133554555344296</v>
      </c>
      <c r="C96" s="125">
        <v>35</v>
      </c>
      <c r="D96" s="126">
        <v>9.6199999999999994E-2</v>
      </c>
      <c r="E96" s="142">
        <f t="shared" ref="E96:F96" si="54">E95</f>
        <v>20</v>
      </c>
      <c r="F96" s="143">
        <f t="shared" si="54"/>
        <v>5.0000000000000001E-3</v>
      </c>
      <c r="G96" s="124">
        <f t="shared" si="48"/>
        <v>19240000</v>
      </c>
      <c r="H96" s="132">
        <f t="shared" si="45"/>
        <v>222.68518518518519</v>
      </c>
      <c r="I96" s="133">
        <f t="shared" si="46"/>
        <v>0.61009639776763069</v>
      </c>
      <c r="J96" s="138">
        <f t="shared" si="49"/>
        <v>-0.21052114555344298</v>
      </c>
      <c r="K96" s="138"/>
    </row>
    <row r="97" spans="1:11" ht="20.25" customHeight="1">
      <c r="A97">
        <f t="shared" si="44"/>
        <v>0.12566370614359174</v>
      </c>
      <c r="B97" s="141">
        <f t="shared" si="43"/>
        <v>0.15009776634679195</v>
      </c>
      <c r="C97" s="122">
        <v>40</v>
      </c>
      <c r="D97" s="126">
        <v>0.126</v>
      </c>
      <c r="E97" s="142">
        <f t="shared" ref="E97:F97" si="55">E96</f>
        <v>20</v>
      </c>
      <c r="F97" s="143">
        <f t="shared" si="55"/>
        <v>5.0000000000000001E-3</v>
      </c>
      <c r="G97" s="124">
        <f t="shared" si="48"/>
        <v>25200000</v>
      </c>
      <c r="H97" s="132">
        <f t="shared" si="45"/>
        <v>291.66666666666669</v>
      </c>
      <c r="I97" s="133">
        <f t="shared" si="46"/>
        <v>0.79908675799086759</v>
      </c>
      <c r="J97" s="138">
        <f t="shared" si="49"/>
        <v>-0.22928336634679197</v>
      </c>
      <c r="K97" s="138"/>
    </row>
    <row r="98" spans="1:11" ht="20.25" customHeight="1">
      <c r="A98">
        <f t="shared" si="44"/>
        <v>0.15904312808798329</v>
      </c>
      <c r="B98" s="141">
        <f t="shared" si="43"/>
        <v>0.16885998714014094</v>
      </c>
      <c r="C98" s="125">
        <v>45</v>
      </c>
      <c r="D98" s="126">
        <v>0.159</v>
      </c>
      <c r="E98" s="142">
        <f t="shared" ref="E98:F98" si="56">E97</f>
        <v>20</v>
      </c>
      <c r="F98" s="143">
        <f t="shared" si="56"/>
        <v>5.0000000000000001E-3</v>
      </c>
      <c r="G98" s="124">
        <f t="shared" si="48"/>
        <v>31800000</v>
      </c>
      <c r="H98" s="132">
        <f t="shared" si="45"/>
        <v>368.05555555555554</v>
      </c>
      <c r="I98" s="133">
        <f t="shared" si="46"/>
        <v>1.0083713850837137</v>
      </c>
      <c r="J98" s="138">
        <f t="shared" si="49"/>
        <v>-0.24804558714014097</v>
      </c>
      <c r="K98" s="138"/>
    </row>
    <row r="99" spans="1:11" ht="20.25" customHeight="1">
      <c r="A99">
        <f t="shared" si="44"/>
        <v>0.19634954084936207</v>
      </c>
      <c r="B99" s="141">
        <f t="shared" si="43"/>
        <v>0.18762220793348994</v>
      </c>
      <c r="C99" s="122">
        <v>50</v>
      </c>
      <c r="D99" s="126">
        <v>0.19700000000000001</v>
      </c>
      <c r="E99" s="142">
        <f t="shared" ref="E99:F99" si="57">E98</f>
        <v>20</v>
      </c>
      <c r="F99" s="143">
        <f t="shared" si="57"/>
        <v>5.0000000000000001E-3</v>
      </c>
      <c r="G99" s="124">
        <f t="shared" si="48"/>
        <v>39400000</v>
      </c>
      <c r="H99" s="132">
        <f t="shared" si="45"/>
        <v>456.01851851851853</v>
      </c>
      <c r="I99" s="133">
        <f t="shared" si="46"/>
        <v>1.2493658041603248</v>
      </c>
      <c r="J99" s="138">
        <f t="shared" si="49"/>
        <v>-0.26680780793348996</v>
      </c>
      <c r="K99" s="138"/>
    </row>
    <row r="100" spans="1:11" ht="20.25" customHeight="1">
      <c r="A100">
        <f t="shared" si="44"/>
        <v>0.23758294442772815</v>
      </c>
      <c r="B100" s="141">
        <f t="shared" si="43"/>
        <v>0.20638442872683893</v>
      </c>
      <c r="C100" s="125">
        <v>55</v>
      </c>
      <c r="D100" s="126">
        <v>0.23899999999999999</v>
      </c>
      <c r="E100" s="142">
        <f t="shared" ref="E100:F100" si="58">E99</f>
        <v>20</v>
      </c>
      <c r="F100" s="143">
        <f t="shared" si="58"/>
        <v>5.0000000000000001E-3</v>
      </c>
      <c r="G100" s="124">
        <f t="shared" si="48"/>
        <v>47800000</v>
      </c>
      <c r="H100" s="132">
        <f t="shared" si="45"/>
        <v>553.24074074074076</v>
      </c>
      <c r="I100" s="133">
        <f t="shared" si="46"/>
        <v>1.5157280568239473</v>
      </c>
      <c r="J100" s="138">
        <f t="shared" si="49"/>
        <v>-0.28557002872683895</v>
      </c>
      <c r="K100" s="138"/>
    </row>
    <row r="101" spans="1:11" ht="20.25" customHeight="1">
      <c r="A101">
        <f>1.781-0.933*LOG(100-C101)</f>
        <v>0.28627802809101111</v>
      </c>
      <c r="B101" s="141">
        <f t="shared" si="43"/>
        <v>0.2251466495201879</v>
      </c>
      <c r="C101" s="122">
        <v>60</v>
      </c>
      <c r="D101" s="126">
        <v>0.28599999999999998</v>
      </c>
      <c r="E101" s="142">
        <f t="shared" ref="E101:F101" si="59">E100</f>
        <v>20</v>
      </c>
      <c r="F101" s="143">
        <f t="shared" si="59"/>
        <v>5.0000000000000001E-3</v>
      </c>
      <c r="G101" s="124">
        <f t="shared" si="48"/>
        <v>57200000</v>
      </c>
      <c r="H101" s="132">
        <f t="shared" si="45"/>
        <v>662.03703703703707</v>
      </c>
      <c r="I101" s="133">
        <f t="shared" si="46"/>
        <v>1.8138001014713345</v>
      </c>
      <c r="J101" s="138">
        <f t="shared" si="49"/>
        <v>-0.30433224952018789</v>
      </c>
      <c r="K101" s="138"/>
    </row>
    <row r="102" spans="1:11" ht="20.25" customHeight="1">
      <c r="A102">
        <f t="shared" ref="A102:A108" si="60">1.781-0.933*LOG(100-C102)</f>
        <v>0.34038451462119257</v>
      </c>
      <c r="B102" s="141">
        <f t="shared" si="43"/>
        <v>0.24390887031353692</v>
      </c>
      <c r="C102" s="125">
        <v>65</v>
      </c>
      <c r="D102" s="126">
        <v>0.34200000000000003</v>
      </c>
      <c r="E102" s="142">
        <f t="shared" ref="E102:F102" si="61">E101</f>
        <v>20</v>
      </c>
      <c r="F102" s="143">
        <f t="shared" si="61"/>
        <v>5.0000000000000001E-3</v>
      </c>
      <c r="G102" s="124">
        <f t="shared" si="48"/>
        <v>68400000</v>
      </c>
      <c r="H102" s="132">
        <f t="shared" si="45"/>
        <v>791.66666666666663</v>
      </c>
      <c r="I102" s="133">
        <f t="shared" si="46"/>
        <v>2.1689497716894977</v>
      </c>
      <c r="J102" s="138">
        <f t="shared" si="49"/>
        <v>-0.32309447031353694</v>
      </c>
      <c r="K102" s="138"/>
    </row>
    <row r="103" spans="1:11" ht="20.25" customHeight="1">
      <c r="A103">
        <f t="shared" si="60"/>
        <v>0.40284586934655486</v>
      </c>
      <c r="B103" s="141">
        <f t="shared" si="43"/>
        <v>0.26267109110688591</v>
      </c>
      <c r="C103" s="122">
        <v>70</v>
      </c>
      <c r="D103" s="126">
        <v>0.40300000000000002</v>
      </c>
      <c r="E103" s="142">
        <f t="shared" ref="E103:F103" si="62">E102</f>
        <v>20</v>
      </c>
      <c r="F103" s="143">
        <f t="shared" si="62"/>
        <v>5.0000000000000001E-3</v>
      </c>
      <c r="G103" s="124">
        <f t="shared" si="48"/>
        <v>80600000</v>
      </c>
      <c r="H103" s="132">
        <f t="shared" si="45"/>
        <v>932.87037037037032</v>
      </c>
      <c r="I103" s="133">
        <f t="shared" si="46"/>
        <v>2.5558092338914253</v>
      </c>
      <c r="J103" s="138">
        <f t="shared" si="49"/>
        <v>-0.34185669110688593</v>
      </c>
      <c r="K103" s="138"/>
    </row>
    <row r="104" spans="1:11" ht="20.25" customHeight="1">
      <c r="A104">
        <f t="shared" si="60"/>
        <v>0.47672197190898857</v>
      </c>
      <c r="B104" s="141">
        <f t="shared" si="43"/>
        <v>0.28143331190023491</v>
      </c>
      <c r="C104" s="125">
        <v>75</v>
      </c>
      <c r="D104" s="126">
        <v>0.47699999999999998</v>
      </c>
      <c r="E104" s="142">
        <f t="shared" ref="E104:F104" si="63">E103</f>
        <v>20</v>
      </c>
      <c r="F104" s="143">
        <f t="shared" si="63"/>
        <v>5.0000000000000001E-3</v>
      </c>
      <c r="G104" s="124">
        <f t="shared" si="48"/>
        <v>95400000</v>
      </c>
      <c r="H104" s="132">
        <f t="shared" si="45"/>
        <v>1104.1666666666667</v>
      </c>
      <c r="I104" s="133">
        <f t="shared" si="46"/>
        <v>3.0251141552511416</v>
      </c>
      <c r="J104" s="138">
        <f t="shared" si="49"/>
        <v>-0.36061891190023493</v>
      </c>
      <c r="K104" s="138"/>
    </row>
    <row r="105" spans="1:11" ht="20.25" customHeight="1">
      <c r="A105">
        <f t="shared" si="60"/>
        <v>0.56713901404550526</v>
      </c>
      <c r="B105" s="141">
        <f t="shared" si="43"/>
        <v>0.3001955326935839</v>
      </c>
      <c r="C105" s="122">
        <v>80</v>
      </c>
      <c r="D105" s="126">
        <v>0.56699999999999995</v>
      </c>
      <c r="E105" s="142">
        <f t="shared" ref="E105:F105" si="64">E104</f>
        <v>20</v>
      </c>
      <c r="F105" s="143">
        <f t="shared" si="64"/>
        <v>5.0000000000000001E-3</v>
      </c>
      <c r="G105" s="124">
        <f t="shared" si="48"/>
        <v>113400000</v>
      </c>
      <c r="H105" s="132">
        <f t="shared" si="45"/>
        <v>1312.5</v>
      </c>
      <c r="I105" s="133">
        <f t="shared" si="46"/>
        <v>3.595890410958904</v>
      </c>
      <c r="J105" s="138">
        <f t="shared" si="49"/>
        <v>-0.37938113269358392</v>
      </c>
      <c r="K105" s="138"/>
    </row>
    <row r="106" spans="1:11" ht="20.25" customHeight="1">
      <c r="A106">
        <f t="shared" si="60"/>
        <v>0.68370685530104924</v>
      </c>
      <c r="B106" s="141">
        <f t="shared" si="43"/>
        <v>0.31895775348693289</v>
      </c>
      <c r="C106" s="125">
        <v>85</v>
      </c>
      <c r="D106" s="126">
        <v>0.67400000000000004</v>
      </c>
      <c r="E106" s="142">
        <f t="shared" ref="E106:F106" si="65">E105</f>
        <v>20</v>
      </c>
      <c r="F106" s="143">
        <f t="shared" si="65"/>
        <v>5.0000000000000001E-3</v>
      </c>
      <c r="G106" s="124">
        <f t="shared" si="48"/>
        <v>134800000</v>
      </c>
      <c r="H106" s="132">
        <f t="shared" si="45"/>
        <v>1560.1851851851852</v>
      </c>
      <c r="I106" s="133">
        <f t="shared" si="46"/>
        <v>4.2744799594114662</v>
      </c>
      <c r="J106" s="138">
        <f t="shared" si="49"/>
        <v>-0.39814335348693292</v>
      </c>
      <c r="K106" s="138"/>
    </row>
    <row r="107" spans="1:11" ht="20.25" customHeight="1">
      <c r="A107">
        <f t="shared" si="60"/>
        <v>0.84799999999999986</v>
      </c>
      <c r="B107" s="141">
        <f t="shared" si="43"/>
        <v>0.33771997428028189</v>
      </c>
      <c r="C107" s="122">
        <v>90</v>
      </c>
      <c r="D107" s="126">
        <v>0.84799999999999998</v>
      </c>
      <c r="E107" s="142">
        <f t="shared" ref="E107:F107" si="66">E106</f>
        <v>20</v>
      </c>
      <c r="F107" s="143">
        <f t="shared" si="66"/>
        <v>5.0000000000000001E-3</v>
      </c>
      <c r="G107" s="124">
        <f t="shared" si="48"/>
        <v>169600000</v>
      </c>
      <c r="H107" s="132">
        <f t="shared" si="45"/>
        <v>1962.962962962963</v>
      </c>
      <c r="I107" s="133">
        <f t="shared" si="46"/>
        <v>5.377980720446474</v>
      </c>
      <c r="J107" s="138">
        <f t="shared" si="49"/>
        <v>-0.41690557428028191</v>
      </c>
      <c r="K107" s="138"/>
    </row>
    <row r="108" spans="1:11" ht="20.25" customHeight="1">
      <c r="A108">
        <f t="shared" si="60"/>
        <v>1.1288609859544942</v>
      </c>
      <c r="B108" s="141">
        <f t="shared" si="43"/>
        <v>0.35648219507363088</v>
      </c>
      <c r="C108" s="125">
        <v>95</v>
      </c>
      <c r="D108" s="126">
        <v>1.129</v>
      </c>
      <c r="E108" s="142">
        <f t="shared" ref="E108:F108" si="67">E107</f>
        <v>20</v>
      </c>
      <c r="F108" s="143">
        <f t="shared" si="67"/>
        <v>5.0000000000000001E-3</v>
      </c>
      <c r="G108" s="124">
        <f t="shared" si="48"/>
        <v>225800000</v>
      </c>
      <c r="H108" s="132">
        <f t="shared" si="45"/>
        <v>2613.4259259259261</v>
      </c>
      <c r="I108" s="133">
        <f t="shared" si="46"/>
        <v>7.160071029934044</v>
      </c>
      <c r="J108" s="138">
        <f t="shared" si="49"/>
        <v>-0.4356677950736309</v>
      </c>
      <c r="K108" s="138"/>
    </row>
    <row r="109" spans="1:11" ht="20.25" customHeight="1" thickBot="1">
      <c r="B109" s="127"/>
      <c r="C109" s="128"/>
      <c r="D109" s="129"/>
      <c r="E109" s="128"/>
      <c r="F109" s="128"/>
      <c r="G109" s="128"/>
      <c r="H109" s="134"/>
      <c r="I109" s="135"/>
    </row>
  </sheetData>
  <mergeCells count="8">
    <mergeCell ref="B86:H86"/>
    <mergeCell ref="K87:L87"/>
    <mergeCell ref="K59:L59"/>
    <mergeCell ref="B3:H3"/>
    <mergeCell ref="K4:L4"/>
    <mergeCell ref="B30:H30"/>
    <mergeCell ref="K31:L31"/>
    <mergeCell ref="B58:H58"/>
  </mergeCells>
  <dataValidations count="2">
    <dataValidation type="list" allowBlank="1" showInputMessage="1" showErrorMessage="1" sqref="G1 G28 G56 G84">
      <formula1>$M$6:$M$11</formula1>
    </dataValidation>
    <dataValidation type="list" allowBlank="1" showInputMessage="1" showErrorMessage="1" sqref="G4 G31 G59 G87">
      <formula1>$O$1:$O$2</formula1>
    </dataValidation>
  </dataValidations>
  <pageMargins left="0.7" right="0.3" top="0.59" bottom="3.39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  <sheetView workbookViewId="1">
      <selection activeCell="A4" sqref="A4"/>
    </sheetView>
  </sheetViews>
  <sheetFormatPr defaultRowHeight="18.55"/>
  <sheetData>
    <row r="1" spans="1:9" ht="19" thickBot="1">
      <c r="A1" t="s">
        <v>129</v>
      </c>
    </row>
    <row r="2" spans="1:9" ht="19" thickBot="1">
      <c r="B2" s="157"/>
      <c r="C2" s="80"/>
      <c r="D2" s="80"/>
      <c r="E2" s="80" t="s">
        <v>133</v>
      </c>
      <c r="F2" s="80"/>
      <c r="G2" s="80"/>
      <c r="H2" s="80"/>
      <c r="I2" s="158"/>
    </row>
    <row r="3" spans="1:9">
      <c r="B3" s="10" t="s">
        <v>140</v>
      </c>
      <c r="C3" s="13"/>
      <c r="D3" s="11"/>
      <c r="E3" s="10" t="s">
        <v>141</v>
      </c>
      <c r="F3" s="13"/>
      <c r="G3" s="11"/>
      <c r="H3" s="10" t="s">
        <v>142</v>
      </c>
      <c r="I3" s="13"/>
    </row>
    <row r="4" spans="1:9" ht="19" thickBot="1">
      <c r="B4" s="14" t="s">
        <v>132</v>
      </c>
      <c r="C4" s="16">
        <f>'3Time Settlement Dike'!F6</f>
        <v>6.9999999999999999E-4</v>
      </c>
      <c r="E4" s="14" t="s">
        <v>132</v>
      </c>
      <c r="F4" s="162">
        <f>'3Time Settlement Dike'!F33</f>
        <v>2.5000000000000001E-4</v>
      </c>
      <c r="H4" s="14" t="s">
        <v>132</v>
      </c>
      <c r="I4" s="162">
        <f>'3Time Settlement Dike'!F61</f>
        <v>2.5000000000000001E-3</v>
      </c>
    </row>
    <row r="5" spans="1:9">
      <c r="A5" s="156" t="s">
        <v>134</v>
      </c>
      <c r="B5" s="156" t="s">
        <v>130</v>
      </c>
      <c r="C5" s="156" t="s">
        <v>131</v>
      </c>
      <c r="E5" s="156" t="s">
        <v>130</v>
      </c>
      <c r="F5" s="156" t="s">
        <v>131</v>
      </c>
      <c r="H5" s="156" t="s">
        <v>130</v>
      </c>
      <c r="I5" s="156" t="s">
        <v>131</v>
      </c>
    </row>
    <row r="6" spans="1:9">
      <c r="A6">
        <f>'3Time Settlement Dike'!C61</f>
        <v>0</v>
      </c>
      <c r="B6" s="138">
        <f>'3Time Settlement Dike'!I6</f>
        <v>0</v>
      </c>
      <c r="C6" s="138">
        <f>'3Time Settlement Dike'!J6</f>
        <v>0</v>
      </c>
      <c r="E6" s="138">
        <f>'3Time Settlement Dike'!I33</f>
        <v>0</v>
      </c>
      <c r="F6" s="138">
        <f>'3Time Settlement Dike'!J33</f>
        <v>0</v>
      </c>
      <c r="H6" s="138">
        <f>'3Time Settlement Dike'!I61</f>
        <v>0</v>
      </c>
      <c r="I6" s="138">
        <f>'3Time Settlement Dike'!J61</f>
        <v>0</v>
      </c>
    </row>
    <row r="7" spans="1:9">
      <c r="A7" s="159">
        <f>'3Time Settlement Dike'!C62</f>
        <v>5</v>
      </c>
      <c r="B7" s="160">
        <f>B8</f>
        <v>0.35333768210480543</v>
      </c>
      <c r="C7" s="160">
        <f t="shared" ref="C7:I7" si="0">C8</f>
        <v>-0.116710041586698</v>
      </c>
      <c r="D7" s="160"/>
      <c r="E7" s="160">
        <f t="shared" si="0"/>
        <v>0.98934550989345504</v>
      </c>
      <c r="F7" s="160">
        <f t="shared" si="0"/>
        <v>-0.116710041586698</v>
      </c>
      <c r="G7" s="160"/>
      <c r="H7" s="160">
        <f t="shared" si="0"/>
        <v>9.8934550989345518E-2</v>
      </c>
      <c r="I7" s="160">
        <f t="shared" si="0"/>
        <v>-0.116710041586698</v>
      </c>
    </row>
    <row r="8" spans="1:9">
      <c r="A8" s="161">
        <f>'3Time Settlement Dike'!C63</f>
        <v>10</v>
      </c>
      <c r="B8" s="138">
        <f>'3Time Settlement Dike'!I8</f>
        <v>0.35333768210480543</v>
      </c>
      <c r="C8" s="138">
        <f>'3Time Settlement Dike'!J8</f>
        <v>-0.116710041586698</v>
      </c>
      <c r="E8" s="138">
        <f>'3Time Settlement Dike'!I35</f>
        <v>0.98934550989345504</v>
      </c>
      <c r="F8" s="138">
        <f>'3Time Settlement Dike'!J35</f>
        <v>-0.116710041586698</v>
      </c>
      <c r="H8" s="138">
        <f>'3Time Settlement Dike'!I63</f>
        <v>9.8934550989345518E-2</v>
      </c>
      <c r="I8" s="138">
        <f>'3Time Settlement Dike'!J63</f>
        <v>-0.116710041586698</v>
      </c>
    </row>
    <row r="9" spans="1:9">
      <c r="A9" s="161">
        <f>'3Time Settlement Dike'!C64</f>
        <v>15</v>
      </c>
      <c r="B9" s="138">
        <f>'3Time Settlement Dike'!I9</f>
        <v>0.80180474016090464</v>
      </c>
      <c r="C9" s="138">
        <f>'3Time Settlement Dike'!J9</f>
        <v>-0.13547226238004698</v>
      </c>
      <c r="E9" s="138">
        <f>'3Time Settlement Dike'!I36</f>
        <v>2.2450532724505328</v>
      </c>
      <c r="F9" s="138">
        <f>'3Time Settlement Dike'!J36</f>
        <v>-0.13547226238004698</v>
      </c>
      <c r="H9" s="138">
        <f>'3Time Settlement Dike'!I64</f>
        <v>0.22450532724505326</v>
      </c>
      <c r="I9" s="138">
        <f>'3Time Settlement Dike'!J64</f>
        <v>-0.13547226238004698</v>
      </c>
    </row>
    <row r="10" spans="1:9">
      <c r="A10">
        <f>'3Time Settlement Dike'!C65</f>
        <v>20</v>
      </c>
      <c r="B10" s="138">
        <f>'3Time Settlement Dike'!I10</f>
        <v>1.4224106689860112</v>
      </c>
      <c r="C10" s="138">
        <f>'3Time Settlement Dike'!J10</f>
        <v>-0.154234483173396</v>
      </c>
      <c r="E10" s="138">
        <f>'3Time Settlement Dike'!I37</f>
        <v>3.9827498731608313</v>
      </c>
      <c r="F10" s="138">
        <f>'3Time Settlement Dike'!J37</f>
        <v>-0.154234483173396</v>
      </c>
      <c r="H10" s="138">
        <f>'3Time Settlement Dike'!I65</f>
        <v>0.39827498731608318</v>
      </c>
      <c r="I10" s="138">
        <f>'3Time Settlement Dike'!J65</f>
        <v>-0.154234483173396</v>
      </c>
    </row>
    <row r="11" spans="1:9">
      <c r="A11">
        <f>'3Time Settlement Dike'!C66</f>
        <v>25</v>
      </c>
      <c r="B11" s="138">
        <f>'3Time Settlement Dike'!I11</f>
        <v>2.2242154091469164</v>
      </c>
      <c r="C11" s="138">
        <f>'3Time Settlement Dike'!J11</f>
        <v>-0.17299670396674499</v>
      </c>
      <c r="E11" s="138">
        <f>'3Time Settlement Dike'!I38</f>
        <v>6.2278031456113654</v>
      </c>
      <c r="F11" s="138">
        <f>'3Time Settlement Dike'!J38</f>
        <v>-0.17299670396674499</v>
      </c>
      <c r="H11" s="138">
        <f>'3Time Settlement Dike'!I66</f>
        <v>0.62278031456113647</v>
      </c>
      <c r="I11" s="138">
        <f>'3Time Settlement Dike'!J66</f>
        <v>-0.17299670396674499</v>
      </c>
    </row>
    <row r="12" spans="1:9">
      <c r="A12">
        <f>'3Time Settlement Dike'!C67</f>
        <v>30</v>
      </c>
      <c r="B12" s="138">
        <f>'3Time Settlement Dike'!I12</f>
        <v>3.2026889903602234</v>
      </c>
      <c r="C12" s="138">
        <f>'3Time Settlement Dike'!J12</f>
        <v>-0.19175892476009396</v>
      </c>
      <c r="E12" s="138">
        <f>'3Time Settlement Dike'!I39</f>
        <v>8.9675291730086251</v>
      </c>
      <c r="F12" s="138">
        <f>'3Time Settlement Dike'!J39</f>
        <v>-0.19175892476009396</v>
      </c>
      <c r="H12" s="138">
        <f>'3Time Settlement Dike'!I67</f>
        <v>0.8967529173008626</v>
      </c>
      <c r="I12" s="138">
        <f>'3Time Settlement Dike'!J67</f>
        <v>-0.19175892476009396</v>
      </c>
    </row>
    <row r="13" spans="1:9">
      <c r="A13">
        <f>'3Time Settlement Dike'!C68</f>
        <v>35</v>
      </c>
      <c r="B13" s="138">
        <f>'3Time Settlement Dike'!I13</f>
        <v>4.3578314126259334</v>
      </c>
      <c r="C13" s="138">
        <f>'3Time Settlement Dike'!J13</f>
        <v>-0.21052114555344298</v>
      </c>
      <c r="E13" s="138">
        <f>'3Time Settlement Dike'!I40</f>
        <v>12.201927955352613</v>
      </c>
      <c r="F13" s="138">
        <f>'3Time Settlement Dike'!J40</f>
        <v>-0.21052114555344298</v>
      </c>
      <c r="H13" s="138">
        <f>'3Time Settlement Dike'!I68</f>
        <v>1.2201927955352614</v>
      </c>
      <c r="I13" s="138">
        <f>'3Time Settlement Dike'!J68</f>
        <v>-0.21052114555344298</v>
      </c>
    </row>
    <row r="14" spans="1:9">
      <c r="A14">
        <f>'3Time Settlement Dike'!C69</f>
        <v>40</v>
      </c>
      <c r="B14" s="138">
        <f>'3Time Settlement Dike'!I14</f>
        <v>5.7077625570776256</v>
      </c>
      <c r="C14" s="138">
        <f>'3Time Settlement Dike'!J14</f>
        <v>-0.22928336634679197</v>
      </c>
      <c r="E14" s="138">
        <f>'3Time Settlement Dike'!I41</f>
        <v>15.981735159817351</v>
      </c>
      <c r="F14" s="138">
        <f>'3Time Settlement Dike'!J41</f>
        <v>-0.22928336634679197</v>
      </c>
      <c r="H14" s="138">
        <f>'3Time Settlement Dike'!I69</f>
        <v>1.5981735159817352</v>
      </c>
      <c r="I14" s="138">
        <f>'3Time Settlement Dike'!J69</f>
        <v>-0.22928336634679197</v>
      </c>
    </row>
    <row r="15" spans="1:9">
      <c r="A15">
        <f>'3Time Settlement Dike'!C70</f>
        <v>45</v>
      </c>
      <c r="B15" s="138">
        <f>'3Time Settlement Dike'!I15</f>
        <v>7.2026527505979558</v>
      </c>
      <c r="C15" s="138">
        <f>'3Time Settlement Dike'!J15</f>
        <v>-0.24804558714014097</v>
      </c>
      <c r="E15" s="138">
        <f>'3Time Settlement Dike'!I42</f>
        <v>20.167427701674278</v>
      </c>
      <c r="F15" s="138">
        <f>'3Time Settlement Dike'!J42</f>
        <v>-0.24804558714014097</v>
      </c>
      <c r="H15" s="138">
        <f>'3Time Settlement Dike'!I70</f>
        <v>2.0167427701674274</v>
      </c>
      <c r="I15" s="138">
        <f>'3Time Settlement Dike'!J70</f>
        <v>-0.24804558714014097</v>
      </c>
    </row>
    <row r="16" spans="1:9">
      <c r="A16">
        <f>'3Time Settlement Dike'!C71</f>
        <v>50</v>
      </c>
      <c r="B16" s="138">
        <f>'3Time Settlement Dike'!I16</f>
        <v>8.9240414582880323</v>
      </c>
      <c r="C16" s="138">
        <f>'3Time Settlement Dike'!J16</f>
        <v>-0.26680780793348996</v>
      </c>
      <c r="E16" s="138">
        <f>'3Time Settlement Dike'!I43</f>
        <v>24.987316083206494</v>
      </c>
      <c r="F16" s="138">
        <f>'3Time Settlement Dike'!J43</f>
        <v>-0.26680780793348996</v>
      </c>
      <c r="H16" s="138">
        <f>'3Time Settlement Dike'!I71</f>
        <v>2.4987316083206497</v>
      </c>
      <c r="I16" s="138">
        <f>'3Time Settlement Dike'!J71</f>
        <v>-0.26680780793348996</v>
      </c>
    </row>
    <row r="17" spans="1:9">
      <c r="A17">
        <f>'3Time Settlement Dike'!C72</f>
        <v>55</v>
      </c>
      <c r="B17" s="138">
        <f>'3Time Settlement Dike'!I17</f>
        <v>10.826628977313907</v>
      </c>
      <c r="C17" s="138">
        <f>'3Time Settlement Dike'!J17</f>
        <v>-0.28557002872683895</v>
      </c>
      <c r="E17" s="138">
        <f>'3Time Settlement Dike'!I44</f>
        <v>30.314561136478947</v>
      </c>
      <c r="F17" s="138">
        <f>'3Time Settlement Dike'!J44</f>
        <v>-0.28557002872683895</v>
      </c>
      <c r="H17" s="138">
        <f>'3Time Settlement Dike'!I72</f>
        <v>3.0314561136478946</v>
      </c>
      <c r="I17" s="138">
        <f>'3Time Settlement Dike'!J72</f>
        <v>-0.28557002872683895</v>
      </c>
    </row>
    <row r="18" spans="1:9">
      <c r="A18">
        <f>'3Time Settlement Dike'!C73</f>
        <v>60</v>
      </c>
      <c r="B18" s="138">
        <f>'3Time Settlement Dike'!I18</f>
        <v>12.955715010509532</v>
      </c>
      <c r="C18" s="138">
        <f>'3Time Settlement Dike'!J18</f>
        <v>-0.30433224952018789</v>
      </c>
      <c r="E18" s="138">
        <f>'3Time Settlement Dike'!I45</f>
        <v>36.276002029426685</v>
      </c>
      <c r="F18" s="138">
        <f>'3Time Settlement Dike'!J45</f>
        <v>-0.30433224952018789</v>
      </c>
      <c r="H18" s="138">
        <f>'3Time Settlement Dike'!I73</f>
        <v>3.627600202942669</v>
      </c>
      <c r="I18" s="138">
        <f>'3Time Settlement Dike'!J73</f>
        <v>-0.30433224952018789</v>
      </c>
    </row>
    <row r="19" spans="1:9">
      <c r="A19">
        <f>'3Time Settlement Dike'!C74</f>
        <v>65</v>
      </c>
      <c r="B19" s="138">
        <f>'3Time Settlement Dike'!I19</f>
        <v>15.492498369210701</v>
      </c>
      <c r="C19" s="138">
        <f>'3Time Settlement Dike'!J19</f>
        <v>-0.32309447031353694</v>
      </c>
      <c r="E19" s="138">
        <f>'3Time Settlement Dike'!I46</f>
        <v>43.378995433789953</v>
      </c>
      <c r="F19" s="138">
        <f>'3Time Settlement Dike'!J46</f>
        <v>-0.32309447031353694</v>
      </c>
      <c r="H19" s="138">
        <f>'3Time Settlement Dike'!I74</f>
        <v>4.3378995433789953</v>
      </c>
      <c r="I19" s="138">
        <f>'3Time Settlement Dike'!J74</f>
        <v>-0.32309447031353694</v>
      </c>
    </row>
    <row r="20" spans="1:9">
      <c r="A20">
        <f>'3Time Settlement Dike'!C75</f>
        <v>70</v>
      </c>
      <c r="B20" s="138">
        <f>'3Time Settlement Dike'!I20</f>
        <v>18.255780242081613</v>
      </c>
      <c r="C20" s="138">
        <f>'3Time Settlement Dike'!J20</f>
        <v>-0.34185669110688593</v>
      </c>
      <c r="E20" s="138">
        <f>'3Time Settlement Dike'!I47</f>
        <v>51.116184677828514</v>
      </c>
      <c r="F20" s="138">
        <f>'3Time Settlement Dike'!J47</f>
        <v>-0.34185669110688593</v>
      </c>
      <c r="H20" s="138">
        <f>'3Time Settlement Dike'!I75</f>
        <v>5.1116184677828507</v>
      </c>
      <c r="I20" s="138">
        <f>'3Time Settlement Dike'!J75</f>
        <v>-0.34185669110688593</v>
      </c>
    </row>
    <row r="21" spans="1:9">
      <c r="A21">
        <f>'3Time Settlement Dike'!C76</f>
        <v>75</v>
      </c>
      <c r="B21" s="138">
        <f>'3Time Settlement Dike'!I21</f>
        <v>21.607958251793871</v>
      </c>
      <c r="C21" s="138">
        <f>'3Time Settlement Dike'!J21</f>
        <v>-0.36061891190023493</v>
      </c>
      <c r="E21" s="138">
        <f>'3Time Settlement Dike'!I48</f>
        <v>60.502283105022826</v>
      </c>
      <c r="F21" s="138">
        <f>'3Time Settlement Dike'!J48</f>
        <v>-0.36061891190023493</v>
      </c>
      <c r="H21" s="138">
        <f>'3Time Settlement Dike'!I76</f>
        <v>6.0502283105022832</v>
      </c>
      <c r="I21" s="138">
        <f>'3Time Settlement Dike'!J76</f>
        <v>-0.36061891190023493</v>
      </c>
    </row>
    <row r="22" spans="1:9">
      <c r="A22">
        <f>'3Time Settlement Dike'!C77</f>
        <v>80</v>
      </c>
      <c r="B22" s="138">
        <f>'3Time Settlement Dike'!I22</f>
        <v>25.684931506849313</v>
      </c>
      <c r="C22" s="138">
        <f>'3Time Settlement Dike'!J22</f>
        <v>-0.37938113269358392</v>
      </c>
      <c r="E22" s="138">
        <f>'3Time Settlement Dike'!I49</f>
        <v>71.917808219178085</v>
      </c>
      <c r="F22" s="138">
        <f>'3Time Settlement Dike'!J49</f>
        <v>-0.37938113269358392</v>
      </c>
      <c r="H22" s="138">
        <f>'3Time Settlement Dike'!I77</f>
        <v>7.1917808219178081</v>
      </c>
      <c r="I22" s="138">
        <f>'3Time Settlement Dike'!J77</f>
        <v>-0.37938113269358392</v>
      </c>
    </row>
    <row r="23" spans="1:9">
      <c r="A23">
        <f>'3Time Settlement Dike'!C78</f>
        <v>85</v>
      </c>
      <c r="B23" s="138">
        <f>'3Time Settlement Dike'!I23</f>
        <v>30.531999710081905</v>
      </c>
      <c r="C23" s="138">
        <f>'3Time Settlement Dike'!J23</f>
        <v>-0.39814335348693292</v>
      </c>
      <c r="E23" s="138">
        <f>'3Time Settlement Dike'!I50</f>
        <v>85.48959918822932</v>
      </c>
      <c r="F23" s="138">
        <f>'3Time Settlement Dike'!J50</f>
        <v>-0.39814335348693292</v>
      </c>
      <c r="H23" s="138">
        <f>'3Time Settlement Dike'!I78</f>
        <v>8.5489599188229324</v>
      </c>
      <c r="I23" s="138">
        <f>'3Time Settlement Dike'!J78</f>
        <v>-0.39814335348693292</v>
      </c>
    </row>
    <row r="24" spans="1:9">
      <c r="A24">
        <f>'3Time Settlement Dike'!C79</f>
        <v>90</v>
      </c>
      <c r="B24" s="138">
        <f>'3Time Settlement Dike'!I24</f>
        <v>38.414148003189105</v>
      </c>
      <c r="C24" s="138">
        <f>'3Time Settlement Dike'!J24</f>
        <v>-0.41690557428028191</v>
      </c>
      <c r="E24" s="138">
        <f>'3Time Settlement Dike'!I51</f>
        <v>107.55961440892949</v>
      </c>
      <c r="F24" s="138">
        <f>'3Time Settlement Dike'!J51</f>
        <v>-0.41690557428028191</v>
      </c>
      <c r="H24" s="138">
        <f>'3Time Settlement Dike'!I79</f>
        <v>10.755961440892948</v>
      </c>
      <c r="I24" s="138">
        <f>'3Time Settlement Dike'!J79</f>
        <v>-0.41690557428028191</v>
      </c>
    </row>
    <row r="25" spans="1:9">
      <c r="A25">
        <f>'3Time Settlement Dike'!C80</f>
        <v>95</v>
      </c>
      <c r="B25" s="138">
        <f>'3Time Settlement Dike'!I25</f>
        <v>51.143364499528893</v>
      </c>
      <c r="C25" s="138">
        <f>'3Time Settlement Dike'!J25</f>
        <v>-0.4356677950736309</v>
      </c>
      <c r="E25" s="138">
        <f>'3Time Settlement Dike'!I52</f>
        <v>143.20142059868087</v>
      </c>
      <c r="F25" s="138">
        <f>'3Time Settlement Dike'!J52</f>
        <v>-0.4356677950736309</v>
      </c>
      <c r="H25" s="138">
        <f>'3Time Settlement Dike'!I80</f>
        <v>14.320142059868088</v>
      </c>
      <c r="I25" s="138">
        <f>'3Time Settlement Dike'!J80</f>
        <v>-0.4356677950736309</v>
      </c>
    </row>
  </sheetData>
  <pageMargins left="0.27559055118110237" right="0.31496062992125984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"/>
  <sheetViews>
    <sheetView zoomScale="80" zoomScaleNormal="80" workbookViewId="0">
      <selection activeCell="H14" sqref="H14"/>
    </sheetView>
    <sheetView zoomScale="90" zoomScaleNormal="90" workbookViewId="1">
      <selection activeCell="I10" sqref="I10"/>
    </sheetView>
  </sheetViews>
  <sheetFormatPr defaultRowHeight="18.55"/>
  <cols>
    <col min="1" max="1" width="6.375" customWidth="1"/>
    <col min="2" max="2" width="9.8125" customWidth="1"/>
    <col min="3" max="3" width="9.625" customWidth="1"/>
    <col min="4" max="4" width="9.6875" customWidth="1"/>
    <col min="5" max="5" width="7.8125" customWidth="1"/>
    <col min="6" max="6" width="10" customWidth="1"/>
    <col min="7" max="7" width="9.1875" customWidth="1"/>
    <col min="8" max="8" width="7.6875" customWidth="1"/>
    <col min="22" max="26" width="8.8125" customWidth="1"/>
    <col min="31" max="31" width="9.125" customWidth="1"/>
    <col min="32" max="32" width="9.375" customWidth="1"/>
    <col min="33" max="33" width="12.125" customWidth="1"/>
    <col min="34" max="34" width="16.375" customWidth="1"/>
    <col min="35" max="35" width="16.8125" customWidth="1"/>
    <col min="36" max="36" width="15.6875" customWidth="1"/>
    <col min="37" max="37" width="12.625" customWidth="1"/>
    <col min="38" max="38" width="9.6875" customWidth="1"/>
  </cols>
  <sheetData>
    <row r="1" spans="1:37">
      <c r="A1" s="85" t="s">
        <v>172</v>
      </c>
      <c r="C1" s="86" t="s">
        <v>173</v>
      </c>
    </row>
    <row r="2" spans="1:37">
      <c r="A2" s="48"/>
      <c r="C2" t="s">
        <v>148</v>
      </c>
    </row>
    <row r="3" spans="1:37">
      <c r="A3" s="48"/>
    </row>
    <row r="4" spans="1:37">
      <c r="A4" s="48"/>
    </row>
    <row r="5" spans="1:37" ht="19" thickBot="1">
      <c r="B5" t="s">
        <v>78</v>
      </c>
      <c r="I5" t="s">
        <v>75</v>
      </c>
    </row>
    <row r="6" spans="1:37" ht="19" thickBot="1">
      <c r="B6" s="6" t="s">
        <v>58</v>
      </c>
      <c r="C6" s="7"/>
      <c r="D6" s="7"/>
      <c r="E6" s="102">
        <v>2.75</v>
      </c>
      <c r="F6" s="9" t="s">
        <v>48</v>
      </c>
      <c r="I6" t="s">
        <v>77</v>
      </c>
      <c r="AG6" s="166"/>
      <c r="AH6" s="166"/>
      <c r="AJ6" s="166"/>
      <c r="AK6" s="166"/>
    </row>
    <row r="7" spans="1:37">
      <c r="B7" s="10" t="s">
        <v>97</v>
      </c>
      <c r="C7" s="11"/>
      <c r="D7" s="11"/>
      <c r="E7" s="103">
        <v>0.8</v>
      </c>
      <c r="F7" s="13" t="s">
        <v>48</v>
      </c>
      <c r="I7" t="s">
        <v>76</v>
      </c>
      <c r="AG7" s="166"/>
      <c r="AH7" s="166"/>
      <c r="AJ7" s="166"/>
      <c r="AK7" s="166"/>
    </row>
    <row r="8" spans="1:37">
      <c r="B8" s="10" t="s">
        <v>59</v>
      </c>
      <c r="C8" s="11"/>
      <c r="D8" s="11"/>
      <c r="E8" s="104">
        <f>E6-E7</f>
        <v>1.95</v>
      </c>
      <c r="F8" s="13" t="s">
        <v>48</v>
      </c>
      <c r="AG8" s="166"/>
      <c r="AH8" s="166"/>
      <c r="AJ8" s="166"/>
      <c r="AK8" s="166"/>
    </row>
    <row r="9" spans="1:37">
      <c r="B9" s="10" t="s">
        <v>49</v>
      </c>
      <c r="C9" s="11"/>
      <c r="D9" s="11"/>
      <c r="E9" s="103">
        <v>1.8</v>
      </c>
      <c r="F9" s="13" t="s">
        <v>50</v>
      </c>
      <c r="AG9" s="166"/>
      <c r="AH9" s="166"/>
      <c r="AJ9" s="166"/>
      <c r="AK9" s="166"/>
    </row>
    <row r="10" spans="1:37">
      <c r="B10" s="10" t="s">
        <v>51</v>
      </c>
      <c r="C10" s="11"/>
      <c r="D10" s="11"/>
      <c r="E10" s="103">
        <f>(E6-E7)*E9</f>
        <v>3.51</v>
      </c>
      <c r="F10" s="13" t="s">
        <v>45</v>
      </c>
      <c r="R10" s="4"/>
      <c r="AG10" s="166"/>
      <c r="AH10" s="166"/>
      <c r="AJ10" s="166"/>
      <c r="AK10" s="166"/>
    </row>
    <row r="11" spans="1:37">
      <c r="B11" s="10" t="s">
        <v>52</v>
      </c>
      <c r="C11" s="11"/>
      <c r="D11" s="11"/>
      <c r="E11" s="103">
        <v>0</v>
      </c>
      <c r="F11" s="13" t="s">
        <v>45</v>
      </c>
      <c r="AG11" s="166"/>
      <c r="AH11" s="166"/>
      <c r="AJ11" s="166"/>
      <c r="AK11" s="166"/>
    </row>
    <row r="12" spans="1:37" ht="19" thickBot="1">
      <c r="B12" s="14" t="s">
        <v>15</v>
      </c>
      <c r="C12" s="15"/>
      <c r="D12" s="15"/>
      <c r="E12" s="105">
        <f>E10+E11</f>
        <v>3.51</v>
      </c>
      <c r="F12" s="16" t="s">
        <v>45</v>
      </c>
      <c r="AG12" s="166"/>
      <c r="AH12" s="166"/>
      <c r="AJ12" s="166"/>
      <c r="AK12" s="166"/>
    </row>
    <row r="13" spans="1:37" ht="19" thickBot="1">
      <c r="B13" s="79" t="s">
        <v>73</v>
      </c>
      <c r="C13" s="80"/>
      <c r="D13" s="80"/>
      <c r="E13" s="106">
        <f>E12</f>
        <v>3.51</v>
      </c>
      <c r="F13" s="81" t="s">
        <v>45</v>
      </c>
      <c r="AG13" s="166"/>
      <c r="AH13" s="166"/>
      <c r="AJ13" s="166"/>
      <c r="AK13" s="166"/>
    </row>
    <row r="14" spans="1:37">
      <c r="B14" s="48"/>
      <c r="C14" s="11"/>
      <c r="D14" s="11"/>
      <c r="E14" s="62"/>
      <c r="F14" s="48"/>
      <c r="AG14" s="166"/>
      <c r="AH14" s="166"/>
      <c r="AJ14" s="166"/>
      <c r="AK14" s="166"/>
    </row>
    <row r="15" spans="1:37">
      <c r="B15" s="48"/>
      <c r="C15" s="11"/>
      <c r="D15" s="11"/>
      <c r="E15" s="62"/>
      <c r="F15" s="48"/>
      <c r="AG15" s="166"/>
      <c r="AH15" s="166"/>
      <c r="AJ15" s="166"/>
      <c r="AK15" s="166"/>
    </row>
    <row r="16" spans="1:37" ht="19" thickBot="1">
      <c r="B16" s="48" t="s">
        <v>79</v>
      </c>
      <c r="C16" s="11"/>
      <c r="D16" s="11"/>
      <c r="E16" s="62"/>
      <c r="F16" s="48"/>
      <c r="AG16" s="166"/>
      <c r="AH16" s="166"/>
      <c r="AJ16" s="166"/>
      <c r="AK16" s="166"/>
    </row>
    <row r="17" spans="2:40">
      <c r="B17" s="6" t="s">
        <v>53</v>
      </c>
      <c r="C17" s="7"/>
      <c r="D17" s="7"/>
      <c r="E17" s="8">
        <f>AJ42</f>
        <v>0.10620419278448112</v>
      </c>
      <c r="F17" s="9" t="s">
        <v>48</v>
      </c>
      <c r="I17" s="148"/>
      <c r="AG17" s="166"/>
      <c r="AH17" s="166"/>
      <c r="AJ17" s="166"/>
      <c r="AK17" s="166"/>
    </row>
    <row r="18" spans="2:40">
      <c r="B18" s="10" t="s">
        <v>54</v>
      </c>
      <c r="C18" s="11"/>
      <c r="D18" s="11"/>
      <c r="E18" s="12">
        <f>AK42</f>
        <v>0.55332625451492345</v>
      </c>
      <c r="F18" s="13" t="s">
        <v>48</v>
      </c>
      <c r="AG18" s="166"/>
      <c r="AH18" s="166"/>
      <c r="AJ18" s="166"/>
      <c r="AK18" s="166"/>
    </row>
    <row r="19" spans="2:40" ht="19" thickBot="1">
      <c r="B19" s="14" t="s">
        <v>57</v>
      </c>
      <c r="C19" s="15"/>
      <c r="D19" s="15"/>
      <c r="E19" s="218">
        <f>E17+E18</f>
        <v>0.65953044729940458</v>
      </c>
      <c r="F19" s="16" t="s">
        <v>48</v>
      </c>
      <c r="G19" s="4"/>
      <c r="AG19" s="166"/>
      <c r="AH19" s="166"/>
      <c r="AJ19" s="166"/>
      <c r="AK19" s="166"/>
    </row>
    <row r="20" spans="2:40" ht="19" thickBot="1">
      <c r="B20" s="63" t="s">
        <v>60</v>
      </c>
      <c r="C20" s="64"/>
      <c r="D20" s="64"/>
      <c r="E20" s="69">
        <f>E6-E19</f>
        <v>2.0904695527005952</v>
      </c>
      <c r="F20" s="65" t="s">
        <v>48</v>
      </c>
      <c r="AG20" s="166"/>
      <c r="AH20" s="166"/>
      <c r="AJ20" s="166"/>
      <c r="AK20" s="166"/>
    </row>
    <row r="21" spans="2:40">
      <c r="B21" s="63" t="s">
        <v>65</v>
      </c>
      <c r="C21" s="64"/>
      <c r="D21" s="64"/>
      <c r="E21" s="70">
        <f>E19/E8*100</f>
        <v>33.822074220482286</v>
      </c>
      <c r="F21" s="65" t="s">
        <v>61</v>
      </c>
      <c r="AG21" s="166"/>
      <c r="AH21" s="166"/>
      <c r="AJ21" s="166"/>
      <c r="AK21" s="166"/>
    </row>
    <row r="22" spans="2:40">
      <c r="B22" s="63"/>
      <c r="C22" s="64"/>
      <c r="D22" s="64"/>
      <c r="E22" s="64"/>
      <c r="F22" s="65"/>
      <c r="AG22" s="166"/>
      <c r="AH22" s="166"/>
      <c r="AJ22" s="166"/>
      <c r="AK22" s="166"/>
    </row>
    <row r="23" spans="2:40" ht="19" thickBot="1">
      <c r="B23" s="66"/>
      <c r="C23" s="67"/>
      <c r="D23" s="67"/>
      <c r="E23" s="67"/>
      <c r="F23" s="68"/>
      <c r="AG23" s="166"/>
      <c r="AH23" s="166"/>
      <c r="AJ23" s="166"/>
      <c r="AK23" s="166"/>
    </row>
    <row r="24" spans="2:40">
      <c r="B24" s="48"/>
      <c r="C24" s="11"/>
      <c r="D24" s="11"/>
      <c r="E24" s="62"/>
      <c r="F24" s="48"/>
      <c r="AG24" s="166"/>
      <c r="AH24" s="166"/>
      <c r="AJ24" s="166">
        <v>2</v>
      </c>
      <c r="AK24" s="166"/>
    </row>
    <row r="25" spans="2:40">
      <c r="G25" s="5"/>
      <c r="AG25" s="166"/>
      <c r="AH25" s="166"/>
      <c r="AJ25" s="166"/>
      <c r="AK25" s="166"/>
    </row>
    <row r="26" spans="2:40">
      <c r="B26" s="94"/>
      <c r="C26" s="241" t="s">
        <v>74</v>
      </c>
      <c r="D26" s="243"/>
      <c r="E26" s="243"/>
      <c r="F26" s="242"/>
      <c r="G26" s="82"/>
      <c r="H26" s="11"/>
      <c r="I26" s="239" t="s">
        <v>64</v>
      </c>
      <c r="J26" s="239"/>
      <c r="K26" s="239"/>
      <c r="L26" s="240"/>
      <c r="M26" s="246" t="s">
        <v>71</v>
      </c>
      <c r="N26" s="239"/>
      <c r="O26" s="239"/>
      <c r="P26" s="239"/>
      <c r="Q26" s="239"/>
      <c r="R26" s="239"/>
      <c r="S26" s="240"/>
      <c r="T26" s="246" t="s">
        <v>70</v>
      </c>
      <c r="U26" s="240"/>
      <c r="V26" s="37"/>
      <c r="W26" s="37"/>
      <c r="X26" s="37"/>
      <c r="Y26" s="37"/>
      <c r="Z26" s="37"/>
      <c r="AA26" s="246" t="s">
        <v>69</v>
      </c>
      <c r="AB26" s="239"/>
      <c r="AC26" s="239"/>
      <c r="AD26" s="240"/>
      <c r="AE26" s="73" t="s">
        <v>67</v>
      </c>
      <c r="AF26" s="165" t="s">
        <v>68</v>
      </c>
      <c r="AG26" s="244" t="s">
        <v>41</v>
      </c>
      <c r="AH26" s="245"/>
      <c r="AI26" s="75" t="s">
        <v>40</v>
      </c>
      <c r="AJ26" s="246" t="s">
        <v>66</v>
      </c>
      <c r="AK26" s="239"/>
      <c r="AL26" s="240"/>
    </row>
    <row r="27" spans="2:40" ht="19" thickBot="1">
      <c r="B27" s="115" t="s">
        <v>72</v>
      </c>
      <c r="C27" s="241" t="s">
        <v>12</v>
      </c>
      <c r="D27" s="242"/>
      <c r="E27" s="94" t="s">
        <v>13</v>
      </c>
      <c r="F27" s="94" t="s">
        <v>14</v>
      </c>
      <c r="G27" s="83"/>
      <c r="H27" s="11"/>
      <c r="I27" s="165" t="s">
        <v>62</v>
      </c>
      <c r="J27" s="73" t="s">
        <v>63</v>
      </c>
      <c r="K27" s="73" t="s">
        <v>145</v>
      </c>
      <c r="L27" s="165" t="s">
        <v>35</v>
      </c>
      <c r="M27" s="75" t="s">
        <v>17</v>
      </c>
      <c r="N27" s="73" t="s">
        <v>18</v>
      </c>
      <c r="O27" s="73" t="s">
        <v>19</v>
      </c>
      <c r="P27" s="73" t="s">
        <v>20</v>
      </c>
      <c r="Q27" s="73" t="s">
        <v>21</v>
      </c>
      <c r="R27" s="173" t="s">
        <v>22</v>
      </c>
      <c r="S27" s="73" t="s">
        <v>23</v>
      </c>
      <c r="T27" s="73" t="s">
        <v>30</v>
      </c>
      <c r="U27" s="73" t="s">
        <v>16</v>
      </c>
      <c r="V27" s="164" t="s">
        <v>24</v>
      </c>
      <c r="W27" s="18" t="s">
        <v>25</v>
      </c>
      <c r="X27" s="18" t="s">
        <v>26</v>
      </c>
      <c r="Y27" s="147" t="s">
        <v>33</v>
      </c>
      <c r="Z27" s="18" t="s">
        <v>32</v>
      </c>
      <c r="AA27" s="73" t="s">
        <v>34</v>
      </c>
      <c r="AB27" s="73" t="s">
        <v>35</v>
      </c>
      <c r="AC27" s="73" t="s">
        <v>27</v>
      </c>
      <c r="AD27" s="73" t="s">
        <v>28</v>
      </c>
      <c r="AE27" s="77" t="s">
        <v>31</v>
      </c>
      <c r="AF27" s="78" t="s">
        <v>36</v>
      </c>
      <c r="AG27" s="73" t="s">
        <v>37</v>
      </c>
      <c r="AH27" s="73" t="s">
        <v>38</v>
      </c>
      <c r="AI27" s="73" t="s">
        <v>39</v>
      </c>
      <c r="AJ27" s="75" t="s">
        <v>42</v>
      </c>
      <c r="AK27" s="75" t="s">
        <v>43</v>
      </c>
      <c r="AL27" s="75" t="s">
        <v>47</v>
      </c>
    </row>
    <row r="28" spans="2:40">
      <c r="B28" s="107"/>
      <c r="C28" s="116" t="s">
        <v>48</v>
      </c>
      <c r="D28" s="116" t="s">
        <v>48</v>
      </c>
      <c r="E28" s="96" t="s">
        <v>48</v>
      </c>
      <c r="F28" s="96" t="s">
        <v>56</v>
      </c>
      <c r="G28" s="83"/>
      <c r="H28" s="117"/>
      <c r="I28" s="59"/>
      <c r="J28" s="58"/>
      <c r="K28" s="58"/>
      <c r="L28" s="59"/>
      <c r="M28" s="59"/>
      <c r="N28" s="71" t="s">
        <v>44</v>
      </c>
      <c r="O28" s="71" t="s">
        <v>44</v>
      </c>
      <c r="P28" s="58"/>
      <c r="Q28" s="58"/>
      <c r="R28" s="174"/>
      <c r="S28" s="58"/>
      <c r="T28" s="71" t="s">
        <v>44</v>
      </c>
      <c r="U28" s="71" t="s">
        <v>44</v>
      </c>
      <c r="V28" s="58" t="s">
        <v>46</v>
      </c>
      <c r="W28" s="58" t="s">
        <v>46</v>
      </c>
      <c r="X28" s="58" t="s">
        <v>46</v>
      </c>
      <c r="Y28" s="58"/>
      <c r="Z28" s="58" t="s">
        <v>46</v>
      </c>
      <c r="AA28" s="58"/>
      <c r="AB28" s="58"/>
      <c r="AC28" s="58"/>
      <c r="AD28" s="71" t="s">
        <v>29</v>
      </c>
      <c r="AE28" s="58"/>
      <c r="AF28" s="59"/>
      <c r="AG28" s="71" t="s">
        <v>109</v>
      </c>
      <c r="AH28" s="71" t="s">
        <v>110</v>
      </c>
      <c r="AI28" s="71" t="s">
        <v>109</v>
      </c>
      <c r="AJ28" s="71" t="s">
        <v>44</v>
      </c>
      <c r="AK28" s="71" t="s">
        <v>44</v>
      </c>
      <c r="AL28" s="71" t="s">
        <v>44</v>
      </c>
      <c r="AN28" s="170" t="s">
        <v>33</v>
      </c>
    </row>
    <row r="29" spans="2:40" ht="20.8">
      <c r="B29" s="18" t="s">
        <v>1</v>
      </c>
      <c r="C29" s="88">
        <v>0</v>
      </c>
      <c r="D29" s="99">
        <v>2</v>
      </c>
      <c r="E29" s="100">
        <f>D29-C29</f>
        <v>2</v>
      </c>
      <c r="F29" s="101">
        <v>1.63</v>
      </c>
      <c r="G29" s="83"/>
      <c r="H29" s="179"/>
      <c r="I29" s="178">
        <v>57.8</v>
      </c>
      <c r="J29" s="31">
        <f>0.0045*I29</f>
        <v>0.26009999999999994</v>
      </c>
      <c r="K29" s="31">
        <f t="shared" ref="K29:K35" si="0">AF29/AE29</f>
        <v>0.20634920634920637</v>
      </c>
      <c r="L29" s="57">
        <f>0.016*I29-0.295</f>
        <v>0.62979999999999992</v>
      </c>
      <c r="M29" s="55">
        <f>E29/2</f>
        <v>1</v>
      </c>
      <c r="N29" s="20">
        <v>4</v>
      </c>
      <c r="O29" s="20">
        <v>12</v>
      </c>
      <c r="P29" s="21">
        <f>N29/M29</f>
        <v>4</v>
      </c>
      <c r="Q29" s="21">
        <f>O29/M29</f>
        <v>12</v>
      </c>
      <c r="R29" s="175">
        <v>0.5</v>
      </c>
      <c r="S29" s="23">
        <f>2*R29</f>
        <v>1</v>
      </c>
      <c r="T29" s="24">
        <f t="shared" ref="T29:T39" si="1">E29</f>
        <v>2</v>
      </c>
      <c r="U29" s="25">
        <f>M29</f>
        <v>1</v>
      </c>
      <c r="V29" s="19">
        <f t="shared" ref="V29:V39" si="2">$E$13*S29</f>
        <v>3.51</v>
      </c>
      <c r="W29" s="19">
        <f>M29*F29</f>
        <v>1.63</v>
      </c>
      <c r="X29" s="19">
        <f>V29+W29</f>
        <v>5.14</v>
      </c>
      <c r="Y29" s="171">
        <v>3.91</v>
      </c>
      <c r="Z29" s="19">
        <f>Y29*W29</f>
        <v>6.3732999999999995</v>
      </c>
      <c r="AA29" s="26">
        <v>0.63</v>
      </c>
      <c r="AB29" s="26">
        <v>0.13</v>
      </c>
      <c r="AC29" s="20">
        <v>1.7</v>
      </c>
      <c r="AD29" s="27">
        <v>8.9999999999999998E-4</v>
      </c>
      <c r="AE29" s="28">
        <f>AA29/(1+AC29)</f>
        <v>0.23333333333333331</v>
      </c>
      <c r="AF29" s="28">
        <f>AB29/(1+AC29)</f>
        <v>4.8148148148148148E-2</v>
      </c>
      <c r="AG29" s="29">
        <f>IF(X29&gt;Z29,LOG(Z29/W29),0)</f>
        <v>0</v>
      </c>
      <c r="AH29" s="29">
        <f>IF(X29&gt;Z29,LOG(X29/Z29),0)</f>
        <v>0</v>
      </c>
      <c r="AI29" s="29">
        <f>IF(X29&lt;=Z29,LOG(X29/W29),0)</f>
        <v>0.49877551459131791</v>
      </c>
      <c r="AJ29" s="60">
        <f>AF29*T29*AG29+AF29*T29*AI29</f>
        <v>4.803023473842321E-2</v>
      </c>
      <c r="AK29" s="60">
        <f>AE29*T29*AH29</f>
        <v>0</v>
      </c>
      <c r="AL29" s="60">
        <f>AJ29+AK29</f>
        <v>4.803023473842321E-2</v>
      </c>
      <c r="AN29" s="171">
        <v>3.91</v>
      </c>
    </row>
    <row r="30" spans="2:40" ht="20.8">
      <c r="B30" s="18" t="s">
        <v>2</v>
      </c>
      <c r="C30" s="88">
        <f>D29</f>
        <v>2</v>
      </c>
      <c r="D30" s="99">
        <v>3.5</v>
      </c>
      <c r="E30" s="100">
        <f t="shared" ref="E30:E39" si="3">D30-C30</f>
        <v>1.5</v>
      </c>
      <c r="F30" s="101">
        <v>0.62</v>
      </c>
      <c r="G30" s="83"/>
      <c r="H30" s="179"/>
      <c r="I30" s="178">
        <v>68.900000000000006</v>
      </c>
      <c r="J30" s="31">
        <f t="shared" ref="J30:J39" si="4">0.0045*I30</f>
        <v>0.31004999999999999</v>
      </c>
      <c r="K30" s="31">
        <f t="shared" si="0"/>
        <v>0.16091954022988508</v>
      </c>
      <c r="L30" s="57">
        <f t="shared" ref="L30:L39" si="5">0.016*I30-0.295</f>
        <v>0.80740000000000012</v>
      </c>
      <c r="M30" s="55">
        <f t="shared" ref="M30:M39" si="6">D29+E30/2</f>
        <v>2.75</v>
      </c>
      <c r="N30" s="19">
        <f>N29</f>
        <v>4</v>
      </c>
      <c r="O30" s="19">
        <f>O29</f>
        <v>12</v>
      </c>
      <c r="P30" s="21">
        <f t="shared" ref="P30:P39" si="7">N30/M30</f>
        <v>1.4545454545454546</v>
      </c>
      <c r="Q30" s="21">
        <f t="shared" ref="Q30:Q39" si="8">O30/M30</f>
        <v>4.3636363636363633</v>
      </c>
      <c r="R30" s="175">
        <v>0.5</v>
      </c>
      <c r="S30" s="23">
        <f t="shared" ref="S30:S39" si="9">2*R30</f>
        <v>1</v>
      </c>
      <c r="T30" s="24">
        <f t="shared" si="1"/>
        <v>1.5</v>
      </c>
      <c r="U30" s="25">
        <f t="shared" ref="U30:U39" si="10">M30</f>
        <v>2.75</v>
      </c>
      <c r="V30" s="19">
        <f t="shared" si="2"/>
        <v>3.51</v>
      </c>
      <c r="W30" s="19">
        <f>E29*F29+(E30/2)*F30</f>
        <v>3.7249999999999996</v>
      </c>
      <c r="X30" s="19">
        <f t="shared" ref="X30:X39" si="11">V30+W30</f>
        <v>7.2349999999999994</v>
      </c>
      <c r="Y30" s="171">
        <v>2.42</v>
      </c>
      <c r="Z30" s="19">
        <f t="shared" ref="Z30:Z39" si="12">Y30*W30</f>
        <v>9.0144999999999982</v>
      </c>
      <c r="AA30" s="22">
        <v>0.87</v>
      </c>
      <c r="AB30" s="26">
        <v>0.14000000000000001</v>
      </c>
      <c r="AC30" s="20">
        <v>1.7</v>
      </c>
      <c r="AD30" s="27">
        <v>6.9999999999999999E-4</v>
      </c>
      <c r="AE30" s="28">
        <f t="shared" ref="AE30:AE35" si="13">AA30/(1+AC30)</f>
        <v>0.32222222222222219</v>
      </c>
      <c r="AF30" s="28">
        <f t="shared" ref="AF30:AF35" si="14">AB30/(1+AC30)</f>
        <v>5.185185185185185E-2</v>
      </c>
      <c r="AG30" s="29">
        <f t="shared" ref="AG30:AG39" si="15">IF(X30&gt;Z30,LOG(Z30/W30),0)</f>
        <v>0</v>
      </c>
      <c r="AH30" s="29">
        <f t="shared" ref="AH30:AH39" si="16">IF(X30&gt;Z30,LOG(X30/Z30),0)</f>
        <v>0</v>
      </c>
      <c r="AI30" s="29">
        <f t="shared" ref="AI30:AI39" si="17">IF(X30&lt;=Z30,LOG(X30/W30),0)</f>
        <v>0.28831225837074459</v>
      </c>
      <c r="AJ30" s="60">
        <f t="shared" ref="AJ30:AJ39" si="18">AF30*T30*AG30+AF30*T30*AI30</f>
        <v>2.2424286762169024E-2</v>
      </c>
      <c r="AK30" s="60">
        <f t="shared" ref="AK30:AK39" si="19">AE30*T30*AH30</f>
        <v>0</v>
      </c>
      <c r="AL30" s="60">
        <f t="shared" ref="AL30:AL39" si="20">AJ30+AK30</f>
        <v>2.2424286762169024E-2</v>
      </c>
      <c r="AN30" s="171">
        <v>2.42</v>
      </c>
    </row>
    <row r="31" spans="2:40" ht="20.8">
      <c r="B31" s="18" t="s">
        <v>3</v>
      </c>
      <c r="C31" s="88">
        <f t="shared" ref="C31:C39" si="21">D30</f>
        <v>3.5</v>
      </c>
      <c r="D31" s="99">
        <v>5</v>
      </c>
      <c r="E31" s="100">
        <f t="shared" si="3"/>
        <v>1.5</v>
      </c>
      <c r="F31" s="101">
        <v>0.56000000000000005</v>
      </c>
      <c r="G31" s="83"/>
      <c r="H31" s="179"/>
      <c r="I31" s="178">
        <v>78.7</v>
      </c>
      <c r="J31" s="31">
        <f t="shared" si="4"/>
        <v>0.35414999999999996</v>
      </c>
      <c r="K31" s="31">
        <f t="shared" si="0"/>
        <v>0.11881188118811879</v>
      </c>
      <c r="L31" s="57">
        <f t="shared" si="5"/>
        <v>0.96420000000000017</v>
      </c>
      <c r="M31" s="55">
        <f t="shared" si="6"/>
        <v>4.25</v>
      </c>
      <c r="N31" s="19">
        <f t="shared" ref="N31:O39" si="22">N30</f>
        <v>4</v>
      </c>
      <c r="O31" s="19">
        <f t="shared" si="22"/>
        <v>12</v>
      </c>
      <c r="P31" s="21">
        <f t="shared" si="7"/>
        <v>0.94117647058823528</v>
      </c>
      <c r="Q31" s="21">
        <f t="shared" si="8"/>
        <v>2.8235294117647061</v>
      </c>
      <c r="R31" s="175">
        <v>0.5</v>
      </c>
      <c r="S31" s="23">
        <f t="shared" si="9"/>
        <v>1</v>
      </c>
      <c r="T31" s="24">
        <f t="shared" si="1"/>
        <v>1.5</v>
      </c>
      <c r="U31" s="25">
        <f t="shared" si="10"/>
        <v>4.25</v>
      </c>
      <c r="V31" s="19">
        <f t="shared" si="2"/>
        <v>3.51</v>
      </c>
      <c r="W31" s="19">
        <f t="shared" ref="W31:W39" si="23">W30+E30*F30/2+E31*F31/2</f>
        <v>4.6099999999999994</v>
      </c>
      <c r="X31" s="19">
        <f t="shared" si="11"/>
        <v>8.1199999999999992</v>
      </c>
      <c r="Y31" s="171">
        <v>1.38</v>
      </c>
      <c r="Z31" s="19">
        <f t="shared" si="12"/>
        <v>6.3617999999999988</v>
      </c>
      <c r="AA31" s="20">
        <v>1.01</v>
      </c>
      <c r="AB31" s="26">
        <v>0.12</v>
      </c>
      <c r="AC31" s="20">
        <v>2.1</v>
      </c>
      <c r="AD31" s="27">
        <v>2.5000000000000001E-4</v>
      </c>
      <c r="AE31" s="28">
        <f t="shared" si="13"/>
        <v>0.32580645161290323</v>
      </c>
      <c r="AF31" s="28">
        <f t="shared" si="14"/>
        <v>3.8709677419354833E-2</v>
      </c>
      <c r="AG31" s="29">
        <f t="shared" si="15"/>
        <v>0.13987908640123647</v>
      </c>
      <c r="AH31" s="29">
        <f t="shared" si="16"/>
        <v>0.10597601745029066</v>
      </c>
      <c r="AI31" s="29">
        <f t="shared" si="17"/>
        <v>0</v>
      </c>
      <c r="AJ31" s="60">
        <f t="shared" si="18"/>
        <v>8.1220114684588916E-3</v>
      </c>
      <c r="AK31" s="60">
        <f>AE31*T31*AH31</f>
        <v>5.179150530231947E-2</v>
      </c>
      <c r="AL31" s="60">
        <f t="shared" si="20"/>
        <v>5.9913516770778358E-2</v>
      </c>
      <c r="AN31" s="171">
        <v>1.38</v>
      </c>
    </row>
    <row r="32" spans="2:40" ht="20.8">
      <c r="B32" s="18" t="s">
        <v>4</v>
      </c>
      <c r="C32" s="88">
        <f t="shared" si="21"/>
        <v>5</v>
      </c>
      <c r="D32" s="99">
        <v>6.5</v>
      </c>
      <c r="E32" s="100">
        <f t="shared" si="3"/>
        <v>1.5</v>
      </c>
      <c r="F32" s="101">
        <v>0.52</v>
      </c>
      <c r="G32" s="83"/>
      <c r="H32" s="179"/>
      <c r="I32" s="178">
        <v>83.4</v>
      </c>
      <c r="J32" s="31">
        <f t="shared" si="4"/>
        <v>0.37530000000000002</v>
      </c>
      <c r="K32" s="31">
        <f t="shared" si="0"/>
        <v>0.14782608695652177</v>
      </c>
      <c r="L32" s="57">
        <f t="shared" si="5"/>
        <v>1.0394000000000001</v>
      </c>
      <c r="M32" s="55">
        <f t="shared" si="6"/>
        <v>5.75</v>
      </c>
      <c r="N32" s="19">
        <f t="shared" si="22"/>
        <v>4</v>
      </c>
      <c r="O32" s="19">
        <f t="shared" si="22"/>
        <v>12</v>
      </c>
      <c r="P32" s="21">
        <f t="shared" si="7"/>
        <v>0.69565217391304346</v>
      </c>
      <c r="Q32" s="21">
        <f t="shared" si="8"/>
        <v>2.0869565217391304</v>
      </c>
      <c r="R32" s="175">
        <v>0.5</v>
      </c>
      <c r="S32" s="23">
        <f t="shared" si="9"/>
        <v>1</v>
      </c>
      <c r="T32" s="24">
        <f t="shared" si="1"/>
        <v>1.5</v>
      </c>
      <c r="U32" s="25">
        <f t="shared" si="10"/>
        <v>5.75</v>
      </c>
      <c r="V32" s="19">
        <f t="shared" si="2"/>
        <v>3.51</v>
      </c>
      <c r="W32" s="19">
        <f t="shared" si="23"/>
        <v>5.419999999999999</v>
      </c>
      <c r="X32" s="19">
        <f t="shared" si="11"/>
        <v>8.93</v>
      </c>
      <c r="Y32" s="171">
        <v>1.34</v>
      </c>
      <c r="Z32" s="19">
        <f t="shared" si="12"/>
        <v>7.2627999999999995</v>
      </c>
      <c r="AA32" s="20">
        <v>1.1499999999999999</v>
      </c>
      <c r="AB32" s="26">
        <v>0.17</v>
      </c>
      <c r="AC32" s="20">
        <v>2.1</v>
      </c>
      <c r="AD32" s="27">
        <v>2.5000000000000001E-4</v>
      </c>
      <c r="AE32" s="28">
        <f t="shared" si="13"/>
        <v>0.37096774193548382</v>
      </c>
      <c r="AF32" s="28">
        <f t="shared" si="14"/>
        <v>5.4838709677419356E-2</v>
      </c>
      <c r="AG32" s="29">
        <f t="shared" si="15"/>
        <v>0.12710479836480765</v>
      </c>
      <c r="AH32" s="29">
        <f t="shared" si="16"/>
        <v>8.9747373985351861E-2</v>
      </c>
      <c r="AI32" s="29">
        <f t="shared" si="17"/>
        <v>0</v>
      </c>
      <c r="AJ32" s="60">
        <f t="shared" si="18"/>
        <v>1.0455394704201919E-2</v>
      </c>
      <c r="AK32" s="60">
        <f>AE32*T32*AH32</f>
        <v>4.9940071007978044E-2</v>
      </c>
      <c r="AL32" s="60">
        <f t="shared" si="20"/>
        <v>6.0395465712179963E-2</v>
      </c>
      <c r="AN32" s="171">
        <v>1.34</v>
      </c>
    </row>
    <row r="33" spans="2:40" ht="20.8">
      <c r="B33" s="18" t="s">
        <v>5</v>
      </c>
      <c r="C33" s="88">
        <f t="shared" si="21"/>
        <v>6.5</v>
      </c>
      <c r="D33" s="99">
        <v>8</v>
      </c>
      <c r="E33" s="100">
        <f t="shared" si="3"/>
        <v>1.5</v>
      </c>
      <c r="F33" s="101">
        <v>0.51</v>
      </c>
      <c r="G33" s="83"/>
      <c r="H33" s="179"/>
      <c r="I33" s="178">
        <v>91.2</v>
      </c>
      <c r="J33" s="31">
        <f t="shared" si="4"/>
        <v>0.41039999999999999</v>
      </c>
      <c r="K33" s="31">
        <f t="shared" si="0"/>
        <v>0.128</v>
      </c>
      <c r="L33" s="57">
        <f t="shared" si="5"/>
        <v>1.1642000000000001</v>
      </c>
      <c r="M33" s="55">
        <f t="shared" si="6"/>
        <v>7.25</v>
      </c>
      <c r="N33" s="19">
        <f t="shared" si="22"/>
        <v>4</v>
      </c>
      <c r="O33" s="19">
        <f t="shared" si="22"/>
        <v>12</v>
      </c>
      <c r="P33" s="21">
        <f t="shared" si="7"/>
        <v>0.55172413793103448</v>
      </c>
      <c r="Q33" s="21">
        <f t="shared" si="8"/>
        <v>1.6551724137931034</v>
      </c>
      <c r="R33" s="175">
        <v>0.5</v>
      </c>
      <c r="S33" s="23">
        <f t="shared" si="9"/>
        <v>1</v>
      </c>
      <c r="T33" s="24">
        <f t="shared" si="1"/>
        <v>1.5</v>
      </c>
      <c r="U33" s="25">
        <f t="shared" si="10"/>
        <v>7.25</v>
      </c>
      <c r="V33" s="19">
        <f t="shared" si="2"/>
        <v>3.51</v>
      </c>
      <c r="W33" s="19">
        <f t="shared" si="23"/>
        <v>6.192499999999999</v>
      </c>
      <c r="X33" s="19">
        <f t="shared" si="11"/>
        <v>9.7024999999999988</v>
      </c>
      <c r="Y33" s="171">
        <v>1.1599999999999999</v>
      </c>
      <c r="Z33" s="19">
        <f t="shared" si="12"/>
        <v>7.1832999999999982</v>
      </c>
      <c r="AA33" s="20">
        <v>1.25</v>
      </c>
      <c r="AB33" s="26">
        <v>0.16</v>
      </c>
      <c r="AC33" s="20">
        <v>2.25</v>
      </c>
      <c r="AD33" s="27">
        <v>2.0000000000000001E-4</v>
      </c>
      <c r="AE33" s="28">
        <f t="shared" si="13"/>
        <v>0.38461538461538464</v>
      </c>
      <c r="AF33" s="28">
        <f t="shared" si="14"/>
        <v>4.9230769230769231E-2</v>
      </c>
      <c r="AG33" s="29">
        <f t="shared" si="15"/>
        <v>6.445798922691845E-2</v>
      </c>
      <c r="AH33" s="29">
        <f t="shared" si="16"/>
        <v>0.13055964692725949</v>
      </c>
      <c r="AI33" s="29">
        <f t="shared" si="17"/>
        <v>0</v>
      </c>
      <c r="AJ33" s="60">
        <f t="shared" si="18"/>
        <v>4.7599745890647468E-3</v>
      </c>
      <c r="AK33" s="60">
        <f t="shared" si="19"/>
        <v>7.5322873227265094E-2</v>
      </c>
      <c r="AL33" s="60">
        <f t="shared" si="20"/>
        <v>8.0082847816329836E-2</v>
      </c>
      <c r="AN33" s="171">
        <v>1.1599999999999999</v>
      </c>
    </row>
    <row r="34" spans="2:40" ht="20.8">
      <c r="B34" s="18" t="s">
        <v>6</v>
      </c>
      <c r="C34" s="88">
        <f t="shared" si="21"/>
        <v>8</v>
      </c>
      <c r="D34" s="99">
        <v>9.5</v>
      </c>
      <c r="E34" s="100">
        <f t="shared" si="3"/>
        <v>1.5</v>
      </c>
      <c r="F34" s="101">
        <v>0.5</v>
      </c>
      <c r="G34" s="83"/>
      <c r="H34" s="179"/>
      <c r="I34" s="178">
        <v>88.9</v>
      </c>
      <c r="J34" s="31">
        <f t="shared" si="4"/>
        <v>0.40005000000000002</v>
      </c>
      <c r="K34" s="31">
        <f t="shared" si="0"/>
        <v>0.12781954887218047</v>
      </c>
      <c r="L34" s="57">
        <f t="shared" si="5"/>
        <v>1.1274000000000002</v>
      </c>
      <c r="M34" s="55">
        <f t="shared" si="6"/>
        <v>8.75</v>
      </c>
      <c r="N34" s="19">
        <f t="shared" si="22"/>
        <v>4</v>
      </c>
      <c r="O34" s="19">
        <f t="shared" si="22"/>
        <v>12</v>
      </c>
      <c r="P34" s="21">
        <f t="shared" si="7"/>
        <v>0.45714285714285713</v>
      </c>
      <c r="Q34" s="21">
        <f t="shared" si="8"/>
        <v>1.3714285714285714</v>
      </c>
      <c r="R34" s="175">
        <v>0.5</v>
      </c>
      <c r="S34" s="23">
        <f t="shared" si="9"/>
        <v>1</v>
      </c>
      <c r="T34" s="24">
        <f t="shared" si="1"/>
        <v>1.5</v>
      </c>
      <c r="U34" s="25">
        <f t="shared" si="10"/>
        <v>8.75</v>
      </c>
      <c r="V34" s="19">
        <f t="shared" si="2"/>
        <v>3.51</v>
      </c>
      <c r="W34" s="19">
        <f t="shared" si="23"/>
        <v>6.9499999999999993</v>
      </c>
      <c r="X34" s="19">
        <f t="shared" si="11"/>
        <v>10.459999999999999</v>
      </c>
      <c r="Y34" s="171">
        <v>1.29</v>
      </c>
      <c r="Z34" s="19">
        <f t="shared" si="12"/>
        <v>8.9654999999999987</v>
      </c>
      <c r="AA34" s="26">
        <v>1.33</v>
      </c>
      <c r="AB34" s="26">
        <v>0.17</v>
      </c>
      <c r="AC34" s="20">
        <v>2.25</v>
      </c>
      <c r="AD34" s="27">
        <v>2.9999999999999997E-4</v>
      </c>
      <c r="AE34" s="28">
        <f t="shared" si="13"/>
        <v>0.40923076923076923</v>
      </c>
      <c r="AF34" s="28">
        <f t="shared" si="14"/>
        <v>5.2307692307692312E-2</v>
      </c>
      <c r="AG34" s="29">
        <f t="shared" si="15"/>
        <v>0.11058971029924898</v>
      </c>
      <c r="AH34" s="29">
        <f t="shared" si="16"/>
        <v>6.6957169641892592E-2</v>
      </c>
      <c r="AI34" s="29">
        <f t="shared" si="17"/>
        <v>0</v>
      </c>
      <c r="AJ34" s="60">
        <f t="shared" si="18"/>
        <v>8.6770388080949206E-3</v>
      </c>
      <c r="AK34" s="60">
        <f t="shared" si="19"/>
        <v>4.1101401057100223E-2</v>
      </c>
      <c r="AL34" s="60">
        <f t="shared" si="20"/>
        <v>4.9778439865195145E-2</v>
      </c>
      <c r="AN34" s="171">
        <v>1.29</v>
      </c>
    </row>
    <row r="35" spans="2:40" ht="20.8">
      <c r="B35" s="18" t="s">
        <v>7</v>
      </c>
      <c r="C35" s="88">
        <f t="shared" si="21"/>
        <v>9.5</v>
      </c>
      <c r="D35" s="99">
        <v>10.5</v>
      </c>
      <c r="E35" s="100">
        <f t="shared" si="3"/>
        <v>1</v>
      </c>
      <c r="F35" s="101">
        <v>0.52</v>
      </c>
      <c r="G35" s="83"/>
      <c r="H35" s="179"/>
      <c r="I35" s="178">
        <v>89.7</v>
      </c>
      <c r="J35" s="31">
        <f t="shared" si="4"/>
        <v>0.40365000000000001</v>
      </c>
      <c r="K35" s="31">
        <f t="shared" si="0"/>
        <v>0.1492537313432836</v>
      </c>
      <c r="L35" s="57">
        <f t="shared" si="5"/>
        <v>1.1402000000000001</v>
      </c>
      <c r="M35" s="55">
        <f t="shared" si="6"/>
        <v>10</v>
      </c>
      <c r="N35" s="19">
        <f t="shared" si="22"/>
        <v>4</v>
      </c>
      <c r="O35" s="19">
        <f t="shared" si="22"/>
        <v>12</v>
      </c>
      <c r="P35" s="21">
        <f t="shared" si="7"/>
        <v>0.4</v>
      </c>
      <c r="Q35" s="21">
        <f t="shared" si="8"/>
        <v>1.2</v>
      </c>
      <c r="R35" s="175">
        <v>0.5</v>
      </c>
      <c r="S35" s="23">
        <f t="shared" si="9"/>
        <v>1</v>
      </c>
      <c r="T35" s="24">
        <f t="shared" si="1"/>
        <v>1</v>
      </c>
      <c r="U35" s="25">
        <f t="shared" si="10"/>
        <v>10</v>
      </c>
      <c r="V35" s="19">
        <f>$E$13*S35</f>
        <v>3.51</v>
      </c>
      <c r="W35" s="19">
        <f t="shared" si="23"/>
        <v>7.5849999999999991</v>
      </c>
      <c r="X35" s="19">
        <f t="shared" si="11"/>
        <v>11.094999999999999</v>
      </c>
      <c r="Y35" s="171">
        <v>1.1499999999999999</v>
      </c>
      <c r="Z35" s="19">
        <f t="shared" si="12"/>
        <v>8.7227499999999978</v>
      </c>
      <c r="AA35" s="26">
        <v>1.34</v>
      </c>
      <c r="AB35" s="26">
        <v>0.2</v>
      </c>
      <c r="AC35" s="20">
        <v>2.25</v>
      </c>
      <c r="AD35" s="27">
        <v>2.9999999999999997E-4</v>
      </c>
      <c r="AE35" s="28">
        <f t="shared" si="13"/>
        <v>0.41230769230769232</v>
      </c>
      <c r="AF35" s="28">
        <f t="shared" si="14"/>
        <v>6.1538461538461542E-2</v>
      </c>
      <c r="AG35" s="29">
        <f t="shared" si="15"/>
        <v>6.069784035361165E-2</v>
      </c>
      <c r="AH35" s="29">
        <f t="shared" si="16"/>
        <v>0.10447388109166622</v>
      </c>
      <c r="AI35" s="29">
        <f t="shared" si="17"/>
        <v>0</v>
      </c>
      <c r="AJ35" s="60">
        <f t="shared" si="18"/>
        <v>3.7352517140684096E-3</v>
      </c>
      <c r="AK35" s="60">
        <f t="shared" si="19"/>
        <v>4.3075384819333151E-2</v>
      </c>
      <c r="AL35" s="60">
        <f t="shared" si="20"/>
        <v>4.6810636533401562E-2</v>
      </c>
      <c r="AN35" s="171">
        <v>1.1499999999999999</v>
      </c>
    </row>
    <row r="36" spans="2:40">
      <c r="B36" s="84" t="s">
        <v>8</v>
      </c>
      <c r="C36" s="88">
        <f t="shared" si="21"/>
        <v>10.5</v>
      </c>
      <c r="D36" s="99">
        <v>13.5</v>
      </c>
      <c r="E36" s="100">
        <f t="shared" si="3"/>
        <v>3</v>
      </c>
      <c r="F36" s="99">
        <v>0.56999999999999995</v>
      </c>
      <c r="G36" s="83"/>
      <c r="H36" s="179"/>
      <c r="I36" s="178">
        <v>79.3</v>
      </c>
      <c r="J36" s="31">
        <f t="shared" si="4"/>
        <v>0.35684999999999995</v>
      </c>
      <c r="K36" s="26">
        <v>0.14000000000000001</v>
      </c>
      <c r="L36" s="57">
        <f t="shared" si="5"/>
        <v>0.9738</v>
      </c>
      <c r="M36" s="55">
        <f t="shared" si="6"/>
        <v>12</v>
      </c>
      <c r="N36" s="19">
        <f t="shared" si="22"/>
        <v>4</v>
      </c>
      <c r="O36" s="19">
        <f t="shared" si="22"/>
        <v>12</v>
      </c>
      <c r="P36" s="21">
        <f t="shared" si="7"/>
        <v>0.33333333333333331</v>
      </c>
      <c r="Q36" s="21">
        <f t="shared" si="8"/>
        <v>1</v>
      </c>
      <c r="R36" s="175">
        <v>0.5</v>
      </c>
      <c r="S36" s="23">
        <f t="shared" si="9"/>
        <v>1</v>
      </c>
      <c r="T36" s="24">
        <f t="shared" si="1"/>
        <v>3</v>
      </c>
      <c r="U36" s="25">
        <f t="shared" si="10"/>
        <v>12</v>
      </c>
      <c r="V36" s="19">
        <f t="shared" si="2"/>
        <v>3.51</v>
      </c>
      <c r="W36" s="19">
        <f t="shared" si="23"/>
        <v>8.6999999999999993</v>
      </c>
      <c r="X36" s="19">
        <f t="shared" si="11"/>
        <v>12.209999999999999</v>
      </c>
      <c r="Y36" s="171">
        <v>1</v>
      </c>
      <c r="Z36" s="19">
        <f t="shared" si="12"/>
        <v>8.6999999999999993</v>
      </c>
      <c r="AA36" s="26"/>
      <c r="AB36" s="26"/>
      <c r="AC36" s="20"/>
      <c r="AD36" s="27">
        <v>2.5000000000000001E-4</v>
      </c>
      <c r="AE36" s="28">
        <f>J36</f>
        <v>0.35684999999999995</v>
      </c>
      <c r="AF36" s="151">
        <f>AE36*K36</f>
        <v>4.9958999999999996E-2</v>
      </c>
      <c r="AG36" s="29">
        <f t="shared" si="15"/>
        <v>0</v>
      </c>
      <c r="AH36" s="29">
        <f t="shared" si="16"/>
        <v>0.14719641132626396</v>
      </c>
      <c r="AI36" s="29">
        <f t="shared" si="17"/>
        <v>0</v>
      </c>
      <c r="AJ36" s="60">
        <f t="shared" si="18"/>
        <v>0</v>
      </c>
      <c r="AK36" s="60">
        <f t="shared" si="19"/>
        <v>0.15758111814533188</v>
      </c>
      <c r="AL36" s="60">
        <f t="shared" si="20"/>
        <v>0.15758111814533188</v>
      </c>
      <c r="AN36" s="171">
        <v>1</v>
      </c>
    </row>
    <row r="37" spans="2:40">
      <c r="B37" s="84" t="s">
        <v>9</v>
      </c>
      <c r="C37" s="88">
        <f t="shared" si="21"/>
        <v>13.5</v>
      </c>
      <c r="D37" s="99">
        <v>15</v>
      </c>
      <c r="E37" s="100">
        <f t="shared" si="3"/>
        <v>1.5</v>
      </c>
      <c r="F37" s="99">
        <v>0.65</v>
      </c>
      <c r="G37" s="83"/>
      <c r="H37" s="179"/>
      <c r="I37" s="178">
        <v>46.8</v>
      </c>
      <c r="J37" s="31">
        <f t="shared" si="4"/>
        <v>0.21059999999999998</v>
      </c>
      <c r="K37" s="26">
        <v>0.14000000000000001</v>
      </c>
      <c r="L37" s="57">
        <f t="shared" si="5"/>
        <v>0.45380000000000004</v>
      </c>
      <c r="M37" s="55">
        <f t="shared" si="6"/>
        <v>14.25</v>
      </c>
      <c r="N37" s="19">
        <f t="shared" si="22"/>
        <v>4</v>
      </c>
      <c r="O37" s="19">
        <f t="shared" si="22"/>
        <v>12</v>
      </c>
      <c r="P37" s="21">
        <f t="shared" si="7"/>
        <v>0.2807017543859649</v>
      </c>
      <c r="Q37" s="21">
        <f t="shared" si="8"/>
        <v>0.84210526315789469</v>
      </c>
      <c r="R37" s="175">
        <v>0.5</v>
      </c>
      <c r="S37" s="23">
        <f t="shared" si="9"/>
        <v>1</v>
      </c>
      <c r="T37" s="24">
        <f t="shared" si="1"/>
        <v>1.5</v>
      </c>
      <c r="U37" s="25">
        <f t="shared" si="10"/>
        <v>14.25</v>
      </c>
      <c r="V37" s="19">
        <f t="shared" si="2"/>
        <v>3.51</v>
      </c>
      <c r="W37" s="19">
        <f t="shared" si="23"/>
        <v>10.0425</v>
      </c>
      <c r="X37" s="19">
        <f t="shared" si="11"/>
        <v>13.5525</v>
      </c>
      <c r="Y37" s="171">
        <v>1</v>
      </c>
      <c r="Z37" s="19">
        <f t="shared" si="12"/>
        <v>10.0425</v>
      </c>
      <c r="AA37" s="26"/>
      <c r="AB37" s="26"/>
      <c r="AC37" s="20"/>
      <c r="AD37" s="27">
        <v>2.5000000000000001E-4</v>
      </c>
      <c r="AE37" s="28">
        <f t="shared" ref="AE37:AE39" si="24">J37</f>
        <v>0.21059999999999998</v>
      </c>
      <c r="AF37" s="151">
        <f>AE37*K37</f>
        <v>2.9484E-2</v>
      </c>
      <c r="AG37" s="29">
        <f t="shared" si="15"/>
        <v>0</v>
      </c>
      <c r="AH37" s="29">
        <f t="shared" si="16"/>
        <v>0.1301775755489229</v>
      </c>
      <c r="AI37" s="29">
        <f t="shared" si="17"/>
        <v>0</v>
      </c>
      <c r="AJ37" s="60">
        <f t="shared" si="18"/>
        <v>0</v>
      </c>
      <c r="AK37" s="60">
        <f t="shared" si="19"/>
        <v>4.1123096115904735E-2</v>
      </c>
      <c r="AL37" s="60">
        <f t="shared" si="20"/>
        <v>4.1123096115904735E-2</v>
      </c>
      <c r="AN37" s="171">
        <v>1</v>
      </c>
    </row>
    <row r="38" spans="2:40">
      <c r="B38" s="84" t="s">
        <v>10</v>
      </c>
      <c r="C38" s="88">
        <f t="shared" si="21"/>
        <v>15</v>
      </c>
      <c r="D38" s="99">
        <v>20</v>
      </c>
      <c r="E38" s="100">
        <f t="shared" si="3"/>
        <v>5</v>
      </c>
      <c r="F38" s="99">
        <v>0.8</v>
      </c>
      <c r="G38" s="83"/>
      <c r="H38" s="179"/>
      <c r="I38" s="178">
        <v>38.700000000000003</v>
      </c>
      <c r="J38" s="31">
        <f t="shared" si="4"/>
        <v>0.17415</v>
      </c>
      <c r="K38" s="26">
        <v>0.14000000000000001</v>
      </c>
      <c r="L38" s="57">
        <f t="shared" si="5"/>
        <v>0.3242000000000001</v>
      </c>
      <c r="M38" s="55">
        <f t="shared" si="6"/>
        <v>17.5</v>
      </c>
      <c r="N38" s="19">
        <f t="shared" si="22"/>
        <v>4</v>
      </c>
      <c r="O38" s="19">
        <f t="shared" si="22"/>
        <v>12</v>
      </c>
      <c r="P38" s="21">
        <f t="shared" si="7"/>
        <v>0.22857142857142856</v>
      </c>
      <c r="Q38" s="21">
        <f t="shared" si="8"/>
        <v>0.68571428571428572</v>
      </c>
      <c r="R38" s="175">
        <v>0.5</v>
      </c>
      <c r="S38" s="23">
        <f t="shared" si="9"/>
        <v>1</v>
      </c>
      <c r="T38" s="24">
        <f t="shared" si="1"/>
        <v>5</v>
      </c>
      <c r="U38" s="25">
        <f t="shared" si="10"/>
        <v>17.5</v>
      </c>
      <c r="V38" s="19">
        <f t="shared" si="2"/>
        <v>3.51</v>
      </c>
      <c r="W38" s="19">
        <f t="shared" si="23"/>
        <v>12.530000000000001</v>
      </c>
      <c r="X38" s="19">
        <f t="shared" si="11"/>
        <v>16.04</v>
      </c>
      <c r="Y38" s="171">
        <v>1</v>
      </c>
      <c r="Z38" s="19">
        <f t="shared" si="12"/>
        <v>12.530000000000001</v>
      </c>
      <c r="AA38" s="26"/>
      <c r="AB38" s="26"/>
      <c r="AC38" s="20"/>
      <c r="AD38" s="27">
        <v>2.5000000000000001E-4</v>
      </c>
      <c r="AE38" s="28">
        <f t="shared" si="24"/>
        <v>0.17415</v>
      </c>
      <c r="AF38" s="151">
        <f>AE38*K38</f>
        <v>2.4381000000000003E-2</v>
      </c>
      <c r="AG38" s="29">
        <f t="shared" si="15"/>
        <v>0</v>
      </c>
      <c r="AH38" s="29">
        <f t="shared" si="16"/>
        <v>0.10725329295399463</v>
      </c>
      <c r="AI38" s="29">
        <f t="shared" si="17"/>
        <v>0</v>
      </c>
      <c r="AJ38" s="60">
        <f t="shared" si="18"/>
        <v>0</v>
      </c>
      <c r="AK38" s="60">
        <f t="shared" si="19"/>
        <v>9.3390804839690825E-2</v>
      </c>
      <c r="AL38" s="60">
        <f t="shared" si="20"/>
        <v>9.3390804839690825E-2</v>
      </c>
      <c r="AN38" s="171">
        <v>1</v>
      </c>
    </row>
    <row r="39" spans="2:40" ht="19" thickBot="1">
      <c r="B39" s="84" t="s">
        <v>11</v>
      </c>
      <c r="C39" s="88">
        <f t="shared" si="21"/>
        <v>20</v>
      </c>
      <c r="D39" s="99">
        <v>20</v>
      </c>
      <c r="E39" s="100">
        <f t="shared" si="3"/>
        <v>0</v>
      </c>
      <c r="F39" s="99">
        <v>0.8</v>
      </c>
      <c r="G39" s="83"/>
      <c r="H39" s="179"/>
      <c r="I39" s="178">
        <v>35.6</v>
      </c>
      <c r="J39" s="31">
        <f t="shared" si="4"/>
        <v>0.16019999999999998</v>
      </c>
      <c r="K39" s="26">
        <v>0.14000000000000001</v>
      </c>
      <c r="L39" s="57">
        <f t="shared" si="5"/>
        <v>0.27460000000000001</v>
      </c>
      <c r="M39" s="55">
        <f t="shared" si="6"/>
        <v>20</v>
      </c>
      <c r="N39" s="19">
        <f t="shared" si="22"/>
        <v>4</v>
      </c>
      <c r="O39" s="19">
        <f t="shared" si="22"/>
        <v>12</v>
      </c>
      <c r="P39" s="21">
        <f t="shared" si="7"/>
        <v>0.2</v>
      </c>
      <c r="Q39" s="21">
        <f t="shared" si="8"/>
        <v>0.6</v>
      </c>
      <c r="R39" s="175">
        <v>0.5</v>
      </c>
      <c r="S39" s="23">
        <f t="shared" si="9"/>
        <v>1</v>
      </c>
      <c r="T39" s="24">
        <f t="shared" si="1"/>
        <v>0</v>
      </c>
      <c r="U39" s="25">
        <f t="shared" si="10"/>
        <v>20</v>
      </c>
      <c r="V39" s="19">
        <f t="shared" si="2"/>
        <v>3.51</v>
      </c>
      <c r="W39" s="19">
        <f t="shared" si="23"/>
        <v>14.530000000000001</v>
      </c>
      <c r="X39" s="19">
        <f t="shared" si="11"/>
        <v>18.04</v>
      </c>
      <c r="Y39" s="172">
        <v>1</v>
      </c>
      <c r="Z39" s="19">
        <f t="shared" si="12"/>
        <v>14.530000000000001</v>
      </c>
      <c r="AA39" s="26"/>
      <c r="AB39" s="26"/>
      <c r="AC39" s="20"/>
      <c r="AD39" s="27">
        <v>2.5000000000000001E-4</v>
      </c>
      <c r="AE39" s="28">
        <f t="shared" si="24"/>
        <v>0.16019999999999998</v>
      </c>
      <c r="AF39" s="151">
        <f>AE39*K39</f>
        <v>2.2428E-2</v>
      </c>
      <c r="AG39" s="29">
        <f t="shared" si="15"/>
        <v>0</v>
      </c>
      <c r="AH39" s="29">
        <f t="shared" si="16"/>
        <v>9.3970918907901324E-2</v>
      </c>
      <c r="AI39" s="29">
        <f t="shared" si="17"/>
        <v>0</v>
      </c>
      <c r="AJ39" s="60">
        <f t="shared" si="18"/>
        <v>0</v>
      </c>
      <c r="AK39" s="60">
        <f t="shared" si="19"/>
        <v>0</v>
      </c>
      <c r="AL39" s="60">
        <f t="shared" si="20"/>
        <v>0</v>
      </c>
      <c r="AN39" s="172">
        <v>1</v>
      </c>
    </row>
    <row r="40" spans="2:40">
      <c r="B40" s="32"/>
      <c r="C40" s="19"/>
      <c r="D40" s="26"/>
      <c r="E40" s="31"/>
      <c r="F40" s="26"/>
      <c r="G40" s="83"/>
      <c r="H40" s="11"/>
      <c r="I40" s="33"/>
      <c r="J40" s="17"/>
      <c r="K40" s="17"/>
      <c r="L40" s="33"/>
      <c r="M40" s="55"/>
      <c r="N40" s="19"/>
      <c r="O40" s="19"/>
      <c r="P40" s="21"/>
      <c r="Q40" s="21"/>
      <c r="R40" s="176"/>
      <c r="S40" s="23"/>
      <c r="T40" s="49"/>
      <c r="U40" s="50"/>
      <c r="V40" s="19"/>
      <c r="W40" s="19"/>
      <c r="X40" s="19"/>
      <c r="Y40" s="20"/>
      <c r="Z40" s="19"/>
      <c r="AA40" s="26"/>
      <c r="AB40" s="26"/>
      <c r="AC40" s="20"/>
      <c r="AD40" s="27"/>
      <c r="AE40" s="28"/>
      <c r="AF40" s="28"/>
      <c r="AG40" s="29"/>
      <c r="AH40" s="29"/>
      <c r="AI40" s="29"/>
      <c r="AJ40" s="60"/>
      <c r="AK40" s="60"/>
      <c r="AL40" s="60"/>
    </row>
    <row r="41" spans="2:40">
      <c r="B41" s="47"/>
      <c r="C41" s="34"/>
      <c r="D41" s="35"/>
      <c r="E41" s="36"/>
      <c r="F41" s="35"/>
      <c r="G41" s="11"/>
      <c r="H41" s="11"/>
      <c r="I41" s="11"/>
      <c r="J41" s="11"/>
      <c r="K41" s="11"/>
      <c r="L41" s="11"/>
      <c r="M41" s="38"/>
      <c r="N41" s="34"/>
      <c r="O41" s="34"/>
      <c r="P41" s="38"/>
      <c r="Q41" s="38"/>
      <c r="R41" s="39"/>
      <c r="S41" s="40"/>
      <c r="T41" s="51"/>
      <c r="U41" s="52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3"/>
      <c r="AJ41" s="17"/>
      <c r="AK41" s="17"/>
      <c r="AL41" s="30"/>
    </row>
    <row r="42" spans="2:40">
      <c r="B42" s="48"/>
      <c r="C42" s="41"/>
      <c r="D42" s="42"/>
      <c r="E42" s="43"/>
      <c r="F42" s="42"/>
      <c r="G42" s="11"/>
      <c r="H42" s="11"/>
      <c r="I42" s="11"/>
      <c r="J42" s="11"/>
      <c r="K42" s="11"/>
      <c r="L42" s="11"/>
      <c r="M42" s="44"/>
      <c r="N42" s="41"/>
      <c r="O42" s="41"/>
      <c r="P42" s="44"/>
      <c r="Q42" s="44"/>
      <c r="R42" s="45"/>
      <c r="S42" s="46"/>
      <c r="T42" s="53"/>
      <c r="U42" s="54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33" t="s">
        <v>55</v>
      </c>
      <c r="AJ42" s="60">
        <f>SUM(AJ29:AJ41)</f>
        <v>0.10620419278448112</v>
      </c>
      <c r="AK42" s="60">
        <f>SUM(AK29:AK41)</f>
        <v>0.55332625451492345</v>
      </c>
      <c r="AL42" s="61">
        <f>SUM(AJ42:AK42)</f>
        <v>0.65953044729940458</v>
      </c>
    </row>
    <row r="45" spans="2:40">
      <c r="B45" t="s">
        <v>80</v>
      </c>
    </row>
    <row r="46" spans="2:40">
      <c r="B46" s="108" t="s">
        <v>72</v>
      </c>
      <c r="C46" s="94" t="str">
        <f>I27</f>
        <v>wn</v>
      </c>
      <c r="D46" s="109" t="str">
        <f>J27</f>
        <v>CR</v>
      </c>
      <c r="E46" s="94" t="str">
        <f>K27</f>
        <v>RR/CR</v>
      </c>
      <c r="F46" s="110" t="str">
        <f>L27</f>
        <v>Cr</v>
      </c>
    </row>
    <row r="47" spans="2:40">
      <c r="B47" s="111"/>
      <c r="C47" s="112"/>
      <c r="D47" s="113"/>
      <c r="E47" s="112"/>
      <c r="F47" s="114"/>
    </row>
    <row r="48" spans="2:40">
      <c r="B48" s="18" t="str">
        <f t="shared" ref="B48:B58" si="25">B29</f>
        <v>A0</v>
      </c>
      <c r="C48" s="89">
        <f t="shared" ref="C48:F58" si="26">I29</f>
        <v>57.8</v>
      </c>
      <c r="D48" s="89">
        <f t="shared" si="26"/>
        <v>0.26009999999999994</v>
      </c>
      <c r="E48" s="89">
        <f t="shared" si="26"/>
        <v>0.20634920634920637</v>
      </c>
      <c r="F48" s="89">
        <f t="shared" si="26"/>
        <v>0.62979999999999992</v>
      </c>
    </row>
    <row r="49" spans="1:8">
      <c r="B49" s="18" t="str">
        <f t="shared" si="25"/>
        <v>A1</v>
      </c>
      <c r="C49" s="89">
        <f t="shared" si="26"/>
        <v>68.900000000000006</v>
      </c>
      <c r="D49" s="89">
        <f t="shared" si="26"/>
        <v>0.31004999999999999</v>
      </c>
      <c r="E49" s="89">
        <f t="shared" si="26"/>
        <v>0.16091954022988508</v>
      </c>
      <c r="F49" s="89">
        <f t="shared" si="26"/>
        <v>0.80740000000000012</v>
      </c>
    </row>
    <row r="50" spans="1:8">
      <c r="B50" s="18" t="str">
        <f t="shared" si="25"/>
        <v>A2</v>
      </c>
      <c r="C50" s="89">
        <f t="shared" si="26"/>
        <v>78.7</v>
      </c>
      <c r="D50" s="89">
        <f t="shared" si="26"/>
        <v>0.35414999999999996</v>
      </c>
      <c r="E50" s="89">
        <f t="shared" si="26"/>
        <v>0.11881188118811879</v>
      </c>
      <c r="F50" s="89">
        <f t="shared" si="26"/>
        <v>0.96420000000000017</v>
      </c>
    </row>
    <row r="51" spans="1:8">
      <c r="B51" s="18" t="str">
        <f t="shared" si="25"/>
        <v>A3</v>
      </c>
      <c r="C51" s="89">
        <f t="shared" si="26"/>
        <v>83.4</v>
      </c>
      <c r="D51" s="89">
        <f t="shared" si="26"/>
        <v>0.37530000000000002</v>
      </c>
      <c r="E51" s="89">
        <f t="shared" si="26"/>
        <v>0.14782608695652177</v>
      </c>
      <c r="F51" s="89">
        <f t="shared" si="26"/>
        <v>1.0394000000000001</v>
      </c>
    </row>
    <row r="52" spans="1:8">
      <c r="B52" s="18" t="str">
        <f t="shared" si="25"/>
        <v>A4</v>
      </c>
      <c r="C52" s="89">
        <f t="shared" si="26"/>
        <v>91.2</v>
      </c>
      <c r="D52" s="89">
        <f t="shared" si="26"/>
        <v>0.41039999999999999</v>
      </c>
      <c r="E52" s="89">
        <f t="shared" si="26"/>
        <v>0.128</v>
      </c>
      <c r="F52" s="89">
        <f t="shared" si="26"/>
        <v>1.1642000000000001</v>
      </c>
    </row>
    <row r="53" spans="1:8">
      <c r="B53" s="18" t="str">
        <f t="shared" si="25"/>
        <v>A5</v>
      </c>
      <c r="C53" s="89">
        <f t="shared" si="26"/>
        <v>88.9</v>
      </c>
      <c r="D53" s="89">
        <f t="shared" si="26"/>
        <v>0.40005000000000002</v>
      </c>
      <c r="E53" s="89">
        <f t="shared" si="26"/>
        <v>0.12781954887218047</v>
      </c>
      <c r="F53" s="89">
        <f t="shared" si="26"/>
        <v>1.1274000000000002</v>
      </c>
    </row>
    <row r="54" spans="1:8">
      <c r="B54" s="18" t="str">
        <f t="shared" si="25"/>
        <v>A6</v>
      </c>
      <c r="C54" s="89">
        <f t="shared" si="26"/>
        <v>89.7</v>
      </c>
      <c r="D54" s="89">
        <f t="shared" si="26"/>
        <v>0.40365000000000001</v>
      </c>
      <c r="E54" s="89">
        <f t="shared" si="26"/>
        <v>0.1492537313432836</v>
      </c>
      <c r="F54" s="89">
        <f t="shared" si="26"/>
        <v>1.1402000000000001</v>
      </c>
    </row>
    <row r="55" spans="1:8">
      <c r="B55" s="18" t="str">
        <f t="shared" si="25"/>
        <v>A7</v>
      </c>
      <c r="C55" s="89">
        <f t="shared" si="26"/>
        <v>79.3</v>
      </c>
      <c r="D55" s="89">
        <f t="shared" si="26"/>
        <v>0.35684999999999995</v>
      </c>
      <c r="E55" s="89">
        <f t="shared" si="26"/>
        <v>0.14000000000000001</v>
      </c>
      <c r="F55" s="89">
        <f t="shared" si="26"/>
        <v>0.9738</v>
      </c>
    </row>
    <row r="56" spans="1:8">
      <c r="B56" s="18" t="str">
        <f t="shared" si="25"/>
        <v>A8</v>
      </c>
      <c r="C56" s="89">
        <f t="shared" si="26"/>
        <v>46.8</v>
      </c>
      <c r="D56" s="89">
        <f t="shared" si="26"/>
        <v>0.21059999999999998</v>
      </c>
      <c r="E56" s="89">
        <f t="shared" si="26"/>
        <v>0.14000000000000001</v>
      </c>
      <c r="F56" s="89">
        <f t="shared" si="26"/>
        <v>0.45380000000000004</v>
      </c>
    </row>
    <row r="57" spans="1:8">
      <c r="B57" s="18" t="str">
        <f t="shared" si="25"/>
        <v>A9</v>
      </c>
      <c r="C57" s="89">
        <f t="shared" si="26"/>
        <v>38.700000000000003</v>
      </c>
      <c r="D57" s="89">
        <f t="shared" si="26"/>
        <v>0.17415</v>
      </c>
      <c r="E57" s="89">
        <f t="shared" si="26"/>
        <v>0.14000000000000001</v>
      </c>
      <c r="F57" s="89">
        <f t="shared" si="26"/>
        <v>0.3242000000000001</v>
      </c>
    </row>
    <row r="58" spans="1:8">
      <c r="B58" s="18" t="str">
        <f t="shared" si="25"/>
        <v>A10</v>
      </c>
      <c r="C58" s="89">
        <f t="shared" si="26"/>
        <v>35.6</v>
      </c>
      <c r="D58" s="89">
        <f t="shared" si="26"/>
        <v>0.16019999999999998</v>
      </c>
      <c r="E58" s="89">
        <f t="shared" si="26"/>
        <v>0.14000000000000001</v>
      </c>
      <c r="F58" s="89">
        <f t="shared" si="26"/>
        <v>0.27460000000000001</v>
      </c>
    </row>
    <row r="61" spans="1:8">
      <c r="B61" t="s">
        <v>81</v>
      </c>
    </row>
    <row r="62" spans="1:8">
      <c r="A62" s="94" t="s">
        <v>72</v>
      </c>
      <c r="B62" s="94" t="str">
        <f>M27</f>
        <v>z average</v>
      </c>
      <c r="C62" s="94" t="str">
        <f t="shared" ref="C62:H74" si="27">N27</f>
        <v>a</v>
      </c>
      <c r="D62" s="94" t="str">
        <f t="shared" si="27"/>
        <v>b</v>
      </c>
      <c r="E62" s="94" t="str">
        <f t="shared" si="27"/>
        <v>a/z</v>
      </c>
      <c r="F62" s="94" t="str">
        <f t="shared" si="27"/>
        <v>b/z</v>
      </c>
      <c r="G62" s="94" t="str">
        <f t="shared" si="27"/>
        <v>I</v>
      </c>
      <c r="H62" s="94" t="str">
        <f t="shared" si="27"/>
        <v>I*2</v>
      </c>
    </row>
    <row r="63" spans="1:8">
      <c r="A63" s="107"/>
      <c r="B63" s="96"/>
      <c r="C63" s="96" t="str">
        <f t="shared" si="27"/>
        <v>(m)</v>
      </c>
      <c r="D63" s="96" t="str">
        <f t="shared" si="27"/>
        <v>(m)</v>
      </c>
      <c r="E63" s="96"/>
      <c r="F63" s="96"/>
      <c r="G63" s="96"/>
      <c r="H63" s="96"/>
    </row>
    <row r="64" spans="1:8">
      <c r="A64" s="18" t="str">
        <f>B48</f>
        <v>A0</v>
      </c>
      <c r="B64" s="88">
        <f t="shared" ref="B64:B74" si="28">M29</f>
        <v>1</v>
      </c>
      <c r="C64" s="88">
        <f t="shared" si="27"/>
        <v>4</v>
      </c>
      <c r="D64" s="88">
        <f t="shared" si="27"/>
        <v>12</v>
      </c>
      <c r="E64" s="88">
        <f t="shared" si="27"/>
        <v>4</v>
      </c>
      <c r="F64" s="88">
        <f t="shared" si="27"/>
        <v>12</v>
      </c>
      <c r="G64" s="177">
        <f t="shared" si="27"/>
        <v>0.5</v>
      </c>
      <c r="H64" s="88">
        <f t="shared" si="27"/>
        <v>1</v>
      </c>
    </row>
    <row r="65" spans="1:8">
      <c r="A65" s="18" t="str">
        <f t="shared" ref="A65:A74" si="29">B49</f>
        <v>A1</v>
      </c>
      <c r="B65" s="88">
        <f t="shared" si="28"/>
        <v>2.75</v>
      </c>
      <c r="C65" s="88">
        <f t="shared" si="27"/>
        <v>4</v>
      </c>
      <c r="D65" s="88">
        <f t="shared" si="27"/>
        <v>12</v>
      </c>
      <c r="E65" s="88">
        <f t="shared" si="27"/>
        <v>1.4545454545454546</v>
      </c>
      <c r="F65" s="88">
        <f t="shared" si="27"/>
        <v>4.3636363636363633</v>
      </c>
      <c r="G65" s="177">
        <f t="shared" si="27"/>
        <v>0.5</v>
      </c>
      <c r="H65" s="88">
        <f t="shared" si="27"/>
        <v>1</v>
      </c>
    </row>
    <row r="66" spans="1:8">
      <c r="A66" s="18" t="str">
        <f t="shared" si="29"/>
        <v>A2</v>
      </c>
      <c r="B66" s="88">
        <f t="shared" si="28"/>
        <v>4.25</v>
      </c>
      <c r="C66" s="88">
        <f t="shared" si="27"/>
        <v>4</v>
      </c>
      <c r="D66" s="88">
        <f t="shared" si="27"/>
        <v>12</v>
      </c>
      <c r="E66" s="88">
        <f t="shared" si="27"/>
        <v>0.94117647058823528</v>
      </c>
      <c r="F66" s="88">
        <f t="shared" si="27"/>
        <v>2.8235294117647061</v>
      </c>
      <c r="G66" s="177">
        <f t="shared" si="27"/>
        <v>0.5</v>
      </c>
      <c r="H66" s="88">
        <f t="shared" si="27"/>
        <v>1</v>
      </c>
    </row>
    <row r="67" spans="1:8">
      <c r="A67" s="18" t="str">
        <f t="shared" si="29"/>
        <v>A3</v>
      </c>
      <c r="B67" s="88">
        <f t="shared" si="28"/>
        <v>5.75</v>
      </c>
      <c r="C67" s="88">
        <f t="shared" si="27"/>
        <v>4</v>
      </c>
      <c r="D67" s="88">
        <f t="shared" si="27"/>
        <v>12</v>
      </c>
      <c r="E67" s="88">
        <f t="shared" si="27"/>
        <v>0.69565217391304346</v>
      </c>
      <c r="F67" s="88">
        <f t="shared" si="27"/>
        <v>2.0869565217391304</v>
      </c>
      <c r="G67" s="177">
        <f t="shared" si="27"/>
        <v>0.5</v>
      </c>
      <c r="H67" s="88">
        <f t="shared" si="27"/>
        <v>1</v>
      </c>
    </row>
    <row r="68" spans="1:8">
      <c r="A68" s="18" t="str">
        <f t="shared" si="29"/>
        <v>A4</v>
      </c>
      <c r="B68" s="88">
        <f t="shared" si="28"/>
        <v>7.25</v>
      </c>
      <c r="C68" s="88">
        <f t="shared" si="27"/>
        <v>4</v>
      </c>
      <c r="D68" s="88">
        <f t="shared" si="27"/>
        <v>12</v>
      </c>
      <c r="E68" s="88">
        <f t="shared" si="27"/>
        <v>0.55172413793103448</v>
      </c>
      <c r="F68" s="88">
        <f t="shared" si="27"/>
        <v>1.6551724137931034</v>
      </c>
      <c r="G68" s="177">
        <f t="shared" si="27"/>
        <v>0.5</v>
      </c>
      <c r="H68" s="88">
        <f t="shared" si="27"/>
        <v>1</v>
      </c>
    </row>
    <row r="69" spans="1:8">
      <c r="A69" s="18" t="str">
        <f t="shared" si="29"/>
        <v>A5</v>
      </c>
      <c r="B69" s="88">
        <f t="shared" si="28"/>
        <v>8.75</v>
      </c>
      <c r="C69" s="88">
        <f t="shared" si="27"/>
        <v>4</v>
      </c>
      <c r="D69" s="88">
        <f t="shared" si="27"/>
        <v>12</v>
      </c>
      <c r="E69" s="88">
        <f t="shared" si="27"/>
        <v>0.45714285714285713</v>
      </c>
      <c r="F69" s="88">
        <f t="shared" si="27"/>
        <v>1.3714285714285714</v>
      </c>
      <c r="G69" s="177">
        <f t="shared" si="27"/>
        <v>0.5</v>
      </c>
      <c r="H69" s="88">
        <f t="shared" si="27"/>
        <v>1</v>
      </c>
    </row>
    <row r="70" spans="1:8">
      <c r="A70" s="18" t="str">
        <f t="shared" si="29"/>
        <v>A6</v>
      </c>
      <c r="B70" s="88">
        <f t="shared" si="28"/>
        <v>10</v>
      </c>
      <c r="C70" s="88">
        <f t="shared" si="27"/>
        <v>4</v>
      </c>
      <c r="D70" s="88">
        <f t="shared" si="27"/>
        <v>12</v>
      </c>
      <c r="E70" s="88">
        <f t="shared" si="27"/>
        <v>0.4</v>
      </c>
      <c r="F70" s="88">
        <f t="shared" si="27"/>
        <v>1.2</v>
      </c>
      <c r="G70" s="177">
        <f t="shared" si="27"/>
        <v>0.5</v>
      </c>
      <c r="H70" s="88">
        <f t="shared" si="27"/>
        <v>1</v>
      </c>
    </row>
    <row r="71" spans="1:8">
      <c r="A71" s="18" t="str">
        <f t="shared" si="29"/>
        <v>A7</v>
      </c>
      <c r="B71" s="88">
        <f t="shared" si="28"/>
        <v>12</v>
      </c>
      <c r="C71" s="88">
        <f t="shared" si="27"/>
        <v>4</v>
      </c>
      <c r="D71" s="88">
        <f t="shared" si="27"/>
        <v>12</v>
      </c>
      <c r="E71" s="88">
        <f t="shared" si="27"/>
        <v>0.33333333333333331</v>
      </c>
      <c r="F71" s="88">
        <f t="shared" si="27"/>
        <v>1</v>
      </c>
      <c r="G71" s="177">
        <f t="shared" si="27"/>
        <v>0.5</v>
      </c>
      <c r="H71" s="88">
        <f t="shared" si="27"/>
        <v>1</v>
      </c>
    </row>
    <row r="72" spans="1:8">
      <c r="A72" s="18" t="str">
        <f t="shared" si="29"/>
        <v>A8</v>
      </c>
      <c r="B72" s="88">
        <f t="shared" si="28"/>
        <v>14.25</v>
      </c>
      <c r="C72" s="88">
        <f t="shared" si="27"/>
        <v>4</v>
      </c>
      <c r="D72" s="88">
        <f t="shared" si="27"/>
        <v>12</v>
      </c>
      <c r="E72" s="88">
        <f t="shared" si="27"/>
        <v>0.2807017543859649</v>
      </c>
      <c r="F72" s="88">
        <f t="shared" si="27"/>
        <v>0.84210526315789469</v>
      </c>
      <c r="G72" s="177">
        <f t="shared" si="27"/>
        <v>0.5</v>
      </c>
      <c r="H72" s="88">
        <f t="shared" si="27"/>
        <v>1</v>
      </c>
    </row>
    <row r="73" spans="1:8">
      <c r="A73" s="18" t="str">
        <f t="shared" si="29"/>
        <v>A9</v>
      </c>
      <c r="B73" s="88">
        <f t="shared" si="28"/>
        <v>17.5</v>
      </c>
      <c r="C73" s="88">
        <f t="shared" si="27"/>
        <v>4</v>
      </c>
      <c r="D73" s="88">
        <f t="shared" si="27"/>
        <v>12</v>
      </c>
      <c r="E73" s="88">
        <f t="shared" si="27"/>
        <v>0.22857142857142856</v>
      </c>
      <c r="F73" s="88">
        <f t="shared" si="27"/>
        <v>0.68571428571428572</v>
      </c>
      <c r="G73" s="177">
        <f t="shared" si="27"/>
        <v>0.5</v>
      </c>
      <c r="H73" s="88">
        <f t="shared" si="27"/>
        <v>1</v>
      </c>
    </row>
    <row r="74" spans="1:8">
      <c r="A74" s="18" t="str">
        <f t="shared" si="29"/>
        <v>A10</v>
      </c>
      <c r="B74" s="88">
        <f t="shared" si="28"/>
        <v>20</v>
      </c>
      <c r="C74" s="88">
        <f t="shared" si="27"/>
        <v>4</v>
      </c>
      <c r="D74" s="88">
        <f t="shared" si="27"/>
        <v>12</v>
      </c>
      <c r="E74" s="88">
        <f t="shared" si="27"/>
        <v>0.2</v>
      </c>
      <c r="F74" s="88">
        <f t="shared" si="27"/>
        <v>0.6</v>
      </c>
      <c r="G74" s="177">
        <f t="shared" si="27"/>
        <v>0.5</v>
      </c>
      <c r="H74" s="88">
        <f t="shared" si="27"/>
        <v>1</v>
      </c>
    </row>
    <row r="87" spans="1:10">
      <c r="B87" t="s">
        <v>149</v>
      </c>
    </row>
    <row r="89" spans="1:10">
      <c r="A89" s="94" t="s">
        <v>72</v>
      </c>
      <c r="B89" s="94" t="str">
        <f>T27</f>
        <v>Range H</v>
      </c>
      <c r="C89" s="94" t="str">
        <f t="shared" ref="C89:H101" si="30">U27</f>
        <v>z</v>
      </c>
      <c r="D89" s="94" t="str">
        <f t="shared" si="30"/>
        <v>dP</v>
      </c>
      <c r="E89" s="94" t="str">
        <f t="shared" si="30"/>
        <v>Po'</v>
      </c>
      <c r="F89" s="94" t="str">
        <f t="shared" si="30"/>
        <v>Po'+dP</v>
      </c>
      <c r="G89" s="94" t="str">
        <f t="shared" si="30"/>
        <v>OCR</v>
      </c>
      <c r="H89" s="94" t="str">
        <f t="shared" si="30"/>
        <v>Pm'</v>
      </c>
      <c r="I89" s="166"/>
      <c r="J89" s="166"/>
    </row>
    <row r="90" spans="1:10">
      <c r="A90" s="96"/>
      <c r="B90" s="96" t="str">
        <f t="shared" ref="B90:B101" si="31">T28</f>
        <v>(m)</v>
      </c>
      <c r="C90" s="96" t="str">
        <f t="shared" si="30"/>
        <v>(m)</v>
      </c>
      <c r="D90" s="96" t="str">
        <f t="shared" si="30"/>
        <v>(t/m2)</v>
      </c>
      <c r="E90" s="96" t="str">
        <f t="shared" si="30"/>
        <v>(t/m2)</v>
      </c>
      <c r="F90" s="96" t="str">
        <f t="shared" si="30"/>
        <v>(t/m2)</v>
      </c>
      <c r="G90" s="96"/>
      <c r="H90" s="96" t="str">
        <f t="shared" si="30"/>
        <v>(t/m2)</v>
      </c>
      <c r="I90" s="166"/>
      <c r="J90" s="166"/>
    </row>
    <row r="91" spans="1:10">
      <c r="A91" s="18" t="str">
        <f>A64</f>
        <v>A0</v>
      </c>
      <c r="B91" s="88">
        <f t="shared" si="31"/>
        <v>2</v>
      </c>
      <c r="C91" s="88">
        <f t="shared" si="30"/>
        <v>1</v>
      </c>
      <c r="D91" s="88">
        <f t="shared" si="30"/>
        <v>3.51</v>
      </c>
      <c r="E91" s="88">
        <f t="shared" si="30"/>
        <v>1.63</v>
      </c>
      <c r="F91" s="88">
        <f t="shared" si="30"/>
        <v>5.14</v>
      </c>
      <c r="G91" s="88">
        <f t="shared" si="30"/>
        <v>3.91</v>
      </c>
      <c r="H91" s="88">
        <f t="shared" si="30"/>
        <v>6.3732999999999995</v>
      </c>
      <c r="I91" s="87"/>
      <c r="J91" s="87"/>
    </row>
    <row r="92" spans="1:10">
      <c r="A92" s="18" t="str">
        <f t="shared" ref="A92:A101" si="32">A65</f>
        <v>A1</v>
      </c>
      <c r="B92" s="88">
        <f t="shared" si="31"/>
        <v>1.5</v>
      </c>
      <c r="C92" s="88">
        <f t="shared" si="30"/>
        <v>2.75</v>
      </c>
      <c r="D92" s="88">
        <f t="shared" si="30"/>
        <v>3.51</v>
      </c>
      <c r="E92" s="88">
        <f t="shared" si="30"/>
        <v>3.7249999999999996</v>
      </c>
      <c r="F92" s="88">
        <f t="shared" si="30"/>
        <v>7.2349999999999994</v>
      </c>
      <c r="G92" s="88">
        <f t="shared" si="30"/>
        <v>2.42</v>
      </c>
      <c r="H92" s="88">
        <f t="shared" si="30"/>
        <v>9.0144999999999982</v>
      </c>
      <c r="I92" s="87"/>
      <c r="J92" s="87"/>
    </row>
    <row r="93" spans="1:10">
      <c r="A93" s="18" t="str">
        <f t="shared" si="32"/>
        <v>A2</v>
      </c>
      <c r="B93" s="88">
        <f t="shared" si="31"/>
        <v>1.5</v>
      </c>
      <c r="C93" s="88">
        <f t="shared" si="30"/>
        <v>4.25</v>
      </c>
      <c r="D93" s="88">
        <f t="shared" si="30"/>
        <v>3.51</v>
      </c>
      <c r="E93" s="88">
        <f t="shared" si="30"/>
        <v>4.6099999999999994</v>
      </c>
      <c r="F93" s="88">
        <f t="shared" si="30"/>
        <v>8.1199999999999992</v>
      </c>
      <c r="G93" s="88">
        <f t="shared" si="30"/>
        <v>1.38</v>
      </c>
      <c r="H93" s="88">
        <f t="shared" si="30"/>
        <v>6.3617999999999988</v>
      </c>
      <c r="I93" s="87"/>
      <c r="J93" s="87"/>
    </row>
    <row r="94" spans="1:10">
      <c r="A94" s="18" t="str">
        <f t="shared" si="32"/>
        <v>A3</v>
      </c>
      <c r="B94" s="88">
        <f t="shared" si="31"/>
        <v>1.5</v>
      </c>
      <c r="C94" s="88">
        <f t="shared" si="30"/>
        <v>5.75</v>
      </c>
      <c r="D94" s="88">
        <f t="shared" si="30"/>
        <v>3.51</v>
      </c>
      <c r="E94" s="88">
        <f t="shared" si="30"/>
        <v>5.419999999999999</v>
      </c>
      <c r="F94" s="88">
        <f t="shared" si="30"/>
        <v>8.93</v>
      </c>
      <c r="G94" s="88">
        <f t="shared" si="30"/>
        <v>1.34</v>
      </c>
      <c r="H94" s="88">
        <f t="shared" si="30"/>
        <v>7.2627999999999995</v>
      </c>
      <c r="I94" s="87"/>
      <c r="J94" s="87"/>
    </row>
    <row r="95" spans="1:10">
      <c r="A95" s="18" t="str">
        <f t="shared" si="32"/>
        <v>A4</v>
      </c>
      <c r="B95" s="88">
        <f t="shared" si="31"/>
        <v>1.5</v>
      </c>
      <c r="C95" s="88">
        <f t="shared" si="30"/>
        <v>7.25</v>
      </c>
      <c r="D95" s="88">
        <f t="shared" si="30"/>
        <v>3.51</v>
      </c>
      <c r="E95" s="88">
        <f t="shared" si="30"/>
        <v>6.192499999999999</v>
      </c>
      <c r="F95" s="88">
        <f t="shared" si="30"/>
        <v>9.7024999999999988</v>
      </c>
      <c r="G95" s="88">
        <f t="shared" si="30"/>
        <v>1.1599999999999999</v>
      </c>
      <c r="H95" s="88">
        <f t="shared" si="30"/>
        <v>7.1832999999999982</v>
      </c>
      <c r="I95" s="87"/>
      <c r="J95" s="87"/>
    </row>
    <row r="96" spans="1:10">
      <c r="A96" s="18" t="str">
        <f t="shared" si="32"/>
        <v>A5</v>
      </c>
      <c r="B96" s="88">
        <f t="shared" si="31"/>
        <v>1.5</v>
      </c>
      <c r="C96" s="88">
        <f t="shared" si="30"/>
        <v>8.75</v>
      </c>
      <c r="D96" s="88">
        <f t="shared" si="30"/>
        <v>3.51</v>
      </c>
      <c r="E96" s="88">
        <f t="shared" si="30"/>
        <v>6.9499999999999993</v>
      </c>
      <c r="F96" s="88">
        <f t="shared" si="30"/>
        <v>10.459999999999999</v>
      </c>
      <c r="G96" s="88">
        <f t="shared" si="30"/>
        <v>1.29</v>
      </c>
      <c r="H96" s="88">
        <f t="shared" si="30"/>
        <v>8.9654999999999987</v>
      </c>
      <c r="I96" s="87"/>
      <c r="J96" s="87"/>
    </row>
    <row r="97" spans="1:10">
      <c r="A97" s="18" t="str">
        <f t="shared" si="32"/>
        <v>A6</v>
      </c>
      <c r="B97" s="88">
        <f t="shared" si="31"/>
        <v>1</v>
      </c>
      <c r="C97" s="88">
        <f t="shared" si="30"/>
        <v>10</v>
      </c>
      <c r="D97" s="88">
        <f t="shared" si="30"/>
        <v>3.51</v>
      </c>
      <c r="E97" s="88">
        <f t="shared" si="30"/>
        <v>7.5849999999999991</v>
      </c>
      <c r="F97" s="88">
        <f t="shared" si="30"/>
        <v>11.094999999999999</v>
      </c>
      <c r="G97" s="88">
        <f t="shared" si="30"/>
        <v>1.1499999999999999</v>
      </c>
      <c r="H97" s="88">
        <f t="shared" si="30"/>
        <v>8.7227499999999978</v>
      </c>
      <c r="I97" s="87"/>
      <c r="J97" s="87"/>
    </row>
    <row r="98" spans="1:10">
      <c r="A98" s="18" t="str">
        <f t="shared" si="32"/>
        <v>A7</v>
      </c>
      <c r="B98" s="88">
        <f t="shared" si="31"/>
        <v>3</v>
      </c>
      <c r="C98" s="88">
        <f t="shared" si="30"/>
        <v>12</v>
      </c>
      <c r="D98" s="88">
        <f t="shared" si="30"/>
        <v>3.51</v>
      </c>
      <c r="E98" s="88">
        <f t="shared" si="30"/>
        <v>8.6999999999999993</v>
      </c>
      <c r="F98" s="88">
        <f t="shared" si="30"/>
        <v>12.209999999999999</v>
      </c>
      <c r="G98" s="88">
        <f t="shared" si="30"/>
        <v>1</v>
      </c>
      <c r="H98" s="88">
        <f t="shared" si="30"/>
        <v>8.6999999999999993</v>
      </c>
      <c r="I98" s="87"/>
      <c r="J98" s="87"/>
    </row>
    <row r="99" spans="1:10">
      <c r="A99" s="18" t="str">
        <f t="shared" si="32"/>
        <v>A8</v>
      </c>
      <c r="B99" s="88">
        <f t="shared" si="31"/>
        <v>1.5</v>
      </c>
      <c r="C99" s="88">
        <f t="shared" si="30"/>
        <v>14.25</v>
      </c>
      <c r="D99" s="88">
        <f t="shared" si="30"/>
        <v>3.51</v>
      </c>
      <c r="E99" s="88">
        <f t="shared" si="30"/>
        <v>10.0425</v>
      </c>
      <c r="F99" s="88">
        <f t="shared" si="30"/>
        <v>13.5525</v>
      </c>
      <c r="G99" s="88">
        <f t="shared" si="30"/>
        <v>1</v>
      </c>
      <c r="H99" s="88">
        <f t="shared" si="30"/>
        <v>10.0425</v>
      </c>
      <c r="I99" s="87"/>
      <c r="J99" s="87"/>
    </row>
    <row r="100" spans="1:10">
      <c r="A100" s="18" t="str">
        <f t="shared" si="32"/>
        <v>A9</v>
      </c>
      <c r="B100" s="88">
        <f t="shared" si="31"/>
        <v>5</v>
      </c>
      <c r="C100" s="88">
        <f t="shared" si="30"/>
        <v>17.5</v>
      </c>
      <c r="D100" s="88">
        <f t="shared" si="30"/>
        <v>3.51</v>
      </c>
      <c r="E100" s="88">
        <f t="shared" si="30"/>
        <v>12.530000000000001</v>
      </c>
      <c r="F100" s="88">
        <f t="shared" si="30"/>
        <v>16.04</v>
      </c>
      <c r="G100" s="88">
        <f t="shared" si="30"/>
        <v>1</v>
      </c>
      <c r="H100" s="88">
        <f t="shared" si="30"/>
        <v>12.530000000000001</v>
      </c>
      <c r="I100" s="87"/>
      <c r="J100" s="87"/>
    </row>
    <row r="101" spans="1:10">
      <c r="A101" s="18" t="str">
        <f t="shared" si="32"/>
        <v>A10</v>
      </c>
      <c r="B101" s="88">
        <f t="shared" si="31"/>
        <v>0</v>
      </c>
      <c r="C101" s="88">
        <f t="shared" si="30"/>
        <v>20</v>
      </c>
      <c r="D101" s="88">
        <f t="shared" si="30"/>
        <v>3.51</v>
      </c>
      <c r="E101" s="88">
        <f t="shared" si="30"/>
        <v>14.530000000000001</v>
      </c>
      <c r="F101" s="88">
        <f t="shared" si="30"/>
        <v>18.04</v>
      </c>
      <c r="G101" s="88">
        <f t="shared" si="30"/>
        <v>1</v>
      </c>
      <c r="H101" s="88">
        <f t="shared" si="30"/>
        <v>14.530000000000001</v>
      </c>
      <c r="I101" s="87"/>
      <c r="J101" s="87"/>
    </row>
    <row r="102" spans="1:10">
      <c r="B102" s="87"/>
      <c r="C102" s="87"/>
      <c r="D102" s="87"/>
      <c r="E102" s="87"/>
      <c r="F102" s="87"/>
      <c r="G102" s="87"/>
      <c r="H102" s="87"/>
      <c r="I102" s="87"/>
      <c r="J102" s="87"/>
    </row>
    <row r="103" spans="1:10"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0">
      <c r="B105" t="s">
        <v>150</v>
      </c>
    </row>
    <row r="106" spans="1:10">
      <c r="A106" s="94" t="s">
        <v>72</v>
      </c>
      <c r="B106" s="94" t="str">
        <f>AA27</f>
        <v>Cc</v>
      </c>
      <c r="C106" s="94" t="str">
        <f t="shared" ref="C106:G118" si="33">AB27</f>
        <v>Cr</v>
      </c>
      <c r="D106" s="94" t="str">
        <f t="shared" si="33"/>
        <v>e0</v>
      </c>
      <c r="E106" s="94" t="str">
        <f t="shared" si="33"/>
        <v>cv</v>
      </c>
      <c r="F106" s="94" t="s">
        <v>67</v>
      </c>
      <c r="G106" s="94" t="s">
        <v>82</v>
      </c>
    </row>
    <row r="107" spans="1:10">
      <c r="A107" s="96"/>
      <c r="B107" s="107"/>
      <c r="C107" s="107"/>
      <c r="D107" s="107"/>
      <c r="E107" s="96" t="str">
        <f t="shared" si="33"/>
        <v>(cm2/s)</v>
      </c>
      <c r="F107" s="96" t="str">
        <f>AE27</f>
        <v>Cc/(1+e0)</v>
      </c>
      <c r="G107" s="96" t="str">
        <f>AF27</f>
        <v>Cr/(1+e0)</v>
      </c>
    </row>
    <row r="108" spans="1:10">
      <c r="A108" s="18" t="str">
        <f>A91</f>
        <v>A0</v>
      </c>
      <c r="B108" s="88">
        <f t="shared" ref="B108:D118" si="34">AA29</f>
        <v>0.63</v>
      </c>
      <c r="C108" s="88">
        <f t="shared" si="34"/>
        <v>0.13</v>
      </c>
      <c r="D108" s="88">
        <f t="shared" si="34"/>
        <v>1.7</v>
      </c>
      <c r="E108" s="131">
        <f t="shared" si="33"/>
        <v>8.9999999999999998E-4</v>
      </c>
      <c r="F108" s="88">
        <f t="shared" si="33"/>
        <v>0.23333333333333331</v>
      </c>
      <c r="G108" s="88">
        <f t="shared" si="33"/>
        <v>4.8148148148148148E-2</v>
      </c>
    </row>
    <row r="109" spans="1:10">
      <c r="A109" s="18" t="str">
        <f t="shared" ref="A109:A117" si="35">A92</f>
        <v>A1</v>
      </c>
      <c r="B109" s="88">
        <f t="shared" si="34"/>
        <v>0.87</v>
      </c>
      <c r="C109" s="88">
        <f t="shared" si="34"/>
        <v>0.14000000000000001</v>
      </c>
      <c r="D109" s="88">
        <f t="shared" si="34"/>
        <v>1.7</v>
      </c>
      <c r="E109" s="131">
        <f t="shared" si="33"/>
        <v>6.9999999999999999E-4</v>
      </c>
      <c r="F109" s="88">
        <f t="shared" si="33"/>
        <v>0.32222222222222219</v>
      </c>
      <c r="G109" s="88">
        <f t="shared" si="33"/>
        <v>5.185185185185185E-2</v>
      </c>
    </row>
    <row r="110" spans="1:10">
      <c r="A110" s="18" t="str">
        <f t="shared" si="35"/>
        <v>A2</v>
      </c>
      <c r="B110" s="88">
        <f t="shared" si="34"/>
        <v>1.01</v>
      </c>
      <c r="C110" s="88">
        <f t="shared" si="34"/>
        <v>0.12</v>
      </c>
      <c r="D110" s="88">
        <f t="shared" si="34"/>
        <v>2.1</v>
      </c>
      <c r="E110" s="131">
        <f t="shared" si="33"/>
        <v>2.5000000000000001E-4</v>
      </c>
      <c r="F110" s="88">
        <f t="shared" si="33"/>
        <v>0.32580645161290323</v>
      </c>
      <c r="G110" s="88">
        <f t="shared" si="33"/>
        <v>3.8709677419354833E-2</v>
      </c>
    </row>
    <row r="111" spans="1:10">
      <c r="A111" s="18" t="str">
        <f t="shared" si="35"/>
        <v>A3</v>
      </c>
      <c r="B111" s="88">
        <f t="shared" si="34"/>
        <v>1.1499999999999999</v>
      </c>
      <c r="C111" s="88">
        <f t="shared" si="34"/>
        <v>0.17</v>
      </c>
      <c r="D111" s="88">
        <f t="shared" si="34"/>
        <v>2.1</v>
      </c>
      <c r="E111" s="131">
        <f t="shared" si="33"/>
        <v>2.5000000000000001E-4</v>
      </c>
      <c r="F111" s="88">
        <f t="shared" si="33"/>
        <v>0.37096774193548382</v>
      </c>
      <c r="G111" s="88">
        <f t="shared" si="33"/>
        <v>5.4838709677419356E-2</v>
      </c>
    </row>
    <row r="112" spans="1:10">
      <c r="A112" s="18" t="str">
        <f t="shared" si="35"/>
        <v>A4</v>
      </c>
      <c r="B112" s="88">
        <f t="shared" si="34"/>
        <v>1.25</v>
      </c>
      <c r="C112" s="88">
        <f t="shared" si="34"/>
        <v>0.16</v>
      </c>
      <c r="D112" s="88">
        <f t="shared" si="34"/>
        <v>2.25</v>
      </c>
      <c r="E112" s="131">
        <f t="shared" si="33"/>
        <v>2.0000000000000001E-4</v>
      </c>
      <c r="F112" s="88">
        <f t="shared" si="33"/>
        <v>0.38461538461538464</v>
      </c>
      <c r="G112" s="88">
        <f t="shared" si="33"/>
        <v>4.9230769230769231E-2</v>
      </c>
    </row>
    <row r="113" spans="1:7">
      <c r="A113" s="18" t="str">
        <f t="shared" si="35"/>
        <v>A5</v>
      </c>
      <c r="B113" s="88">
        <f t="shared" si="34"/>
        <v>1.33</v>
      </c>
      <c r="C113" s="88">
        <f t="shared" si="34"/>
        <v>0.17</v>
      </c>
      <c r="D113" s="88">
        <f t="shared" si="34"/>
        <v>2.25</v>
      </c>
      <c r="E113" s="131">
        <f t="shared" si="33"/>
        <v>2.9999999999999997E-4</v>
      </c>
      <c r="F113" s="88">
        <f t="shared" si="33"/>
        <v>0.40923076923076923</v>
      </c>
      <c r="G113" s="88">
        <f t="shared" si="33"/>
        <v>5.2307692307692312E-2</v>
      </c>
    </row>
    <row r="114" spans="1:7">
      <c r="A114" s="18" t="str">
        <f t="shared" si="35"/>
        <v>A6</v>
      </c>
      <c r="B114" s="88">
        <f t="shared" si="34"/>
        <v>1.34</v>
      </c>
      <c r="C114" s="88">
        <f t="shared" si="34"/>
        <v>0.2</v>
      </c>
      <c r="D114" s="88">
        <f t="shared" si="34"/>
        <v>2.25</v>
      </c>
      <c r="E114" s="131">
        <f t="shared" si="33"/>
        <v>2.9999999999999997E-4</v>
      </c>
      <c r="F114" s="88">
        <f t="shared" si="33"/>
        <v>0.41230769230769232</v>
      </c>
      <c r="G114" s="88">
        <f t="shared" si="33"/>
        <v>6.1538461538461542E-2</v>
      </c>
    </row>
    <row r="115" spans="1:7">
      <c r="A115" s="18" t="str">
        <f t="shared" si="35"/>
        <v>A7</v>
      </c>
      <c r="B115" s="88">
        <f t="shared" si="34"/>
        <v>0</v>
      </c>
      <c r="C115" s="88">
        <f t="shared" si="34"/>
        <v>0</v>
      </c>
      <c r="D115" s="88">
        <f t="shared" si="34"/>
        <v>0</v>
      </c>
      <c r="E115" s="131">
        <f t="shared" si="33"/>
        <v>2.5000000000000001E-4</v>
      </c>
      <c r="F115" s="88">
        <f t="shared" si="33"/>
        <v>0.35684999999999995</v>
      </c>
      <c r="G115" s="88">
        <f t="shared" si="33"/>
        <v>4.9958999999999996E-2</v>
      </c>
    </row>
    <row r="116" spans="1:7">
      <c r="A116" s="18" t="str">
        <f t="shared" si="35"/>
        <v>A8</v>
      </c>
      <c r="B116" s="88">
        <f t="shared" si="34"/>
        <v>0</v>
      </c>
      <c r="C116" s="88">
        <f t="shared" si="34"/>
        <v>0</v>
      </c>
      <c r="D116" s="88">
        <f t="shared" si="34"/>
        <v>0</v>
      </c>
      <c r="E116" s="131">
        <f t="shared" si="33"/>
        <v>2.5000000000000001E-4</v>
      </c>
      <c r="F116" s="88">
        <f t="shared" si="33"/>
        <v>0.21059999999999998</v>
      </c>
      <c r="G116" s="88">
        <f t="shared" si="33"/>
        <v>2.9484E-2</v>
      </c>
    </row>
    <row r="117" spans="1:7">
      <c r="A117" s="18" t="str">
        <f t="shared" si="35"/>
        <v>A9</v>
      </c>
      <c r="B117" s="88">
        <f t="shared" si="34"/>
        <v>0</v>
      </c>
      <c r="C117" s="88">
        <f t="shared" si="34"/>
        <v>0</v>
      </c>
      <c r="D117" s="88">
        <f t="shared" si="34"/>
        <v>0</v>
      </c>
      <c r="E117" s="131">
        <f t="shared" si="33"/>
        <v>2.5000000000000001E-4</v>
      </c>
      <c r="F117" s="88">
        <f t="shared" si="33"/>
        <v>0.17415</v>
      </c>
      <c r="G117" s="88">
        <f t="shared" si="33"/>
        <v>2.4381000000000003E-2</v>
      </c>
    </row>
    <row r="118" spans="1:7">
      <c r="A118" s="18" t="str">
        <f>A101</f>
        <v>A10</v>
      </c>
      <c r="B118" s="88">
        <f t="shared" si="34"/>
        <v>0</v>
      </c>
      <c r="C118" s="88">
        <f t="shared" si="34"/>
        <v>0</v>
      </c>
      <c r="D118" s="88">
        <f t="shared" si="34"/>
        <v>0</v>
      </c>
      <c r="E118" s="131">
        <f t="shared" si="33"/>
        <v>2.5000000000000001E-4</v>
      </c>
      <c r="F118" s="88">
        <f t="shared" si="33"/>
        <v>0.16019999999999998</v>
      </c>
      <c r="G118" s="88">
        <f t="shared" si="33"/>
        <v>2.2428E-2</v>
      </c>
    </row>
    <row r="129" spans="1:7">
      <c r="B129" t="s">
        <v>151</v>
      </c>
    </row>
    <row r="130" spans="1:7" ht="55.7">
      <c r="A130" s="94" t="s">
        <v>72</v>
      </c>
      <c r="B130" s="95" t="s">
        <v>83</v>
      </c>
      <c r="C130" s="95" t="s">
        <v>84</v>
      </c>
      <c r="D130" s="95" t="s">
        <v>85</v>
      </c>
      <c r="E130" s="95" t="s">
        <v>88</v>
      </c>
      <c r="F130" s="95" t="s">
        <v>86</v>
      </c>
      <c r="G130" s="95" t="s">
        <v>87</v>
      </c>
    </row>
    <row r="131" spans="1:7">
      <c r="A131" s="96"/>
      <c r="B131" s="97"/>
      <c r="C131" s="97"/>
      <c r="D131" s="97"/>
      <c r="E131" s="98" t="s">
        <v>44</v>
      </c>
      <c r="F131" s="98" t="s">
        <v>44</v>
      </c>
      <c r="G131" s="98" t="s">
        <v>44</v>
      </c>
    </row>
    <row r="132" spans="1:7">
      <c r="A132" s="163" t="str">
        <f>A108</f>
        <v>A0</v>
      </c>
      <c r="B132" s="88">
        <f>AG29</f>
        <v>0</v>
      </c>
      <c r="C132" s="88">
        <f t="shared" ref="C132:G142" si="36">AH29</f>
        <v>0</v>
      </c>
      <c r="D132" s="88">
        <f t="shared" si="36"/>
        <v>0.49877551459131791</v>
      </c>
      <c r="E132" s="88">
        <f t="shared" si="36"/>
        <v>4.803023473842321E-2</v>
      </c>
      <c r="F132" s="88">
        <f t="shared" si="36"/>
        <v>0</v>
      </c>
      <c r="G132" s="88">
        <f t="shared" si="36"/>
        <v>4.803023473842321E-2</v>
      </c>
    </row>
    <row r="133" spans="1:7">
      <c r="A133" s="163" t="str">
        <f t="shared" ref="A133:A142" si="37">A109</f>
        <v>A1</v>
      </c>
      <c r="B133" s="88">
        <f t="shared" ref="B133:B142" si="38">AG30</f>
        <v>0</v>
      </c>
      <c r="C133" s="88">
        <f t="shared" si="36"/>
        <v>0</v>
      </c>
      <c r="D133" s="88">
        <f t="shared" si="36"/>
        <v>0.28831225837074459</v>
      </c>
      <c r="E133" s="88">
        <f t="shared" si="36"/>
        <v>2.2424286762169024E-2</v>
      </c>
      <c r="F133" s="88">
        <f t="shared" si="36"/>
        <v>0</v>
      </c>
      <c r="G133" s="88">
        <f t="shared" si="36"/>
        <v>2.2424286762169024E-2</v>
      </c>
    </row>
    <row r="134" spans="1:7">
      <c r="A134" s="163" t="str">
        <f t="shared" si="37"/>
        <v>A2</v>
      </c>
      <c r="B134" s="88">
        <f t="shared" si="38"/>
        <v>0.13987908640123647</v>
      </c>
      <c r="C134" s="88">
        <f t="shared" si="36"/>
        <v>0.10597601745029066</v>
      </c>
      <c r="D134" s="88">
        <f t="shared" si="36"/>
        <v>0</v>
      </c>
      <c r="E134" s="88">
        <f t="shared" si="36"/>
        <v>8.1220114684588916E-3</v>
      </c>
      <c r="F134" s="88">
        <f t="shared" si="36"/>
        <v>5.179150530231947E-2</v>
      </c>
      <c r="G134" s="88">
        <f t="shared" si="36"/>
        <v>5.9913516770778358E-2</v>
      </c>
    </row>
    <row r="135" spans="1:7">
      <c r="A135" s="163" t="str">
        <f t="shared" si="37"/>
        <v>A3</v>
      </c>
      <c r="B135" s="88">
        <f t="shared" si="38"/>
        <v>0.12710479836480765</v>
      </c>
      <c r="C135" s="88">
        <f t="shared" si="36"/>
        <v>8.9747373985351861E-2</v>
      </c>
      <c r="D135" s="88">
        <f t="shared" si="36"/>
        <v>0</v>
      </c>
      <c r="E135" s="88">
        <f t="shared" si="36"/>
        <v>1.0455394704201919E-2</v>
      </c>
      <c r="F135" s="88">
        <f t="shared" si="36"/>
        <v>4.9940071007978044E-2</v>
      </c>
      <c r="G135" s="88">
        <f t="shared" si="36"/>
        <v>6.0395465712179963E-2</v>
      </c>
    </row>
    <row r="136" spans="1:7">
      <c r="A136" s="163" t="str">
        <f t="shared" si="37"/>
        <v>A4</v>
      </c>
      <c r="B136" s="88">
        <f t="shared" si="38"/>
        <v>6.445798922691845E-2</v>
      </c>
      <c r="C136" s="88">
        <f t="shared" si="36"/>
        <v>0.13055964692725949</v>
      </c>
      <c r="D136" s="88">
        <f t="shared" si="36"/>
        <v>0</v>
      </c>
      <c r="E136" s="88">
        <f t="shared" si="36"/>
        <v>4.7599745890647468E-3</v>
      </c>
      <c r="F136" s="88">
        <f t="shared" si="36"/>
        <v>7.5322873227265094E-2</v>
      </c>
      <c r="G136" s="88">
        <f t="shared" si="36"/>
        <v>8.0082847816329836E-2</v>
      </c>
    </row>
    <row r="137" spans="1:7">
      <c r="A137" s="163" t="str">
        <f t="shared" si="37"/>
        <v>A5</v>
      </c>
      <c r="B137" s="88">
        <f t="shared" si="38"/>
        <v>0.11058971029924898</v>
      </c>
      <c r="C137" s="88">
        <f t="shared" si="36"/>
        <v>6.6957169641892592E-2</v>
      </c>
      <c r="D137" s="88">
        <f t="shared" si="36"/>
        <v>0</v>
      </c>
      <c r="E137" s="88">
        <f t="shared" si="36"/>
        <v>8.6770388080949206E-3</v>
      </c>
      <c r="F137" s="88">
        <f t="shared" si="36"/>
        <v>4.1101401057100223E-2</v>
      </c>
      <c r="G137" s="88">
        <f t="shared" si="36"/>
        <v>4.9778439865195145E-2</v>
      </c>
    </row>
    <row r="138" spans="1:7">
      <c r="A138" s="163" t="str">
        <f t="shared" si="37"/>
        <v>A6</v>
      </c>
      <c r="B138" s="88">
        <f t="shared" si="38"/>
        <v>6.069784035361165E-2</v>
      </c>
      <c r="C138" s="88">
        <f t="shared" si="36"/>
        <v>0.10447388109166622</v>
      </c>
      <c r="D138" s="88">
        <f t="shared" si="36"/>
        <v>0</v>
      </c>
      <c r="E138" s="88">
        <f t="shared" si="36"/>
        <v>3.7352517140684096E-3</v>
      </c>
      <c r="F138" s="88">
        <f t="shared" si="36"/>
        <v>4.3075384819333151E-2</v>
      </c>
      <c r="G138" s="88">
        <f t="shared" si="36"/>
        <v>4.6810636533401562E-2</v>
      </c>
    </row>
    <row r="139" spans="1:7">
      <c r="A139" s="163" t="str">
        <f t="shared" si="37"/>
        <v>A7</v>
      </c>
      <c r="B139" s="88">
        <f t="shared" si="38"/>
        <v>0</v>
      </c>
      <c r="C139" s="88">
        <f t="shared" si="36"/>
        <v>0.14719641132626396</v>
      </c>
      <c r="D139" s="88">
        <f t="shared" si="36"/>
        <v>0</v>
      </c>
      <c r="E139" s="88">
        <f t="shared" si="36"/>
        <v>0</v>
      </c>
      <c r="F139" s="88">
        <f t="shared" si="36"/>
        <v>0.15758111814533188</v>
      </c>
      <c r="G139" s="88">
        <f t="shared" si="36"/>
        <v>0.15758111814533188</v>
      </c>
    </row>
    <row r="140" spans="1:7">
      <c r="A140" s="163" t="str">
        <f t="shared" si="37"/>
        <v>A8</v>
      </c>
      <c r="B140" s="88">
        <f t="shared" si="38"/>
        <v>0</v>
      </c>
      <c r="C140" s="88">
        <f t="shared" si="36"/>
        <v>0.1301775755489229</v>
      </c>
      <c r="D140" s="88">
        <f t="shared" si="36"/>
        <v>0</v>
      </c>
      <c r="E140" s="88">
        <f t="shared" si="36"/>
        <v>0</v>
      </c>
      <c r="F140" s="88">
        <f t="shared" si="36"/>
        <v>4.1123096115904735E-2</v>
      </c>
      <c r="G140" s="88">
        <f t="shared" si="36"/>
        <v>4.1123096115904735E-2</v>
      </c>
    </row>
    <row r="141" spans="1:7">
      <c r="A141" s="163" t="str">
        <f t="shared" si="37"/>
        <v>A9</v>
      </c>
      <c r="B141" s="88">
        <f t="shared" si="38"/>
        <v>0</v>
      </c>
      <c r="C141" s="88">
        <f t="shared" si="36"/>
        <v>0.10725329295399463</v>
      </c>
      <c r="D141" s="88">
        <f t="shared" si="36"/>
        <v>0</v>
      </c>
      <c r="E141" s="88">
        <f t="shared" si="36"/>
        <v>0</v>
      </c>
      <c r="F141" s="88">
        <f t="shared" si="36"/>
        <v>9.3390804839690825E-2</v>
      </c>
      <c r="G141" s="88">
        <f t="shared" si="36"/>
        <v>9.3390804839690825E-2</v>
      </c>
    </row>
    <row r="142" spans="1:7">
      <c r="A142" s="163" t="str">
        <f t="shared" si="37"/>
        <v>A10</v>
      </c>
      <c r="B142" s="88">
        <f t="shared" si="38"/>
        <v>0</v>
      </c>
      <c r="C142" s="88">
        <f t="shared" si="36"/>
        <v>9.3970918907901324E-2</v>
      </c>
      <c r="D142" s="88">
        <f t="shared" si="36"/>
        <v>0</v>
      </c>
      <c r="E142" s="88">
        <f t="shared" si="36"/>
        <v>0</v>
      </c>
      <c r="F142" s="88">
        <f t="shared" si="36"/>
        <v>0</v>
      </c>
      <c r="G142" s="88">
        <f t="shared" si="36"/>
        <v>0</v>
      </c>
    </row>
    <row r="143" spans="1:7">
      <c r="B143" s="90"/>
      <c r="C143" s="90"/>
      <c r="D143" s="90"/>
      <c r="E143" s="90"/>
      <c r="F143" s="90"/>
      <c r="G143" s="90"/>
    </row>
    <row r="144" spans="1:7">
      <c r="B144" s="91" t="s">
        <v>89</v>
      </c>
      <c r="C144" s="90"/>
      <c r="D144" s="92"/>
      <c r="E144" s="88">
        <f>SUM(E132:E143)</f>
        <v>0.10620419278448112</v>
      </c>
      <c r="F144" s="88">
        <f>SUM(F132:F143)</f>
        <v>0.55332625451492345</v>
      </c>
      <c r="G144" s="93">
        <f>E144+F144</f>
        <v>0.65953044729940458</v>
      </c>
    </row>
  </sheetData>
  <mergeCells count="8">
    <mergeCell ref="AA26:AD26"/>
    <mergeCell ref="AG26:AH26"/>
    <mergeCell ref="AJ26:AL26"/>
    <mergeCell ref="C27:D27"/>
    <mergeCell ref="C26:F26"/>
    <mergeCell ref="I26:L26"/>
    <mergeCell ref="M26:S26"/>
    <mergeCell ref="T26:U26"/>
  </mergeCells>
  <pageMargins left="0.41" right="0.23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workbookViewId="0"/>
    <sheetView workbookViewId="1">
      <selection activeCell="C17" sqref="C17"/>
    </sheetView>
  </sheetViews>
  <sheetFormatPr defaultRowHeight="18.55"/>
  <cols>
    <col min="2" max="2" width="15.625" customWidth="1"/>
  </cols>
  <sheetData>
    <row r="1" spans="2:4">
      <c r="B1" s="86" t="s">
        <v>144</v>
      </c>
    </row>
    <row r="2" spans="2:4">
      <c r="B2" t="s">
        <v>116</v>
      </c>
    </row>
    <row r="3" spans="2:4">
      <c r="B3" t="s">
        <v>111</v>
      </c>
    </row>
    <row r="5" spans="2:4">
      <c r="B5" t="s">
        <v>153</v>
      </c>
    </row>
    <row r="6" spans="2:4">
      <c r="B6" t="s">
        <v>114</v>
      </c>
      <c r="C6" s="210">
        <f>'6Land fill'!E13</f>
        <v>3.51</v>
      </c>
      <c r="D6" t="s">
        <v>45</v>
      </c>
    </row>
    <row r="7" spans="2:4">
      <c r="B7" t="s">
        <v>115</v>
      </c>
      <c r="C7">
        <v>100</v>
      </c>
      <c r="D7" t="s">
        <v>48</v>
      </c>
    </row>
    <row r="8" spans="2:4">
      <c r="B8" t="s">
        <v>117</v>
      </c>
      <c r="C8">
        <v>20</v>
      </c>
      <c r="D8" t="s">
        <v>48</v>
      </c>
    </row>
    <row r="9" spans="2:4">
      <c r="B9" t="s">
        <v>118</v>
      </c>
      <c r="C9">
        <v>1</v>
      </c>
      <c r="D9" t="s">
        <v>45</v>
      </c>
    </row>
    <row r="10" spans="2:4">
      <c r="B10" t="s">
        <v>152</v>
      </c>
      <c r="C10">
        <f>250*C9</f>
        <v>250</v>
      </c>
      <c r="D10" t="s">
        <v>45</v>
      </c>
    </row>
    <row r="11" spans="2:4">
      <c r="B11" t="s">
        <v>119</v>
      </c>
      <c r="C11">
        <f>C8/C7</f>
        <v>0.2</v>
      </c>
    </row>
    <row r="12" spans="2:4">
      <c r="B12" t="s">
        <v>120</v>
      </c>
      <c r="C12">
        <v>0</v>
      </c>
    </row>
    <row r="13" spans="2:4">
      <c r="B13" t="s">
        <v>121</v>
      </c>
      <c r="C13">
        <f>100/C7</f>
        <v>1</v>
      </c>
    </row>
    <row r="14" spans="2:4">
      <c r="B14" t="s">
        <v>112</v>
      </c>
      <c r="C14" s="2">
        <v>0.05</v>
      </c>
    </row>
    <row r="15" spans="2:4">
      <c r="B15" t="s">
        <v>113</v>
      </c>
      <c r="C15" s="2">
        <v>1</v>
      </c>
    </row>
    <row r="17" spans="2:13">
      <c r="B17" t="s">
        <v>122</v>
      </c>
      <c r="C17" s="152">
        <f>C14*C15*C6*C7/C10</f>
        <v>7.0199999999999985E-2</v>
      </c>
      <c r="D17" t="s">
        <v>48</v>
      </c>
    </row>
    <row r="28" spans="2:13">
      <c r="M28">
        <f>20/400</f>
        <v>0.05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/>
    <sheetView topLeftCell="B1" workbookViewId="1">
      <selection activeCell="J1" sqref="J1"/>
    </sheetView>
  </sheetViews>
  <sheetFormatPr defaultRowHeight="18.55"/>
  <cols>
    <col min="2" max="2" width="8" customWidth="1"/>
    <col min="3" max="3" width="4.875" customWidth="1"/>
    <col min="4" max="4" width="13.5" customWidth="1"/>
    <col min="5" max="5" width="6.375" customWidth="1"/>
    <col min="6" max="6" width="15.8125" customWidth="1"/>
    <col min="7" max="7" width="14.3125" customWidth="1"/>
  </cols>
  <sheetData>
    <row r="1" spans="1:15">
      <c r="B1" t="s">
        <v>174</v>
      </c>
      <c r="F1" s="200">
        <f>F7</f>
        <v>6.9999999999999999E-4</v>
      </c>
    </row>
    <row r="2" spans="1:15">
      <c r="B2" t="s">
        <v>98</v>
      </c>
      <c r="F2" t="s">
        <v>99</v>
      </c>
      <c r="G2" s="145">
        <v>4</v>
      </c>
      <c r="O2">
        <v>1</v>
      </c>
    </row>
    <row r="3" spans="1:15" ht="19" thickBot="1">
      <c r="D3" s="150">
        <f>'6Land fill'!E19</f>
        <v>0.65953044729940458</v>
      </c>
      <c r="E3" t="s">
        <v>48</v>
      </c>
      <c r="F3" t="str">
        <f>VLOOKUP(G2,M7:O12,3)</f>
        <v>Case: Land Fill, +2.75m</v>
      </c>
      <c r="O3">
        <v>2</v>
      </c>
    </row>
    <row r="4" spans="1:15" ht="25.65" thickBot="1">
      <c r="B4" s="249" t="s">
        <v>100</v>
      </c>
      <c r="C4" s="249"/>
      <c r="D4" s="249"/>
      <c r="E4" s="249"/>
      <c r="F4" s="249"/>
      <c r="G4" s="249"/>
      <c r="H4" s="249"/>
      <c r="I4" s="118"/>
      <c r="J4" t="s">
        <v>139</v>
      </c>
      <c r="L4" s="180">
        <f>'7Immediat Sett Landfill'!C17</f>
        <v>7.0199999999999985E-2</v>
      </c>
      <c r="M4" t="s">
        <v>48</v>
      </c>
    </row>
    <row r="5" spans="1:15" ht="25.65" thickBot="1">
      <c r="A5" t="s">
        <v>154</v>
      </c>
      <c r="B5" s="189"/>
      <c r="C5" s="190"/>
      <c r="D5" s="190"/>
      <c r="E5" s="190" t="s">
        <v>123</v>
      </c>
      <c r="F5" s="190"/>
      <c r="G5" s="191">
        <v>2</v>
      </c>
      <c r="H5" s="190" t="s">
        <v>124</v>
      </c>
      <c r="I5" s="192"/>
      <c r="J5" t="s">
        <v>125</v>
      </c>
      <c r="K5" s="250" t="s">
        <v>126</v>
      </c>
      <c r="L5" s="251"/>
    </row>
    <row r="6" spans="1:15" ht="23.85" thickBot="1">
      <c r="B6" s="119" t="s">
        <v>90</v>
      </c>
      <c r="C6" s="120" t="s">
        <v>91</v>
      </c>
      <c r="D6" s="120" t="s">
        <v>92</v>
      </c>
      <c r="E6" s="120" t="s">
        <v>101</v>
      </c>
      <c r="F6" s="120" t="s">
        <v>93</v>
      </c>
      <c r="G6" s="120" t="s">
        <v>94</v>
      </c>
      <c r="H6" s="121" t="s">
        <v>95</v>
      </c>
      <c r="I6" s="121" t="s">
        <v>96</v>
      </c>
      <c r="J6" s="139" t="s">
        <v>102</v>
      </c>
      <c r="K6" s="181" t="s">
        <v>127</v>
      </c>
      <c r="L6" s="182" t="s">
        <v>128</v>
      </c>
    </row>
    <row r="7" spans="1:15" ht="20.25" customHeight="1">
      <c r="A7">
        <f>PI()/4*(C7/100)^2</f>
        <v>0</v>
      </c>
      <c r="B7" s="140">
        <f t="shared" ref="B7:B26" si="0">$D$3*C7/100</f>
        <v>0</v>
      </c>
      <c r="C7" s="122">
        <v>0</v>
      </c>
      <c r="D7" s="123">
        <v>0</v>
      </c>
      <c r="E7" s="137">
        <v>20</v>
      </c>
      <c r="F7" s="136">
        <f>7*10^-4</f>
        <v>6.9999999999999999E-4</v>
      </c>
      <c r="G7" s="124">
        <f>D7*(E7*100/$G$5)^2/F7</f>
        <v>0</v>
      </c>
      <c r="H7" s="132">
        <f>G7/(60*60*24)</f>
        <v>0</v>
      </c>
      <c r="I7" s="133">
        <f>H7/365</f>
        <v>0</v>
      </c>
      <c r="J7" s="138">
        <f>B7*-1</f>
        <v>0</v>
      </c>
      <c r="K7" s="183">
        <v>0</v>
      </c>
      <c r="L7" s="184">
        <v>0</v>
      </c>
      <c r="M7">
        <v>1</v>
      </c>
      <c r="N7" s="144">
        <v>1.05</v>
      </c>
      <c r="O7" t="s">
        <v>168</v>
      </c>
    </row>
    <row r="8" spans="1:15" ht="20.25" customHeight="1">
      <c r="A8">
        <f t="shared" ref="A8:A18" si="1">PI()/4*(C8/100)^2</f>
        <v>1.9634954084936209E-3</v>
      </c>
      <c r="B8" s="141">
        <f>$D$3*C8/100</f>
        <v>3.2976522364970229E-2</v>
      </c>
      <c r="C8" s="125">
        <v>5</v>
      </c>
      <c r="D8" s="126">
        <v>2E-3</v>
      </c>
      <c r="E8" s="142">
        <f>E7</f>
        <v>20</v>
      </c>
      <c r="F8" s="143">
        <f>F7</f>
        <v>6.9999999999999999E-4</v>
      </c>
      <c r="G8" s="124">
        <f t="shared" ref="G8:G26" si="2">D8*(E8*100/$G$5)^2/F8</f>
        <v>2857142.8571428573</v>
      </c>
      <c r="H8" s="132">
        <f t="shared" ref="H8:H26" si="3">G8/(60*60*24)</f>
        <v>33.06878306878307</v>
      </c>
      <c r="I8" s="133">
        <f t="shared" ref="I8:I26" si="4">H8/365</f>
        <v>9.0599405667898827E-2</v>
      </c>
      <c r="J8" s="138">
        <f t="shared" ref="J8:J26" si="5">B8*-1-$L$4</f>
        <v>-0.10317652236497021</v>
      </c>
      <c r="K8" s="185">
        <v>1.02</v>
      </c>
      <c r="L8" s="186">
        <v>-24.4</v>
      </c>
      <c r="M8">
        <v>2</v>
      </c>
      <c r="N8" s="144">
        <v>1.54</v>
      </c>
      <c r="O8" t="s">
        <v>169</v>
      </c>
    </row>
    <row r="9" spans="1:15" ht="20.25" customHeight="1">
      <c r="A9">
        <f t="shared" si="1"/>
        <v>7.8539816339744835E-3</v>
      </c>
      <c r="B9" s="141">
        <f>$D$3*C9/100</f>
        <v>6.5953044729940458E-2</v>
      </c>
      <c r="C9" s="122">
        <v>10</v>
      </c>
      <c r="D9" s="126">
        <v>7.7999999999999996E-3</v>
      </c>
      <c r="E9" s="142">
        <f t="shared" ref="E9:F24" si="6">E8</f>
        <v>20</v>
      </c>
      <c r="F9" s="143">
        <f t="shared" si="6"/>
        <v>6.9999999999999999E-4</v>
      </c>
      <c r="G9" s="124">
        <f>D9*(E9*100/$G$5)^2/F9</f>
        <v>11142857.142857144</v>
      </c>
      <c r="H9" s="132">
        <f t="shared" si="3"/>
        <v>128.96825396825398</v>
      </c>
      <c r="I9" s="133">
        <f t="shared" si="4"/>
        <v>0.35333768210480543</v>
      </c>
      <c r="J9" s="138">
        <f t="shared" si="5"/>
        <v>-0.13615304472994044</v>
      </c>
      <c r="K9" s="185">
        <v>2.19</v>
      </c>
      <c r="L9" s="186">
        <v>-40.6</v>
      </c>
      <c r="M9">
        <v>3</v>
      </c>
      <c r="N9" s="144">
        <v>2.0099999999999998</v>
      </c>
      <c r="O9" t="s">
        <v>164</v>
      </c>
    </row>
    <row r="10" spans="1:15" ht="20.25" customHeight="1" thickBot="1">
      <c r="A10">
        <f t="shared" si="1"/>
        <v>1.7671458676442587E-2</v>
      </c>
      <c r="B10" s="141">
        <f t="shared" si="0"/>
        <v>9.8929567094910686E-2</v>
      </c>
      <c r="C10" s="125">
        <v>15</v>
      </c>
      <c r="D10" s="126">
        <v>1.77E-2</v>
      </c>
      <c r="E10" s="142">
        <f t="shared" si="6"/>
        <v>20</v>
      </c>
      <c r="F10" s="143">
        <f t="shared" si="6"/>
        <v>6.9999999999999999E-4</v>
      </c>
      <c r="G10" s="124">
        <f t="shared" si="2"/>
        <v>25285714.285714287</v>
      </c>
      <c r="H10" s="132">
        <f t="shared" si="3"/>
        <v>292.65873015873018</v>
      </c>
      <c r="I10" s="133">
        <f t="shared" si="4"/>
        <v>0.80180474016090464</v>
      </c>
      <c r="J10" s="138">
        <f t="shared" si="5"/>
        <v>-0.16912956709491067</v>
      </c>
      <c r="K10" s="187">
        <v>2.38</v>
      </c>
      <c r="L10" s="188">
        <v>-42</v>
      </c>
      <c r="M10">
        <v>4</v>
      </c>
      <c r="N10" s="144">
        <v>1.21</v>
      </c>
      <c r="O10" t="s">
        <v>165</v>
      </c>
    </row>
    <row r="11" spans="1:15" ht="20.25" customHeight="1">
      <c r="A11">
        <f t="shared" si="1"/>
        <v>3.1415926535897934E-2</v>
      </c>
      <c r="B11" s="141">
        <f t="shared" si="0"/>
        <v>0.13190608945988092</v>
      </c>
      <c r="C11" s="122">
        <v>20</v>
      </c>
      <c r="D11" s="126">
        <v>3.1399999999999997E-2</v>
      </c>
      <c r="E11" s="142">
        <f t="shared" si="6"/>
        <v>20</v>
      </c>
      <c r="F11" s="143">
        <f t="shared" si="6"/>
        <v>6.9999999999999999E-4</v>
      </c>
      <c r="G11" s="124">
        <f t="shared" si="2"/>
        <v>44857142.857142851</v>
      </c>
      <c r="H11" s="132">
        <f t="shared" si="3"/>
        <v>519.17989417989406</v>
      </c>
      <c r="I11" s="133">
        <f t="shared" si="4"/>
        <v>1.4224106689860112</v>
      </c>
      <c r="J11" s="138">
        <f t="shared" si="5"/>
        <v>-0.2021060894598809</v>
      </c>
      <c r="K11" s="138"/>
      <c r="M11">
        <v>5</v>
      </c>
      <c r="N11" s="144">
        <v>1.39</v>
      </c>
      <c r="O11" t="s">
        <v>170</v>
      </c>
    </row>
    <row r="12" spans="1:15" ht="20.25" customHeight="1">
      <c r="A12">
        <f t="shared" si="1"/>
        <v>4.9087385212340517E-2</v>
      </c>
      <c r="B12" s="141">
        <f t="shared" si="0"/>
        <v>0.16488261182485114</v>
      </c>
      <c r="C12" s="125">
        <v>25</v>
      </c>
      <c r="D12" s="126">
        <v>4.9099999999999998E-2</v>
      </c>
      <c r="E12" s="142">
        <f t="shared" si="6"/>
        <v>20</v>
      </c>
      <c r="F12" s="143">
        <f t="shared" si="6"/>
        <v>6.9999999999999999E-4</v>
      </c>
      <c r="G12" s="124">
        <f t="shared" si="2"/>
        <v>70142857.142857149</v>
      </c>
      <c r="H12" s="132">
        <f t="shared" si="3"/>
        <v>811.83862433862441</v>
      </c>
      <c r="I12" s="133">
        <f t="shared" si="4"/>
        <v>2.2242154091469164</v>
      </c>
      <c r="J12" s="138">
        <f t="shared" si="5"/>
        <v>-0.23508261182485113</v>
      </c>
      <c r="K12" s="138"/>
      <c r="M12">
        <v>6</v>
      </c>
      <c r="N12" s="149">
        <v>0.8</v>
      </c>
      <c r="O12" t="s">
        <v>171</v>
      </c>
    </row>
    <row r="13" spans="1:15" ht="20.25" customHeight="1">
      <c r="A13">
        <f t="shared" si="1"/>
        <v>7.0685834705770348E-2</v>
      </c>
      <c r="B13" s="141">
        <f t="shared" si="0"/>
        <v>0.19785913418982137</v>
      </c>
      <c r="C13" s="122">
        <v>30</v>
      </c>
      <c r="D13" s="126">
        <v>7.0699999999999999E-2</v>
      </c>
      <c r="E13" s="142">
        <f t="shared" si="6"/>
        <v>20</v>
      </c>
      <c r="F13" s="143">
        <f t="shared" si="6"/>
        <v>6.9999999999999999E-4</v>
      </c>
      <c r="G13" s="124">
        <f t="shared" si="2"/>
        <v>101000000</v>
      </c>
      <c r="H13" s="132">
        <f t="shared" si="3"/>
        <v>1168.9814814814815</v>
      </c>
      <c r="I13" s="133">
        <f t="shared" si="4"/>
        <v>3.2026889903602234</v>
      </c>
      <c r="J13" s="138">
        <f t="shared" si="5"/>
        <v>-0.26805913418982136</v>
      </c>
      <c r="K13" s="138"/>
    </row>
    <row r="14" spans="1:15" ht="20.25" customHeight="1">
      <c r="A14">
        <f t="shared" si="1"/>
        <v>9.6211275016187398E-2</v>
      </c>
      <c r="B14" s="141">
        <f t="shared" si="0"/>
        <v>0.2308356565547916</v>
      </c>
      <c r="C14" s="125">
        <v>35</v>
      </c>
      <c r="D14" s="126">
        <v>9.6199999999999994E-2</v>
      </c>
      <c r="E14" s="142">
        <f t="shared" si="6"/>
        <v>20</v>
      </c>
      <c r="F14" s="143">
        <f t="shared" si="6"/>
        <v>6.9999999999999999E-4</v>
      </c>
      <c r="G14" s="124">
        <f t="shared" si="2"/>
        <v>137428571.42857143</v>
      </c>
      <c r="H14" s="132">
        <f t="shared" si="3"/>
        <v>1590.6084656084656</v>
      </c>
      <c r="I14" s="133">
        <f t="shared" si="4"/>
        <v>4.3578314126259334</v>
      </c>
      <c r="J14" s="138">
        <f t="shared" si="5"/>
        <v>-0.30103565655479159</v>
      </c>
      <c r="K14" s="138"/>
    </row>
    <row r="15" spans="1:15" ht="20.25" customHeight="1">
      <c r="A15">
        <f t="shared" si="1"/>
        <v>0.12566370614359174</v>
      </c>
      <c r="B15" s="141">
        <f t="shared" si="0"/>
        <v>0.26381217891976183</v>
      </c>
      <c r="C15" s="122">
        <v>40</v>
      </c>
      <c r="D15" s="126">
        <v>0.126</v>
      </c>
      <c r="E15" s="142">
        <f t="shared" si="6"/>
        <v>20</v>
      </c>
      <c r="F15" s="143">
        <f t="shared" si="6"/>
        <v>6.9999999999999999E-4</v>
      </c>
      <c r="G15" s="124">
        <f t="shared" si="2"/>
        <v>180000000</v>
      </c>
      <c r="H15" s="132">
        <f t="shared" si="3"/>
        <v>2083.3333333333335</v>
      </c>
      <c r="I15" s="133">
        <f t="shared" si="4"/>
        <v>5.7077625570776256</v>
      </c>
      <c r="J15" s="138">
        <f t="shared" si="5"/>
        <v>-0.33401217891976182</v>
      </c>
      <c r="K15" s="138"/>
    </row>
    <row r="16" spans="1:15" ht="20.25" customHeight="1">
      <c r="A16">
        <f t="shared" si="1"/>
        <v>0.15904312808798329</v>
      </c>
      <c r="B16" s="141">
        <f t="shared" si="0"/>
        <v>0.29678870128473206</v>
      </c>
      <c r="C16" s="125">
        <v>45</v>
      </c>
      <c r="D16" s="126">
        <v>0.159</v>
      </c>
      <c r="E16" s="142">
        <f t="shared" si="6"/>
        <v>20</v>
      </c>
      <c r="F16" s="143">
        <f t="shared" si="6"/>
        <v>6.9999999999999999E-4</v>
      </c>
      <c r="G16" s="124">
        <f t="shared" si="2"/>
        <v>227142857.14285713</v>
      </c>
      <c r="H16" s="132">
        <f t="shared" si="3"/>
        <v>2628.968253968254</v>
      </c>
      <c r="I16" s="133">
        <f t="shared" si="4"/>
        <v>7.2026527505979558</v>
      </c>
      <c r="J16" s="138">
        <f t="shared" si="5"/>
        <v>-0.36698870128473204</v>
      </c>
      <c r="K16" s="138"/>
    </row>
    <row r="17" spans="1:12" ht="20.25" customHeight="1">
      <c r="A17">
        <f t="shared" si="1"/>
        <v>0.19634954084936207</v>
      </c>
      <c r="B17" s="141">
        <f t="shared" si="0"/>
        <v>0.32976522364970229</v>
      </c>
      <c r="C17" s="122">
        <v>50</v>
      </c>
      <c r="D17" s="126">
        <v>0.19700000000000001</v>
      </c>
      <c r="E17" s="142">
        <f t="shared" si="6"/>
        <v>20</v>
      </c>
      <c r="F17" s="143">
        <f t="shared" si="6"/>
        <v>6.9999999999999999E-4</v>
      </c>
      <c r="G17" s="124">
        <f t="shared" si="2"/>
        <v>281428571.4285714</v>
      </c>
      <c r="H17" s="132">
        <f t="shared" si="3"/>
        <v>3257.2751322751319</v>
      </c>
      <c r="I17" s="133">
        <f t="shared" si="4"/>
        <v>8.9240414582880323</v>
      </c>
      <c r="J17" s="138">
        <f t="shared" si="5"/>
        <v>-0.39996522364970227</v>
      </c>
      <c r="K17" s="138"/>
    </row>
    <row r="18" spans="1:12" ht="20.350000000000001">
      <c r="A18">
        <f t="shared" si="1"/>
        <v>0.23758294442772815</v>
      </c>
      <c r="B18" s="141">
        <f t="shared" si="0"/>
        <v>0.36274174601467252</v>
      </c>
      <c r="C18" s="125">
        <v>55</v>
      </c>
      <c r="D18" s="126">
        <v>0.23899999999999999</v>
      </c>
      <c r="E18" s="142">
        <f t="shared" si="6"/>
        <v>20</v>
      </c>
      <c r="F18" s="143">
        <f t="shared" si="6"/>
        <v>6.9999999999999999E-4</v>
      </c>
      <c r="G18" s="124">
        <f t="shared" si="2"/>
        <v>341428571.4285714</v>
      </c>
      <c r="H18" s="132">
        <f t="shared" si="3"/>
        <v>3951.7195767195763</v>
      </c>
      <c r="I18" s="133">
        <f t="shared" si="4"/>
        <v>10.826628977313907</v>
      </c>
      <c r="J18" s="138">
        <f t="shared" si="5"/>
        <v>-0.4329417460146725</v>
      </c>
      <c r="K18" s="138"/>
    </row>
    <row r="19" spans="1:12" ht="20.350000000000001">
      <c r="A19">
        <f>1.781-0.933*LOG(100-C19)</f>
        <v>0.28627802809101111</v>
      </c>
      <c r="B19" s="141">
        <f t="shared" si="0"/>
        <v>0.39571826837964275</v>
      </c>
      <c r="C19" s="122">
        <v>60</v>
      </c>
      <c r="D19" s="126">
        <v>0.28599999999999998</v>
      </c>
      <c r="E19" s="142">
        <f t="shared" si="6"/>
        <v>20</v>
      </c>
      <c r="F19" s="143">
        <f t="shared" si="6"/>
        <v>6.9999999999999999E-4</v>
      </c>
      <c r="G19" s="124">
        <f t="shared" si="2"/>
        <v>408571428.5714286</v>
      </c>
      <c r="H19" s="132">
        <f t="shared" si="3"/>
        <v>4728.8359788359794</v>
      </c>
      <c r="I19" s="133">
        <f t="shared" si="4"/>
        <v>12.955715010509532</v>
      </c>
      <c r="J19" s="138">
        <f t="shared" si="5"/>
        <v>-0.46591826837964273</v>
      </c>
      <c r="K19" s="138"/>
    </row>
    <row r="20" spans="1:12" ht="20.350000000000001">
      <c r="A20">
        <f t="shared" ref="A20:A26" si="7">1.781-0.933*LOG(100-C20)</f>
        <v>0.34038451462119257</v>
      </c>
      <c r="B20" s="141">
        <f t="shared" si="0"/>
        <v>0.42869479074461297</v>
      </c>
      <c r="C20" s="125">
        <v>65</v>
      </c>
      <c r="D20" s="126">
        <v>0.34200000000000003</v>
      </c>
      <c r="E20" s="142">
        <f t="shared" si="6"/>
        <v>20</v>
      </c>
      <c r="F20" s="143">
        <f t="shared" si="6"/>
        <v>6.9999999999999999E-4</v>
      </c>
      <c r="G20" s="124">
        <f t="shared" si="2"/>
        <v>488571428.5714286</v>
      </c>
      <c r="H20" s="132">
        <f t="shared" si="3"/>
        <v>5654.7619047619055</v>
      </c>
      <c r="I20" s="133">
        <f t="shared" si="4"/>
        <v>15.492498369210701</v>
      </c>
      <c r="J20" s="138">
        <f t="shared" si="5"/>
        <v>-0.49889479074461296</v>
      </c>
      <c r="K20" s="138"/>
    </row>
    <row r="21" spans="1:12" ht="20.350000000000001">
      <c r="A21">
        <f t="shared" si="7"/>
        <v>0.40284586934655486</v>
      </c>
      <c r="B21" s="141">
        <f t="shared" si="0"/>
        <v>0.4616713131095832</v>
      </c>
      <c r="C21" s="122">
        <v>70</v>
      </c>
      <c r="D21" s="126">
        <v>0.40300000000000002</v>
      </c>
      <c r="E21" s="142">
        <f t="shared" si="6"/>
        <v>20</v>
      </c>
      <c r="F21" s="143">
        <f t="shared" si="6"/>
        <v>6.9999999999999999E-4</v>
      </c>
      <c r="G21" s="124">
        <f t="shared" si="2"/>
        <v>575714285.71428573</v>
      </c>
      <c r="H21" s="132">
        <f t="shared" si="3"/>
        <v>6663.3597883597886</v>
      </c>
      <c r="I21" s="133">
        <f t="shared" si="4"/>
        <v>18.255780242081613</v>
      </c>
      <c r="J21" s="138">
        <f t="shared" si="5"/>
        <v>-0.53187131310958313</v>
      </c>
      <c r="K21" s="138"/>
    </row>
    <row r="22" spans="1:12" ht="20.350000000000001">
      <c r="A22">
        <f t="shared" si="7"/>
        <v>0.47672197190898857</v>
      </c>
      <c r="B22" s="141">
        <f t="shared" si="0"/>
        <v>0.49464783547455338</v>
      </c>
      <c r="C22" s="125">
        <v>75</v>
      </c>
      <c r="D22" s="126">
        <v>0.47699999999999998</v>
      </c>
      <c r="E22" s="142">
        <f t="shared" si="6"/>
        <v>20</v>
      </c>
      <c r="F22" s="143">
        <f t="shared" si="6"/>
        <v>6.9999999999999999E-4</v>
      </c>
      <c r="G22" s="124">
        <f t="shared" si="2"/>
        <v>681428571.42857146</v>
      </c>
      <c r="H22" s="132">
        <f t="shared" si="3"/>
        <v>7886.9047619047624</v>
      </c>
      <c r="I22" s="133">
        <f t="shared" si="4"/>
        <v>21.607958251793871</v>
      </c>
      <c r="J22" s="138">
        <f t="shared" si="5"/>
        <v>-0.56484783547455342</v>
      </c>
      <c r="K22" s="138"/>
    </row>
    <row r="23" spans="1:12" ht="20.350000000000001">
      <c r="A23">
        <f t="shared" si="7"/>
        <v>0.56713901404550526</v>
      </c>
      <c r="B23" s="141">
        <f t="shared" si="0"/>
        <v>0.52762435783952366</v>
      </c>
      <c r="C23" s="122">
        <v>80</v>
      </c>
      <c r="D23" s="126">
        <v>0.56699999999999995</v>
      </c>
      <c r="E23" s="142">
        <f t="shared" si="6"/>
        <v>20</v>
      </c>
      <c r="F23" s="143">
        <f t="shared" si="6"/>
        <v>6.9999999999999999E-4</v>
      </c>
      <c r="G23" s="124">
        <f t="shared" si="2"/>
        <v>810000000</v>
      </c>
      <c r="H23" s="132">
        <f t="shared" si="3"/>
        <v>9375</v>
      </c>
      <c r="I23" s="133">
        <f t="shared" si="4"/>
        <v>25.684931506849313</v>
      </c>
      <c r="J23" s="138">
        <f t="shared" si="5"/>
        <v>-0.5978243578395237</v>
      </c>
      <c r="K23" s="138"/>
    </row>
    <row r="24" spans="1:12" ht="20.350000000000001">
      <c r="A24">
        <f t="shared" si="7"/>
        <v>0.68370685530104924</v>
      </c>
      <c r="B24" s="141">
        <f t="shared" si="0"/>
        <v>0.56060088020449395</v>
      </c>
      <c r="C24" s="125">
        <v>85</v>
      </c>
      <c r="D24" s="126">
        <v>0.67400000000000004</v>
      </c>
      <c r="E24" s="142">
        <f t="shared" si="6"/>
        <v>20</v>
      </c>
      <c r="F24" s="143">
        <f t="shared" si="6"/>
        <v>6.9999999999999999E-4</v>
      </c>
      <c r="G24" s="124">
        <f t="shared" si="2"/>
        <v>962857142.85714293</v>
      </c>
      <c r="H24" s="132">
        <f t="shared" si="3"/>
        <v>11144.179894179895</v>
      </c>
      <c r="I24" s="133">
        <f t="shared" si="4"/>
        <v>30.531999710081905</v>
      </c>
      <c r="J24" s="138">
        <f t="shared" si="5"/>
        <v>-0.63080088020449399</v>
      </c>
      <c r="K24" s="138"/>
    </row>
    <row r="25" spans="1:12" ht="20.350000000000001">
      <c r="A25">
        <f t="shared" si="7"/>
        <v>0.84799999999999986</v>
      </c>
      <c r="B25" s="141">
        <f t="shared" si="0"/>
        <v>0.59357740256946412</v>
      </c>
      <c r="C25" s="122">
        <v>90</v>
      </c>
      <c r="D25" s="126">
        <v>0.84799999999999998</v>
      </c>
      <c r="E25" s="142">
        <f t="shared" ref="E25:F26" si="8">E24</f>
        <v>20</v>
      </c>
      <c r="F25" s="143">
        <f t="shared" si="8"/>
        <v>6.9999999999999999E-4</v>
      </c>
      <c r="G25" s="124">
        <f t="shared" si="2"/>
        <v>1211428571.4285715</v>
      </c>
      <c r="H25" s="132">
        <f t="shared" si="3"/>
        <v>14021.164021164022</v>
      </c>
      <c r="I25" s="133">
        <f t="shared" si="4"/>
        <v>38.414148003189105</v>
      </c>
      <c r="J25" s="138">
        <f t="shared" si="5"/>
        <v>-0.66377740256946405</v>
      </c>
      <c r="K25" s="138"/>
    </row>
    <row r="26" spans="1:12" ht="20.350000000000001">
      <c r="A26">
        <f t="shared" si="7"/>
        <v>1.1288609859544942</v>
      </c>
      <c r="B26" s="141">
        <f t="shared" si="0"/>
        <v>0.6265539249344344</v>
      </c>
      <c r="C26" s="125">
        <v>95</v>
      </c>
      <c r="D26" s="126">
        <v>1.129</v>
      </c>
      <c r="E26" s="142">
        <f t="shared" si="8"/>
        <v>20</v>
      </c>
      <c r="F26" s="143">
        <f t="shared" si="8"/>
        <v>6.9999999999999999E-4</v>
      </c>
      <c r="G26" s="124">
        <f t="shared" si="2"/>
        <v>1612857142.8571429</v>
      </c>
      <c r="H26" s="132">
        <f t="shared" si="3"/>
        <v>18667.328042328045</v>
      </c>
      <c r="I26" s="133">
        <f t="shared" si="4"/>
        <v>51.143364499528893</v>
      </c>
      <c r="J26" s="138">
        <f t="shared" si="5"/>
        <v>-0.69675392493443433</v>
      </c>
      <c r="K26" s="138"/>
    </row>
    <row r="27" spans="1:12" ht="20.8" thickBot="1">
      <c r="B27" s="127"/>
      <c r="C27" s="128"/>
      <c r="D27" s="129"/>
      <c r="E27" s="128"/>
      <c r="F27" s="128"/>
      <c r="G27" s="128"/>
      <c r="H27" s="134"/>
      <c r="I27" s="135"/>
    </row>
    <row r="29" spans="1:12">
      <c r="B29" t="s">
        <v>174</v>
      </c>
      <c r="F29" s="200">
        <f>F35</f>
        <v>2.5000000000000001E-4</v>
      </c>
    </row>
    <row r="30" spans="1:12">
      <c r="B30" t="s">
        <v>98</v>
      </c>
      <c r="F30" t="s">
        <v>99</v>
      </c>
      <c r="G30" s="145">
        <f>G2</f>
        <v>4</v>
      </c>
      <c r="L30">
        <v>1</v>
      </c>
    </row>
    <row r="31" spans="1:12">
      <c r="D31" s="150">
        <f>D3</f>
        <v>0.65953044729940458</v>
      </c>
      <c r="E31" t="s">
        <v>48</v>
      </c>
      <c r="F31" t="str">
        <f>F3</f>
        <v>Case: Land Fill, +2.75m</v>
      </c>
      <c r="L31">
        <v>2</v>
      </c>
    </row>
    <row r="32" spans="1:12" ht="25.65" thickBot="1">
      <c r="B32" s="249" t="s">
        <v>100</v>
      </c>
      <c r="C32" s="249"/>
      <c r="D32" s="249"/>
      <c r="E32" s="249"/>
      <c r="F32" s="249"/>
      <c r="G32" s="249"/>
      <c r="H32" s="249"/>
      <c r="I32" s="118"/>
    </row>
    <row r="33" spans="1:15" ht="25.65" thickBot="1">
      <c r="A33" t="s">
        <v>155</v>
      </c>
      <c r="B33" s="189"/>
      <c r="C33" s="190"/>
      <c r="D33" s="190"/>
      <c r="E33" s="190" t="s">
        <v>123</v>
      </c>
      <c r="F33" s="190"/>
      <c r="G33" s="193">
        <v>2</v>
      </c>
      <c r="H33" s="190" t="s">
        <v>124</v>
      </c>
      <c r="I33" s="192"/>
      <c r="J33" t="s">
        <v>125</v>
      </c>
      <c r="K33" s="248" t="s">
        <v>126</v>
      </c>
      <c r="L33" s="248"/>
    </row>
    <row r="34" spans="1:15" ht="23.85" thickBot="1">
      <c r="B34" s="119" t="s">
        <v>90</v>
      </c>
      <c r="C34" s="120" t="s">
        <v>91</v>
      </c>
      <c r="D34" s="120" t="s">
        <v>92</v>
      </c>
      <c r="E34" s="120" t="s">
        <v>101</v>
      </c>
      <c r="F34" s="120" t="s">
        <v>93</v>
      </c>
      <c r="G34" s="120" t="s">
        <v>94</v>
      </c>
      <c r="H34" s="121" t="s">
        <v>95</v>
      </c>
      <c r="I34" s="121" t="s">
        <v>96</v>
      </c>
      <c r="J34" s="139" t="s">
        <v>102</v>
      </c>
      <c r="K34" s="139" t="s">
        <v>127</v>
      </c>
      <c r="L34" s="139" t="s">
        <v>128</v>
      </c>
    </row>
    <row r="35" spans="1:15" ht="20.25" customHeight="1">
      <c r="A35">
        <f>PI()/4*(C35/100)^2</f>
        <v>0</v>
      </c>
      <c r="B35" s="140">
        <f t="shared" ref="B35:B54" si="9">$D$3*C35/100</f>
        <v>0</v>
      </c>
      <c r="C35" s="122">
        <v>0</v>
      </c>
      <c r="D35" s="123">
        <v>0</v>
      </c>
      <c r="E35" s="137">
        <f>E7</f>
        <v>20</v>
      </c>
      <c r="F35" s="155">
        <v>2.5000000000000001E-4</v>
      </c>
      <c r="G35" s="124">
        <f>D35*(E35*100/$G$33)^2/F35</f>
        <v>0</v>
      </c>
      <c r="H35" s="132">
        <f>G35/(60*60*24)</f>
        <v>0</v>
      </c>
      <c r="I35" s="133">
        <f>H35/365</f>
        <v>0</v>
      </c>
      <c r="J35" s="138">
        <f>B35*-1</f>
        <v>0</v>
      </c>
      <c r="K35">
        <v>0</v>
      </c>
      <c r="L35" s="138">
        <v>0</v>
      </c>
      <c r="M35">
        <v>1</v>
      </c>
      <c r="N35" s="144">
        <v>1.05</v>
      </c>
      <c r="O35" t="s">
        <v>103</v>
      </c>
    </row>
    <row r="36" spans="1:15" ht="20.25" customHeight="1">
      <c r="A36">
        <f t="shared" ref="A36:A46" si="10">PI()/4*(C36/100)^2</f>
        <v>1.9634954084936209E-3</v>
      </c>
      <c r="B36" s="141">
        <f t="shared" si="9"/>
        <v>3.2976522364970229E-2</v>
      </c>
      <c r="C36" s="125">
        <v>5</v>
      </c>
      <c r="D36" s="126">
        <v>2E-3</v>
      </c>
      <c r="E36" s="142">
        <f>E35</f>
        <v>20</v>
      </c>
      <c r="F36" s="143">
        <f>F35</f>
        <v>2.5000000000000001E-4</v>
      </c>
      <c r="G36" s="124">
        <f t="shared" ref="G36:G54" si="11">D36*(E36*100/$G$33)^2/F36</f>
        <v>8000000</v>
      </c>
      <c r="H36" s="132">
        <f t="shared" ref="H36:H54" si="12">G36/(60*60*24)</f>
        <v>92.592592592592595</v>
      </c>
      <c r="I36" s="133">
        <f t="shared" ref="I36:I54" si="13">H36/365</f>
        <v>0.25367833587011668</v>
      </c>
      <c r="J36" s="138">
        <f>B36*(-1)-$L$4</f>
        <v>-0.10317652236497021</v>
      </c>
      <c r="K36" s="138">
        <v>1.02</v>
      </c>
      <c r="L36">
        <v>-24.4</v>
      </c>
      <c r="M36">
        <v>2</v>
      </c>
      <c r="N36" s="144">
        <v>1.54</v>
      </c>
      <c r="O36" t="s">
        <v>104</v>
      </c>
    </row>
    <row r="37" spans="1:15" ht="20.25" customHeight="1">
      <c r="A37">
        <f t="shared" si="10"/>
        <v>7.8539816339744835E-3</v>
      </c>
      <c r="B37" s="141">
        <f t="shared" si="9"/>
        <v>6.5953044729940458E-2</v>
      </c>
      <c r="C37" s="122">
        <v>10</v>
      </c>
      <c r="D37" s="126">
        <v>7.7999999999999996E-3</v>
      </c>
      <c r="E37" s="142">
        <f t="shared" ref="E37:F52" si="14">E36</f>
        <v>20</v>
      </c>
      <c r="F37" s="143">
        <f t="shared" si="14"/>
        <v>2.5000000000000001E-4</v>
      </c>
      <c r="G37" s="124">
        <f t="shared" si="11"/>
        <v>31200000</v>
      </c>
      <c r="H37" s="132">
        <f t="shared" si="12"/>
        <v>361.11111111111109</v>
      </c>
      <c r="I37" s="133">
        <f t="shared" si="13"/>
        <v>0.98934550989345504</v>
      </c>
      <c r="J37" s="138">
        <f t="shared" ref="J37:J54" si="15">B37*(-1)-$L$4</f>
        <v>-0.13615304472994044</v>
      </c>
      <c r="K37" s="138">
        <v>2.19</v>
      </c>
      <c r="L37">
        <v>-40.6</v>
      </c>
      <c r="M37">
        <v>3</v>
      </c>
      <c r="N37" s="144">
        <v>2.0099999999999998</v>
      </c>
      <c r="O37" t="s">
        <v>105</v>
      </c>
    </row>
    <row r="38" spans="1:15" ht="20.25" customHeight="1">
      <c r="A38">
        <f t="shared" si="10"/>
        <v>1.7671458676442587E-2</v>
      </c>
      <c r="B38" s="141">
        <f t="shared" si="9"/>
        <v>9.8929567094910686E-2</v>
      </c>
      <c r="C38" s="125">
        <v>15</v>
      </c>
      <c r="D38" s="126">
        <v>1.77E-2</v>
      </c>
      <c r="E38" s="142">
        <f t="shared" si="14"/>
        <v>20</v>
      </c>
      <c r="F38" s="143">
        <f t="shared" si="14"/>
        <v>2.5000000000000001E-4</v>
      </c>
      <c r="G38" s="124">
        <f t="shared" si="11"/>
        <v>70800000</v>
      </c>
      <c r="H38" s="132">
        <f t="shared" si="12"/>
        <v>819.44444444444446</v>
      </c>
      <c r="I38" s="133">
        <f t="shared" si="13"/>
        <v>2.2450532724505328</v>
      </c>
      <c r="J38" s="138">
        <f t="shared" si="15"/>
        <v>-0.16912956709491067</v>
      </c>
      <c r="K38" s="138">
        <v>2.38</v>
      </c>
      <c r="L38">
        <v>-42</v>
      </c>
      <c r="M38">
        <v>4</v>
      </c>
      <c r="N38" s="144">
        <v>1.21</v>
      </c>
      <c r="O38" t="s">
        <v>106</v>
      </c>
    </row>
    <row r="39" spans="1:15" ht="20.25" customHeight="1">
      <c r="A39">
        <f t="shared" si="10"/>
        <v>3.1415926535897934E-2</v>
      </c>
      <c r="B39" s="141">
        <f t="shared" si="9"/>
        <v>0.13190608945988092</v>
      </c>
      <c r="C39" s="122">
        <v>20</v>
      </c>
      <c r="D39" s="126">
        <v>3.1399999999999997E-2</v>
      </c>
      <c r="E39" s="142">
        <f t="shared" si="14"/>
        <v>20</v>
      </c>
      <c r="F39" s="143">
        <f t="shared" si="14"/>
        <v>2.5000000000000001E-4</v>
      </c>
      <c r="G39" s="124">
        <f t="shared" si="11"/>
        <v>125599999.99999999</v>
      </c>
      <c r="H39" s="132">
        <f t="shared" si="12"/>
        <v>1453.7037037037035</v>
      </c>
      <c r="I39" s="133">
        <f t="shared" si="13"/>
        <v>3.9827498731608313</v>
      </c>
      <c r="J39" s="138">
        <f t="shared" si="15"/>
        <v>-0.2021060894598809</v>
      </c>
      <c r="K39" s="138"/>
      <c r="M39">
        <v>5</v>
      </c>
      <c r="N39" s="144">
        <v>1.39</v>
      </c>
      <c r="O39" t="s">
        <v>107</v>
      </c>
    </row>
    <row r="40" spans="1:15" ht="20.25" customHeight="1">
      <c r="A40">
        <f t="shared" si="10"/>
        <v>4.9087385212340517E-2</v>
      </c>
      <c r="B40" s="141">
        <f t="shared" si="9"/>
        <v>0.16488261182485114</v>
      </c>
      <c r="C40" s="125">
        <v>25</v>
      </c>
      <c r="D40" s="126">
        <v>4.9099999999999998E-2</v>
      </c>
      <c r="E40" s="142">
        <f t="shared" si="14"/>
        <v>20</v>
      </c>
      <c r="F40" s="143">
        <f t="shared" si="14"/>
        <v>2.5000000000000001E-4</v>
      </c>
      <c r="G40" s="124">
        <f t="shared" si="11"/>
        <v>196400000</v>
      </c>
      <c r="H40" s="132">
        <f t="shared" si="12"/>
        <v>2273.1481481481483</v>
      </c>
      <c r="I40" s="133">
        <f t="shared" si="13"/>
        <v>6.2278031456113654</v>
      </c>
      <c r="J40" s="138">
        <f t="shared" si="15"/>
        <v>-0.23508261182485113</v>
      </c>
      <c r="K40" s="138"/>
      <c r="M40">
        <v>6</v>
      </c>
      <c r="N40" s="149">
        <v>0.8</v>
      </c>
      <c r="O40" t="s">
        <v>108</v>
      </c>
    </row>
    <row r="41" spans="1:15" ht="20.25" customHeight="1">
      <c r="A41">
        <f t="shared" si="10"/>
        <v>7.0685834705770348E-2</v>
      </c>
      <c r="B41" s="141">
        <f t="shared" si="9"/>
        <v>0.19785913418982137</v>
      </c>
      <c r="C41" s="122">
        <v>30</v>
      </c>
      <c r="D41" s="126">
        <v>7.0699999999999999E-2</v>
      </c>
      <c r="E41" s="142">
        <f t="shared" si="14"/>
        <v>20</v>
      </c>
      <c r="F41" s="143">
        <f t="shared" si="14"/>
        <v>2.5000000000000001E-4</v>
      </c>
      <c r="G41" s="124">
        <f t="shared" si="11"/>
        <v>282800000</v>
      </c>
      <c r="H41" s="132">
        <f t="shared" si="12"/>
        <v>3273.1481481481483</v>
      </c>
      <c r="I41" s="133">
        <f t="shared" si="13"/>
        <v>8.9675291730086251</v>
      </c>
      <c r="J41" s="138">
        <f t="shared" si="15"/>
        <v>-0.26805913418982136</v>
      </c>
      <c r="K41" s="138"/>
    </row>
    <row r="42" spans="1:15" ht="20.25" customHeight="1">
      <c r="A42">
        <f t="shared" si="10"/>
        <v>9.6211275016187398E-2</v>
      </c>
      <c r="B42" s="141">
        <f t="shared" si="9"/>
        <v>0.2308356565547916</v>
      </c>
      <c r="C42" s="125">
        <v>35</v>
      </c>
      <c r="D42" s="126">
        <v>9.6199999999999994E-2</v>
      </c>
      <c r="E42" s="142">
        <f t="shared" si="14"/>
        <v>20</v>
      </c>
      <c r="F42" s="143">
        <f t="shared" si="14"/>
        <v>2.5000000000000001E-4</v>
      </c>
      <c r="G42" s="124">
        <f t="shared" si="11"/>
        <v>384800000</v>
      </c>
      <c r="H42" s="132">
        <f t="shared" si="12"/>
        <v>4453.7037037037035</v>
      </c>
      <c r="I42" s="133">
        <f t="shared" si="13"/>
        <v>12.201927955352613</v>
      </c>
      <c r="J42" s="138">
        <f t="shared" si="15"/>
        <v>-0.30103565655479159</v>
      </c>
      <c r="K42" s="138"/>
    </row>
    <row r="43" spans="1:15" ht="20.25" customHeight="1">
      <c r="A43">
        <f t="shared" si="10"/>
        <v>0.12566370614359174</v>
      </c>
      <c r="B43" s="141">
        <f t="shared" si="9"/>
        <v>0.26381217891976183</v>
      </c>
      <c r="C43" s="122">
        <v>40</v>
      </c>
      <c r="D43" s="126">
        <v>0.126</v>
      </c>
      <c r="E43" s="142">
        <f t="shared" si="14"/>
        <v>20</v>
      </c>
      <c r="F43" s="143">
        <f t="shared" si="14"/>
        <v>2.5000000000000001E-4</v>
      </c>
      <c r="G43" s="124">
        <f t="shared" si="11"/>
        <v>504000000</v>
      </c>
      <c r="H43" s="132">
        <f t="shared" si="12"/>
        <v>5833.333333333333</v>
      </c>
      <c r="I43" s="133">
        <f t="shared" si="13"/>
        <v>15.981735159817351</v>
      </c>
      <c r="J43" s="138">
        <f t="shared" si="15"/>
        <v>-0.33401217891976182</v>
      </c>
      <c r="K43" s="138"/>
    </row>
    <row r="44" spans="1:15" ht="20.25" customHeight="1">
      <c r="A44">
        <f t="shared" si="10"/>
        <v>0.15904312808798329</v>
      </c>
      <c r="B44" s="141">
        <f t="shared" si="9"/>
        <v>0.29678870128473206</v>
      </c>
      <c r="C44" s="125">
        <v>45</v>
      </c>
      <c r="D44" s="126">
        <v>0.159</v>
      </c>
      <c r="E44" s="142">
        <f t="shared" si="14"/>
        <v>20</v>
      </c>
      <c r="F44" s="143">
        <f t="shared" si="14"/>
        <v>2.5000000000000001E-4</v>
      </c>
      <c r="G44" s="124">
        <f t="shared" si="11"/>
        <v>636000000</v>
      </c>
      <c r="H44" s="132">
        <f t="shared" si="12"/>
        <v>7361.1111111111113</v>
      </c>
      <c r="I44" s="133">
        <f t="shared" si="13"/>
        <v>20.167427701674278</v>
      </c>
      <c r="J44" s="138">
        <f t="shared" si="15"/>
        <v>-0.36698870128473204</v>
      </c>
      <c r="K44" s="138"/>
    </row>
    <row r="45" spans="1:15" ht="20.25" customHeight="1">
      <c r="A45">
        <f t="shared" si="10"/>
        <v>0.19634954084936207</v>
      </c>
      <c r="B45" s="141">
        <f t="shared" si="9"/>
        <v>0.32976522364970229</v>
      </c>
      <c r="C45" s="122">
        <v>50</v>
      </c>
      <c r="D45" s="126">
        <v>0.19700000000000001</v>
      </c>
      <c r="E45" s="142">
        <f t="shared" si="14"/>
        <v>20</v>
      </c>
      <c r="F45" s="143">
        <f t="shared" si="14"/>
        <v>2.5000000000000001E-4</v>
      </c>
      <c r="G45" s="124">
        <f t="shared" si="11"/>
        <v>788000000</v>
      </c>
      <c r="H45" s="132">
        <f t="shared" si="12"/>
        <v>9120.3703703703704</v>
      </c>
      <c r="I45" s="133">
        <f t="shared" si="13"/>
        <v>24.987316083206494</v>
      </c>
      <c r="J45" s="138">
        <f t="shared" si="15"/>
        <v>-0.39996522364970227</v>
      </c>
      <c r="K45" s="138"/>
    </row>
    <row r="46" spans="1:15" ht="20.25" customHeight="1">
      <c r="A46">
        <f t="shared" si="10"/>
        <v>0.23758294442772815</v>
      </c>
      <c r="B46" s="141">
        <f t="shared" si="9"/>
        <v>0.36274174601467252</v>
      </c>
      <c r="C46" s="125">
        <v>55</v>
      </c>
      <c r="D46" s="126">
        <v>0.23899999999999999</v>
      </c>
      <c r="E46" s="142">
        <f t="shared" si="14"/>
        <v>20</v>
      </c>
      <c r="F46" s="143">
        <f t="shared" si="14"/>
        <v>2.5000000000000001E-4</v>
      </c>
      <c r="G46" s="124">
        <f t="shared" si="11"/>
        <v>956000000</v>
      </c>
      <c r="H46" s="132">
        <f t="shared" si="12"/>
        <v>11064.814814814816</v>
      </c>
      <c r="I46" s="133">
        <f t="shared" si="13"/>
        <v>30.314561136478947</v>
      </c>
      <c r="J46" s="138">
        <f t="shared" si="15"/>
        <v>-0.4329417460146725</v>
      </c>
      <c r="K46" s="138"/>
    </row>
    <row r="47" spans="1:15" ht="20.25" customHeight="1">
      <c r="A47">
        <f>1.781-0.933*LOG(100-C47)</f>
        <v>0.28627802809101111</v>
      </c>
      <c r="B47" s="141">
        <f t="shared" si="9"/>
        <v>0.39571826837964275</v>
      </c>
      <c r="C47" s="122">
        <v>60</v>
      </c>
      <c r="D47" s="126">
        <v>0.28599999999999998</v>
      </c>
      <c r="E47" s="142">
        <f t="shared" si="14"/>
        <v>20</v>
      </c>
      <c r="F47" s="143">
        <f t="shared" si="14"/>
        <v>2.5000000000000001E-4</v>
      </c>
      <c r="G47" s="124">
        <f t="shared" si="11"/>
        <v>1144000000</v>
      </c>
      <c r="H47" s="132">
        <f t="shared" si="12"/>
        <v>13240.740740740741</v>
      </c>
      <c r="I47" s="133">
        <f t="shared" si="13"/>
        <v>36.276002029426685</v>
      </c>
      <c r="J47" s="138">
        <f t="shared" si="15"/>
        <v>-0.46591826837964273</v>
      </c>
      <c r="K47" s="138"/>
    </row>
    <row r="48" spans="1:15" ht="20.25" customHeight="1">
      <c r="A48">
        <f t="shared" ref="A48:A54" si="16">1.781-0.933*LOG(100-C48)</f>
        <v>0.34038451462119257</v>
      </c>
      <c r="B48" s="141">
        <f t="shared" si="9"/>
        <v>0.42869479074461297</v>
      </c>
      <c r="C48" s="125">
        <v>65</v>
      </c>
      <c r="D48" s="126">
        <v>0.34200000000000003</v>
      </c>
      <c r="E48" s="142">
        <f t="shared" si="14"/>
        <v>20</v>
      </c>
      <c r="F48" s="143">
        <f t="shared" si="14"/>
        <v>2.5000000000000001E-4</v>
      </c>
      <c r="G48" s="124">
        <f t="shared" si="11"/>
        <v>1368000000</v>
      </c>
      <c r="H48" s="132">
        <f t="shared" si="12"/>
        <v>15833.333333333334</v>
      </c>
      <c r="I48" s="133">
        <f t="shared" si="13"/>
        <v>43.378995433789953</v>
      </c>
      <c r="J48" s="138">
        <f t="shared" si="15"/>
        <v>-0.49889479074461296</v>
      </c>
      <c r="K48" s="138"/>
    </row>
    <row r="49" spans="1:15" ht="20.25" customHeight="1">
      <c r="A49">
        <f t="shared" si="16"/>
        <v>0.40284586934655486</v>
      </c>
      <c r="B49" s="141">
        <f t="shared" si="9"/>
        <v>0.4616713131095832</v>
      </c>
      <c r="C49" s="122">
        <v>70</v>
      </c>
      <c r="D49" s="126">
        <v>0.40300000000000002</v>
      </c>
      <c r="E49" s="142">
        <f t="shared" si="14"/>
        <v>20</v>
      </c>
      <c r="F49" s="143">
        <f t="shared" si="14"/>
        <v>2.5000000000000001E-4</v>
      </c>
      <c r="G49" s="124">
        <f t="shared" si="11"/>
        <v>1612000000</v>
      </c>
      <c r="H49" s="132">
        <f t="shared" si="12"/>
        <v>18657.407407407409</v>
      </c>
      <c r="I49" s="133">
        <f t="shared" si="13"/>
        <v>51.116184677828514</v>
      </c>
      <c r="J49" s="138">
        <f t="shared" si="15"/>
        <v>-0.53187131310958313</v>
      </c>
      <c r="K49" s="138"/>
    </row>
    <row r="50" spans="1:15" ht="20.25" customHeight="1">
      <c r="A50">
        <f t="shared" si="16"/>
        <v>0.47672197190898857</v>
      </c>
      <c r="B50" s="141">
        <f t="shared" si="9"/>
        <v>0.49464783547455338</v>
      </c>
      <c r="C50" s="125">
        <v>75</v>
      </c>
      <c r="D50" s="126">
        <v>0.47699999999999998</v>
      </c>
      <c r="E50" s="142">
        <f t="shared" si="14"/>
        <v>20</v>
      </c>
      <c r="F50" s="143">
        <f t="shared" si="14"/>
        <v>2.5000000000000001E-4</v>
      </c>
      <c r="G50" s="124">
        <f t="shared" si="11"/>
        <v>1908000000</v>
      </c>
      <c r="H50" s="132">
        <f t="shared" si="12"/>
        <v>22083.333333333332</v>
      </c>
      <c r="I50" s="133">
        <f t="shared" si="13"/>
        <v>60.502283105022826</v>
      </c>
      <c r="J50" s="138">
        <f t="shared" si="15"/>
        <v>-0.56484783547455342</v>
      </c>
      <c r="K50" s="138"/>
    </row>
    <row r="51" spans="1:15" ht="20.25" customHeight="1">
      <c r="A51">
        <f t="shared" si="16"/>
        <v>0.56713901404550526</v>
      </c>
      <c r="B51" s="141">
        <f t="shared" si="9"/>
        <v>0.52762435783952366</v>
      </c>
      <c r="C51" s="122">
        <v>80</v>
      </c>
      <c r="D51" s="126">
        <v>0.56699999999999995</v>
      </c>
      <c r="E51" s="142">
        <f t="shared" si="14"/>
        <v>20</v>
      </c>
      <c r="F51" s="143">
        <f t="shared" si="14"/>
        <v>2.5000000000000001E-4</v>
      </c>
      <c r="G51" s="124">
        <f t="shared" si="11"/>
        <v>2268000000</v>
      </c>
      <c r="H51" s="132">
        <f t="shared" si="12"/>
        <v>26250</v>
      </c>
      <c r="I51" s="133">
        <f t="shared" si="13"/>
        <v>71.917808219178085</v>
      </c>
      <c r="J51" s="138">
        <f t="shared" si="15"/>
        <v>-0.5978243578395237</v>
      </c>
      <c r="K51" s="138"/>
    </row>
    <row r="52" spans="1:15" ht="20.25" customHeight="1">
      <c r="A52">
        <f t="shared" si="16"/>
        <v>0.68370685530104924</v>
      </c>
      <c r="B52" s="141">
        <f t="shared" si="9"/>
        <v>0.56060088020449395</v>
      </c>
      <c r="C52" s="125">
        <v>85</v>
      </c>
      <c r="D52" s="126">
        <v>0.67400000000000004</v>
      </c>
      <c r="E52" s="142">
        <f t="shared" si="14"/>
        <v>20</v>
      </c>
      <c r="F52" s="143">
        <f t="shared" si="14"/>
        <v>2.5000000000000001E-4</v>
      </c>
      <c r="G52" s="124">
        <f t="shared" si="11"/>
        <v>2696000000</v>
      </c>
      <c r="H52" s="132">
        <f t="shared" si="12"/>
        <v>31203.703703703704</v>
      </c>
      <c r="I52" s="133">
        <f t="shared" si="13"/>
        <v>85.48959918822932</v>
      </c>
      <c r="J52" s="138">
        <f t="shared" si="15"/>
        <v>-0.63080088020449399</v>
      </c>
      <c r="K52" s="138"/>
    </row>
    <row r="53" spans="1:15" ht="20.25" customHeight="1">
      <c r="A53">
        <f t="shared" si="16"/>
        <v>0.84799999999999986</v>
      </c>
      <c r="B53" s="141">
        <f t="shared" si="9"/>
        <v>0.59357740256946412</v>
      </c>
      <c r="C53" s="122">
        <v>90</v>
      </c>
      <c r="D53" s="126">
        <v>0.84799999999999998</v>
      </c>
      <c r="E53" s="142">
        <f t="shared" ref="E53:F54" si="17">E52</f>
        <v>20</v>
      </c>
      <c r="F53" s="143">
        <f t="shared" si="17"/>
        <v>2.5000000000000001E-4</v>
      </c>
      <c r="G53" s="124">
        <f t="shared" si="11"/>
        <v>3392000000</v>
      </c>
      <c r="H53" s="132">
        <f t="shared" si="12"/>
        <v>39259.259259259263</v>
      </c>
      <c r="I53" s="133">
        <f t="shared" si="13"/>
        <v>107.55961440892949</v>
      </c>
      <c r="J53" s="138">
        <f t="shared" si="15"/>
        <v>-0.66377740256946405</v>
      </c>
      <c r="K53" s="138"/>
    </row>
    <row r="54" spans="1:15" ht="20.25" customHeight="1">
      <c r="A54">
        <f t="shared" si="16"/>
        <v>1.1288609859544942</v>
      </c>
      <c r="B54" s="141">
        <f t="shared" si="9"/>
        <v>0.6265539249344344</v>
      </c>
      <c r="C54" s="125">
        <v>95</v>
      </c>
      <c r="D54" s="126">
        <v>1.129</v>
      </c>
      <c r="E54" s="142">
        <f t="shared" si="17"/>
        <v>20</v>
      </c>
      <c r="F54" s="143">
        <f t="shared" si="17"/>
        <v>2.5000000000000001E-4</v>
      </c>
      <c r="G54" s="124">
        <f t="shared" si="11"/>
        <v>4516000000</v>
      </c>
      <c r="H54" s="132">
        <f t="shared" si="12"/>
        <v>52268.518518518518</v>
      </c>
      <c r="I54" s="133">
        <f t="shared" si="13"/>
        <v>143.20142059868087</v>
      </c>
      <c r="J54" s="138">
        <f t="shared" si="15"/>
        <v>-0.69675392493443433</v>
      </c>
      <c r="K54" s="138"/>
    </row>
    <row r="55" spans="1:15" ht="20.25" customHeight="1" thickBot="1">
      <c r="B55" s="127"/>
      <c r="C55" s="128"/>
      <c r="D55" s="129"/>
      <c r="E55" s="128"/>
      <c r="F55" s="128"/>
      <c r="G55" s="128"/>
      <c r="H55" s="134"/>
      <c r="I55" s="135"/>
    </row>
    <row r="57" spans="1:15">
      <c r="B57" t="s">
        <v>174</v>
      </c>
      <c r="F57" s="200">
        <f>F63</f>
        <v>2.5000000000000001E-3</v>
      </c>
    </row>
    <row r="58" spans="1:15">
      <c r="B58" t="s">
        <v>98</v>
      </c>
      <c r="F58" t="s">
        <v>99</v>
      </c>
      <c r="G58" s="145">
        <f>G2</f>
        <v>4</v>
      </c>
      <c r="L58">
        <v>1</v>
      </c>
    </row>
    <row r="59" spans="1:15">
      <c r="D59" s="150">
        <f>D3</f>
        <v>0.65953044729940458</v>
      </c>
      <c r="E59" t="s">
        <v>48</v>
      </c>
      <c r="F59" t="str">
        <f>F3</f>
        <v>Case: Land Fill, +2.75m</v>
      </c>
      <c r="L59">
        <v>2</v>
      </c>
    </row>
    <row r="60" spans="1:15" ht="25.65" thickBot="1">
      <c r="B60" s="249" t="s">
        <v>100</v>
      </c>
      <c r="C60" s="249"/>
      <c r="D60" s="249"/>
      <c r="E60" s="249"/>
      <c r="F60" s="249"/>
      <c r="G60" s="249"/>
      <c r="H60" s="249"/>
      <c r="I60" s="118"/>
    </row>
    <row r="61" spans="1:15" ht="25.65" thickBot="1">
      <c r="A61" t="s">
        <v>156</v>
      </c>
      <c r="B61" s="189"/>
      <c r="C61" s="190"/>
      <c r="D61" s="190"/>
      <c r="E61" s="190" t="s">
        <v>123</v>
      </c>
      <c r="F61" s="190"/>
      <c r="G61" s="193">
        <v>2</v>
      </c>
      <c r="H61" s="190" t="s">
        <v>124</v>
      </c>
      <c r="I61" s="192"/>
      <c r="J61" t="s">
        <v>125</v>
      </c>
      <c r="K61" s="248" t="s">
        <v>126</v>
      </c>
      <c r="L61" s="248"/>
    </row>
    <row r="62" spans="1:15" ht="23.85" thickBot="1">
      <c r="B62" s="119" t="s">
        <v>90</v>
      </c>
      <c r="C62" s="120" t="s">
        <v>91</v>
      </c>
      <c r="D62" s="120" t="s">
        <v>92</v>
      </c>
      <c r="E62" s="120" t="s">
        <v>101</v>
      </c>
      <c r="F62" s="120" t="s">
        <v>93</v>
      </c>
      <c r="G62" s="120" t="s">
        <v>94</v>
      </c>
      <c r="H62" s="121" t="s">
        <v>95</v>
      </c>
      <c r="I62" s="121" t="s">
        <v>96</v>
      </c>
      <c r="J62" s="139" t="s">
        <v>102</v>
      </c>
      <c r="K62" s="139" t="s">
        <v>127</v>
      </c>
      <c r="L62" s="139" t="s">
        <v>128</v>
      </c>
    </row>
    <row r="63" spans="1:15" ht="20.25" customHeight="1">
      <c r="A63">
        <f>PI()/4*(C63/100)^2</f>
        <v>0</v>
      </c>
      <c r="B63" s="140">
        <f t="shared" ref="B63:B82" si="18">$D$3*C63/100</f>
        <v>0</v>
      </c>
      <c r="C63" s="122">
        <v>0</v>
      </c>
      <c r="D63" s="123">
        <v>0</v>
      </c>
      <c r="E63" s="137">
        <f>E36</f>
        <v>20</v>
      </c>
      <c r="F63" s="155">
        <v>2.5000000000000001E-3</v>
      </c>
      <c r="G63" s="124">
        <f>D63*(E63*100/$G$61)^2/F63</f>
        <v>0</v>
      </c>
      <c r="H63" s="132">
        <f>G63/(60*60*24)</f>
        <v>0</v>
      </c>
      <c r="I63" s="133">
        <f>H63/365</f>
        <v>0</v>
      </c>
      <c r="J63" s="138">
        <f>B63*-1</f>
        <v>0</v>
      </c>
      <c r="K63">
        <v>0</v>
      </c>
      <c r="L63" s="138">
        <v>0</v>
      </c>
      <c r="M63">
        <v>1</v>
      </c>
      <c r="N63" s="144">
        <v>1.05</v>
      </c>
      <c r="O63" t="s">
        <v>103</v>
      </c>
    </row>
    <row r="64" spans="1:15" ht="20.25" customHeight="1">
      <c r="A64">
        <f t="shared" ref="A64:A74" si="19">PI()/4*(C64/100)^2</f>
        <v>1.9634954084936209E-3</v>
      </c>
      <c r="B64" s="141">
        <f t="shared" si="18"/>
        <v>3.2976522364970229E-2</v>
      </c>
      <c r="C64" s="125">
        <v>5</v>
      </c>
      <c r="D64" s="126">
        <v>2E-3</v>
      </c>
      <c r="E64" s="142">
        <f>E63</f>
        <v>20</v>
      </c>
      <c r="F64" s="143">
        <f>F63</f>
        <v>2.5000000000000001E-3</v>
      </c>
      <c r="G64" s="124">
        <f>D64*(E64*100/$G$61)^2/F64</f>
        <v>800000</v>
      </c>
      <c r="H64" s="132">
        <f t="shared" ref="H64:H82" si="20">G64/(60*60*24)</f>
        <v>9.2592592592592595</v>
      </c>
      <c r="I64" s="133">
        <f t="shared" ref="I64:I82" si="21">H64/365</f>
        <v>2.5367833587011671E-2</v>
      </c>
      <c r="J64" s="138">
        <f>B64*(-1)-$L$4</f>
        <v>-0.10317652236497021</v>
      </c>
      <c r="K64" s="138">
        <v>1.02</v>
      </c>
      <c r="L64">
        <v>-24.4</v>
      </c>
      <c r="M64">
        <v>2</v>
      </c>
      <c r="N64" s="144">
        <v>1.54</v>
      </c>
      <c r="O64" t="s">
        <v>104</v>
      </c>
    </row>
    <row r="65" spans="1:15" ht="20.25" customHeight="1">
      <c r="A65">
        <f t="shared" si="19"/>
        <v>7.8539816339744835E-3</v>
      </c>
      <c r="B65" s="141">
        <f t="shared" si="18"/>
        <v>6.5953044729940458E-2</v>
      </c>
      <c r="C65" s="122">
        <v>10</v>
      </c>
      <c r="D65" s="126">
        <v>7.7999999999999996E-3</v>
      </c>
      <c r="E65" s="142">
        <f t="shared" ref="E65:F80" si="22">E64</f>
        <v>20</v>
      </c>
      <c r="F65" s="143">
        <f t="shared" si="22"/>
        <v>2.5000000000000001E-3</v>
      </c>
      <c r="G65" s="124">
        <f t="shared" ref="G65:G82" si="23">D65*(E65*100/$G$61)^2/F65</f>
        <v>3120000</v>
      </c>
      <c r="H65" s="132">
        <f t="shared" si="20"/>
        <v>36.111111111111114</v>
      </c>
      <c r="I65" s="133">
        <f t="shared" si="21"/>
        <v>9.8934550989345518E-2</v>
      </c>
      <c r="J65" s="138">
        <f t="shared" ref="J65:J82" si="24">B65*(-1)-$L$4</f>
        <v>-0.13615304472994044</v>
      </c>
      <c r="K65" s="138">
        <v>2.19</v>
      </c>
      <c r="L65">
        <v>-40.6</v>
      </c>
      <c r="M65">
        <v>3</v>
      </c>
      <c r="N65" s="144">
        <v>2.0099999999999998</v>
      </c>
      <c r="O65" t="s">
        <v>105</v>
      </c>
    </row>
    <row r="66" spans="1:15" ht="20.25" customHeight="1">
      <c r="A66">
        <f t="shared" si="19"/>
        <v>1.7671458676442587E-2</v>
      </c>
      <c r="B66" s="141">
        <f t="shared" si="18"/>
        <v>9.8929567094910686E-2</v>
      </c>
      <c r="C66" s="125">
        <v>15</v>
      </c>
      <c r="D66" s="126">
        <v>1.77E-2</v>
      </c>
      <c r="E66" s="142">
        <f t="shared" si="22"/>
        <v>20</v>
      </c>
      <c r="F66" s="143">
        <f t="shared" si="22"/>
        <v>2.5000000000000001E-3</v>
      </c>
      <c r="G66" s="124">
        <f t="shared" si="23"/>
        <v>7080000</v>
      </c>
      <c r="H66" s="132">
        <f t="shared" si="20"/>
        <v>81.944444444444443</v>
      </c>
      <c r="I66" s="133">
        <f t="shared" si="21"/>
        <v>0.22450532724505326</v>
      </c>
      <c r="J66" s="138">
        <f t="shared" si="24"/>
        <v>-0.16912956709491067</v>
      </c>
      <c r="K66" s="138">
        <v>2.38</v>
      </c>
      <c r="L66">
        <v>-42</v>
      </c>
      <c r="M66">
        <v>4</v>
      </c>
      <c r="N66" s="144">
        <v>1.21</v>
      </c>
      <c r="O66" t="s">
        <v>106</v>
      </c>
    </row>
    <row r="67" spans="1:15" ht="20.25" customHeight="1">
      <c r="A67">
        <f t="shared" si="19"/>
        <v>3.1415926535897934E-2</v>
      </c>
      <c r="B67" s="141">
        <f t="shared" si="18"/>
        <v>0.13190608945988092</v>
      </c>
      <c r="C67" s="122">
        <v>20</v>
      </c>
      <c r="D67" s="126">
        <v>3.1399999999999997E-2</v>
      </c>
      <c r="E67" s="142">
        <f t="shared" si="22"/>
        <v>20</v>
      </c>
      <c r="F67" s="143">
        <f t="shared" si="22"/>
        <v>2.5000000000000001E-3</v>
      </c>
      <c r="G67" s="124">
        <f t="shared" si="23"/>
        <v>12559999.999999998</v>
      </c>
      <c r="H67" s="132">
        <f t="shared" si="20"/>
        <v>145.37037037037035</v>
      </c>
      <c r="I67" s="133">
        <f t="shared" si="21"/>
        <v>0.39827498731608318</v>
      </c>
      <c r="J67" s="138">
        <f t="shared" si="24"/>
        <v>-0.2021060894598809</v>
      </c>
      <c r="K67" s="138"/>
      <c r="M67">
        <v>5</v>
      </c>
      <c r="N67" s="144">
        <v>1.39</v>
      </c>
      <c r="O67" t="s">
        <v>107</v>
      </c>
    </row>
    <row r="68" spans="1:15" ht="20.25" customHeight="1">
      <c r="A68">
        <f t="shared" si="19"/>
        <v>4.9087385212340517E-2</v>
      </c>
      <c r="B68" s="141">
        <f t="shared" si="18"/>
        <v>0.16488261182485114</v>
      </c>
      <c r="C68" s="125">
        <v>25</v>
      </c>
      <c r="D68" s="126">
        <v>4.9099999999999998E-2</v>
      </c>
      <c r="E68" s="142">
        <f t="shared" si="22"/>
        <v>20</v>
      </c>
      <c r="F68" s="143">
        <f t="shared" si="22"/>
        <v>2.5000000000000001E-3</v>
      </c>
      <c r="G68" s="124">
        <f t="shared" si="23"/>
        <v>19640000</v>
      </c>
      <c r="H68" s="132">
        <f t="shared" si="20"/>
        <v>227.31481481481481</v>
      </c>
      <c r="I68" s="133">
        <f t="shared" si="21"/>
        <v>0.62278031456113647</v>
      </c>
      <c r="J68" s="138">
        <f t="shared" si="24"/>
        <v>-0.23508261182485113</v>
      </c>
      <c r="K68" s="138"/>
      <c r="M68">
        <v>6</v>
      </c>
      <c r="N68" s="149">
        <v>0.8</v>
      </c>
      <c r="O68" t="s">
        <v>108</v>
      </c>
    </row>
    <row r="69" spans="1:15" ht="20.25" customHeight="1">
      <c r="A69">
        <f t="shared" si="19"/>
        <v>7.0685834705770348E-2</v>
      </c>
      <c r="B69" s="141">
        <f t="shared" si="18"/>
        <v>0.19785913418982137</v>
      </c>
      <c r="C69" s="122">
        <v>30</v>
      </c>
      <c r="D69" s="126">
        <v>7.0699999999999999E-2</v>
      </c>
      <c r="E69" s="142">
        <f t="shared" si="22"/>
        <v>20</v>
      </c>
      <c r="F69" s="143">
        <f t="shared" si="22"/>
        <v>2.5000000000000001E-3</v>
      </c>
      <c r="G69" s="124">
        <f t="shared" si="23"/>
        <v>28280000</v>
      </c>
      <c r="H69" s="132">
        <f t="shared" si="20"/>
        <v>327.31481481481484</v>
      </c>
      <c r="I69" s="133">
        <f t="shared" si="21"/>
        <v>0.8967529173008626</v>
      </c>
      <c r="J69" s="138">
        <f t="shared" si="24"/>
        <v>-0.26805913418982136</v>
      </c>
      <c r="K69" s="138"/>
    </row>
    <row r="70" spans="1:15" ht="20.25" customHeight="1">
      <c r="A70">
        <f t="shared" si="19"/>
        <v>9.6211275016187398E-2</v>
      </c>
      <c r="B70" s="141">
        <f t="shared" si="18"/>
        <v>0.2308356565547916</v>
      </c>
      <c r="C70" s="125">
        <v>35</v>
      </c>
      <c r="D70" s="126">
        <v>9.6199999999999994E-2</v>
      </c>
      <c r="E70" s="142">
        <f t="shared" si="22"/>
        <v>20</v>
      </c>
      <c r="F70" s="143">
        <f t="shared" si="22"/>
        <v>2.5000000000000001E-3</v>
      </c>
      <c r="G70" s="124">
        <f t="shared" si="23"/>
        <v>38480000</v>
      </c>
      <c r="H70" s="132">
        <f t="shared" si="20"/>
        <v>445.37037037037038</v>
      </c>
      <c r="I70" s="133">
        <f t="shared" si="21"/>
        <v>1.2201927955352614</v>
      </c>
      <c r="J70" s="138">
        <f t="shared" si="24"/>
        <v>-0.30103565655479159</v>
      </c>
      <c r="K70" s="138"/>
    </row>
    <row r="71" spans="1:15" ht="20.25" customHeight="1">
      <c r="A71">
        <f t="shared" si="19"/>
        <v>0.12566370614359174</v>
      </c>
      <c r="B71" s="141">
        <f t="shared" si="18"/>
        <v>0.26381217891976183</v>
      </c>
      <c r="C71" s="122">
        <v>40</v>
      </c>
      <c r="D71" s="126">
        <v>0.126</v>
      </c>
      <c r="E71" s="142">
        <f t="shared" si="22"/>
        <v>20</v>
      </c>
      <c r="F71" s="143">
        <f t="shared" si="22"/>
        <v>2.5000000000000001E-3</v>
      </c>
      <c r="G71" s="124">
        <f t="shared" si="23"/>
        <v>50400000</v>
      </c>
      <c r="H71" s="132">
        <f t="shared" si="20"/>
        <v>583.33333333333337</v>
      </c>
      <c r="I71" s="133">
        <f t="shared" si="21"/>
        <v>1.5981735159817352</v>
      </c>
      <c r="J71" s="138">
        <f t="shared" si="24"/>
        <v>-0.33401217891976182</v>
      </c>
      <c r="K71" s="138"/>
    </row>
    <row r="72" spans="1:15" ht="20.25" customHeight="1">
      <c r="A72">
        <f t="shared" si="19"/>
        <v>0.15904312808798329</v>
      </c>
      <c r="B72" s="141">
        <f t="shared" si="18"/>
        <v>0.29678870128473206</v>
      </c>
      <c r="C72" s="125">
        <v>45</v>
      </c>
      <c r="D72" s="126">
        <v>0.159</v>
      </c>
      <c r="E72" s="142">
        <f t="shared" si="22"/>
        <v>20</v>
      </c>
      <c r="F72" s="143">
        <f t="shared" si="22"/>
        <v>2.5000000000000001E-3</v>
      </c>
      <c r="G72" s="124">
        <f t="shared" si="23"/>
        <v>63600000</v>
      </c>
      <c r="H72" s="132">
        <f t="shared" si="20"/>
        <v>736.11111111111109</v>
      </c>
      <c r="I72" s="133">
        <f t="shared" si="21"/>
        <v>2.0167427701674274</v>
      </c>
      <c r="J72" s="138">
        <f t="shared" si="24"/>
        <v>-0.36698870128473204</v>
      </c>
      <c r="K72" s="138"/>
    </row>
    <row r="73" spans="1:15" ht="20.25" customHeight="1">
      <c r="A73">
        <f t="shared" si="19"/>
        <v>0.19634954084936207</v>
      </c>
      <c r="B73" s="141">
        <f t="shared" si="18"/>
        <v>0.32976522364970229</v>
      </c>
      <c r="C73" s="122">
        <v>50</v>
      </c>
      <c r="D73" s="126">
        <v>0.19700000000000001</v>
      </c>
      <c r="E73" s="142">
        <f t="shared" si="22"/>
        <v>20</v>
      </c>
      <c r="F73" s="143">
        <f t="shared" si="22"/>
        <v>2.5000000000000001E-3</v>
      </c>
      <c r="G73" s="124">
        <f t="shared" si="23"/>
        <v>78800000</v>
      </c>
      <c r="H73" s="132">
        <f t="shared" si="20"/>
        <v>912.03703703703707</v>
      </c>
      <c r="I73" s="133">
        <f t="shared" si="21"/>
        <v>2.4987316083206497</v>
      </c>
      <c r="J73" s="138">
        <f t="shared" si="24"/>
        <v>-0.39996522364970227</v>
      </c>
      <c r="K73" s="138"/>
    </row>
    <row r="74" spans="1:15" ht="20.25" customHeight="1">
      <c r="A74">
        <f t="shared" si="19"/>
        <v>0.23758294442772815</v>
      </c>
      <c r="B74" s="141">
        <f t="shared" si="18"/>
        <v>0.36274174601467252</v>
      </c>
      <c r="C74" s="125">
        <v>55</v>
      </c>
      <c r="D74" s="126">
        <v>0.23899999999999999</v>
      </c>
      <c r="E74" s="142">
        <f t="shared" si="22"/>
        <v>20</v>
      </c>
      <c r="F74" s="143">
        <f t="shared" si="22"/>
        <v>2.5000000000000001E-3</v>
      </c>
      <c r="G74" s="124">
        <f t="shared" si="23"/>
        <v>95600000</v>
      </c>
      <c r="H74" s="132">
        <f t="shared" si="20"/>
        <v>1106.4814814814815</v>
      </c>
      <c r="I74" s="133">
        <f t="shared" si="21"/>
        <v>3.0314561136478946</v>
      </c>
      <c r="J74" s="138">
        <f t="shared" si="24"/>
        <v>-0.4329417460146725</v>
      </c>
      <c r="K74" s="138"/>
    </row>
    <row r="75" spans="1:15" ht="20.25" customHeight="1">
      <c r="A75">
        <f>1.781-0.933*LOG(100-C75)</f>
        <v>0.28627802809101111</v>
      </c>
      <c r="B75" s="141">
        <f t="shared" si="18"/>
        <v>0.39571826837964275</v>
      </c>
      <c r="C75" s="122">
        <v>60</v>
      </c>
      <c r="D75" s="126">
        <v>0.28599999999999998</v>
      </c>
      <c r="E75" s="142">
        <f t="shared" si="22"/>
        <v>20</v>
      </c>
      <c r="F75" s="143">
        <f t="shared" si="22"/>
        <v>2.5000000000000001E-3</v>
      </c>
      <c r="G75" s="124">
        <f t="shared" si="23"/>
        <v>114400000</v>
      </c>
      <c r="H75" s="132">
        <f t="shared" si="20"/>
        <v>1324.0740740740741</v>
      </c>
      <c r="I75" s="133">
        <f t="shared" si="21"/>
        <v>3.627600202942669</v>
      </c>
      <c r="J75" s="138">
        <f t="shared" si="24"/>
        <v>-0.46591826837964273</v>
      </c>
      <c r="K75" s="138"/>
    </row>
    <row r="76" spans="1:15" ht="20.25" customHeight="1">
      <c r="A76">
        <f t="shared" ref="A76:A82" si="25">1.781-0.933*LOG(100-C76)</f>
        <v>0.34038451462119257</v>
      </c>
      <c r="B76" s="141">
        <f t="shared" si="18"/>
        <v>0.42869479074461297</v>
      </c>
      <c r="C76" s="125">
        <v>65</v>
      </c>
      <c r="D76" s="126">
        <v>0.34200000000000003</v>
      </c>
      <c r="E76" s="142">
        <f t="shared" si="22"/>
        <v>20</v>
      </c>
      <c r="F76" s="143">
        <f t="shared" si="22"/>
        <v>2.5000000000000001E-3</v>
      </c>
      <c r="G76" s="124">
        <f t="shared" si="23"/>
        <v>136800000</v>
      </c>
      <c r="H76" s="132">
        <f t="shared" si="20"/>
        <v>1583.3333333333333</v>
      </c>
      <c r="I76" s="133">
        <f t="shared" si="21"/>
        <v>4.3378995433789953</v>
      </c>
      <c r="J76" s="138">
        <f t="shared" si="24"/>
        <v>-0.49889479074461296</v>
      </c>
      <c r="K76" s="138"/>
    </row>
    <row r="77" spans="1:15" ht="20.25" customHeight="1">
      <c r="A77">
        <f t="shared" si="25"/>
        <v>0.40284586934655486</v>
      </c>
      <c r="B77" s="141">
        <f t="shared" si="18"/>
        <v>0.4616713131095832</v>
      </c>
      <c r="C77" s="122">
        <v>70</v>
      </c>
      <c r="D77" s="126">
        <v>0.40300000000000002</v>
      </c>
      <c r="E77" s="142">
        <f t="shared" si="22"/>
        <v>20</v>
      </c>
      <c r="F77" s="143">
        <f t="shared" si="22"/>
        <v>2.5000000000000001E-3</v>
      </c>
      <c r="G77" s="124">
        <f t="shared" si="23"/>
        <v>161200000</v>
      </c>
      <c r="H77" s="132">
        <f t="shared" si="20"/>
        <v>1865.7407407407406</v>
      </c>
      <c r="I77" s="133">
        <f t="shared" si="21"/>
        <v>5.1116184677828507</v>
      </c>
      <c r="J77" s="138">
        <f t="shared" si="24"/>
        <v>-0.53187131310958313</v>
      </c>
      <c r="K77" s="138"/>
    </row>
    <row r="78" spans="1:15" ht="20.25" customHeight="1">
      <c r="A78">
        <f t="shared" si="25"/>
        <v>0.47672197190898857</v>
      </c>
      <c r="B78" s="141">
        <f t="shared" si="18"/>
        <v>0.49464783547455338</v>
      </c>
      <c r="C78" s="125">
        <v>75</v>
      </c>
      <c r="D78" s="126">
        <v>0.47699999999999998</v>
      </c>
      <c r="E78" s="142">
        <f t="shared" si="22"/>
        <v>20</v>
      </c>
      <c r="F78" s="143">
        <f t="shared" si="22"/>
        <v>2.5000000000000001E-3</v>
      </c>
      <c r="G78" s="124">
        <f t="shared" si="23"/>
        <v>190800000</v>
      </c>
      <c r="H78" s="132">
        <f t="shared" si="20"/>
        <v>2208.3333333333335</v>
      </c>
      <c r="I78" s="133">
        <f t="shared" si="21"/>
        <v>6.0502283105022832</v>
      </c>
      <c r="J78" s="138">
        <f t="shared" si="24"/>
        <v>-0.56484783547455342</v>
      </c>
      <c r="K78" s="138"/>
    </row>
    <row r="79" spans="1:15" ht="20.25" customHeight="1">
      <c r="A79">
        <f t="shared" si="25"/>
        <v>0.56713901404550526</v>
      </c>
      <c r="B79" s="141">
        <f t="shared" si="18"/>
        <v>0.52762435783952366</v>
      </c>
      <c r="C79" s="122">
        <v>80</v>
      </c>
      <c r="D79" s="126">
        <v>0.56699999999999995</v>
      </c>
      <c r="E79" s="142">
        <f t="shared" si="22"/>
        <v>20</v>
      </c>
      <c r="F79" s="143">
        <f t="shared" si="22"/>
        <v>2.5000000000000001E-3</v>
      </c>
      <c r="G79" s="124">
        <f t="shared" si="23"/>
        <v>226800000</v>
      </c>
      <c r="H79" s="132">
        <f t="shared" si="20"/>
        <v>2625</v>
      </c>
      <c r="I79" s="133">
        <f t="shared" si="21"/>
        <v>7.1917808219178081</v>
      </c>
      <c r="J79" s="138">
        <f t="shared" si="24"/>
        <v>-0.5978243578395237</v>
      </c>
      <c r="K79" s="138"/>
    </row>
    <row r="80" spans="1:15" ht="20.25" customHeight="1">
      <c r="A80">
        <f t="shared" si="25"/>
        <v>0.68370685530104924</v>
      </c>
      <c r="B80" s="141">
        <f t="shared" si="18"/>
        <v>0.56060088020449395</v>
      </c>
      <c r="C80" s="125">
        <v>85</v>
      </c>
      <c r="D80" s="126">
        <v>0.67400000000000004</v>
      </c>
      <c r="E80" s="142">
        <f t="shared" si="22"/>
        <v>20</v>
      </c>
      <c r="F80" s="143">
        <f t="shared" si="22"/>
        <v>2.5000000000000001E-3</v>
      </c>
      <c r="G80" s="124">
        <f t="shared" si="23"/>
        <v>269600000</v>
      </c>
      <c r="H80" s="132">
        <f t="shared" si="20"/>
        <v>3120.3703703703704</v>
      </c>
      <c r="I80" s="133">
        <f t="shared" si="21"/>
        <v>8.5489599188229324</v>
      </c>
      <c r="J80" s="138">
        <f t="shared" si="24"/>
        <v>-0.63080088020449399</v>
      </c>
      <c r="K80" s="138"/>
    </row>
    <row r="81" spans="1:15" ht="20.25" customHeight="1">
      <c r="A81">
        <f t="shared" si="25"/>
        <v>0.84799999999999986</v>
      </c>
      <c r="B81" s="141">
        <f t="shared" si="18"/>
        <v>0.59357740256946412</v>
      </c>
      <c r="C81" s="122">
        <v>90</v>
      </c>
      <c r="D81" s="126">
        <v>0.84799999999999998</v>
      </c>
      <c r="E81" s="142">
        <f t="shared" ref="E81:F82" si="26">E80</f>
        <v>20</v>
      </c>
      <c r="F81" s="143">
        <f t="shared" si="26"/>
        <v>2.5000000000000001E-3</v>
      </c>
      <c r="G81" s="124">
        <f t="shared" si="23"/>
        <v>339200000</v>
      </c>
      <c r="H81" s="132">
        <f t="shared" si="20"/>
        <v>3925.9259259259261</v>
      </c>
      <c r="I81" s="133">
        <f t="shared" si="21"/>
        <v>10.755961440892948</v>
      </c>
      <c r="J81" s="138">
        <f t="shared" si="24"/>
        <v>-0.66377740256946405</v>
      </c>
      <c r="K81" s="138"/>
    </row>
    <row r="82" spans="1:15" ht="20.25" customHeight="1">
      <c r="A82">
        <f t="shared" si="25"/>
        <v>1.1288609859544942</v>
      </c>
      <c r="B82" s="141">
        <f t="shared" si="18"/>
        <v>0.6265539249344344</v>
      </c>
      <c r="C82" s="125">
        <v>95</v>
      </c>
      <c r="D82" s="126">
        <v>1.129</v>
      </c>
      <c r="E82" s="142">
        <f t="shared" si="26"/>
        <v>20</v>
      </c>
      <c r="F82" s="143">
        <f t="shared" si="26"/>
        <v>2.5000000000000001E-3</v>
      </c>
      <c r="G82" s="124">
        <f t="shared" si="23"/>
        <v>451600000</v>
      </c>
      <c r="H82" s="132">
        <f t="shared" si="20"/>
        <v>5226.8518518518522</v>
      </c>
      <c r="I82" s="133">
        <f t="shared" si="21"/>
        <v>14.320142059868088</v>
      </c>
      <c r="J82" s="138">
        <f t="shared" si="24"/>
        <v>-0.69675392493443433</v>
      </c>
      <c r="K82" s="138"/>
    </row>
    <row r="83" spans="1:15" ht="20.25" customHeight="1" thickBot="1">
      <c r="B83" s="127"/>
      <c r="C83" s="128"/>
      <c r="D83" s="129"/>
      <c r="E83" s="128"/>
      <c r="F83" s="128"/>
      <c r="G83" s="128"/>
      <c r="H83" s="134"/>
      <c r="I83" s="135"/>
    </row>
    <row r="85" spans="1:15">
      <c r="B85" t="s">
        <v>174</v>
      </c>
      <c r="F85" s="200">
        <f>F91</f>
        <v>5.0000000000000001E-3</v>
      </c>
    </row>
    <row r="86" spans="1:15">
      <c r="B86" t="s">
        <v>98</v>
      </c>
      <c r="F86" t="s">
        <v>99</v>
      </c>
      <c r="G86" s="145">
        <f>G2</f>
        <v>4</v>
      </c>
      <c r="L86">
        <v>1</v>
      </c>
    </row>
    <row r="87" spans="1:15">
      <c r="D87" s="150">
        <f>D3</f>
        <v>0.65953044729940458</v>
      </c>
      <c r="E87" t="s">
        <v>48</v>
      </c>
      <c r="F87" t="str">
        <f>F3</f>
        <v>Case: Land Fill, +2.75m</v>
      </c>
      <c r="L87">
        <v>2</v>
      </c>
    </row>
    <row r="88" spans="1:15" ht="25.65" thickBot="1">
      <c r="B88" s="249" t="s">
        <v>100</v>
      </c>
      <c r="C88" s="249"/>
      <c r="D88" s="249"/>
      <c r="E88" s="249"/>
      <c r="F88" s="249"/>
      <c r="G88" s="249"/>
      <c r="H88" s="249"/>
      <c r="I88" s="118"/>
    </row>
    <row r="89" spans="1:15" ht="25.65" thickBot="1">
      <c r="A89" t="s">
        <v>157</v>
      </c>
      <c r="B89" s="189"/>
      <c r="C89" s="190"/>
      <c r="D89" s="190"/>
      <c r="E89" s="190" t="s">
        <v>123</v>
      </c>
      <c r="F89" s="190"/>
      <c r="G89" s="193">
        <v>2</v>
      </c>
      <c r="H89" s="190" t="s">
        <v>124</v>
      </c>
      <c r="I89" s="192"/>
      <c r="J89" t="s">
        <v>125</v>
      </c>
      <c r="K89" s="248" t="s">
        <v>126</v>
      </c>
      <c r="L89" s="248"/>
    </row>
    <row r="90" spans="1:15" ht="23.85" thickBot="1">
      <c r="B90" s="119" t="s">
        <v>90</v>
      </c>
      <c r="C90" s="120" t="s">
        <v>91</v>
      </c>
      <c r="D90" s="120" t="s">
        <v>92</v>
      </c>
      <c r="E90" s="120" t="s">
        <v>101</v>
      </c>
      <c r="F90" s="120" t="s">
        <v>93</v>
      </c>
      <c r="G90" s="120" t="s">
        <v>94</v>
      </c>
      <c r="H90" s="121" t="s">
        <v>95</v>
      </c>
      <c r="I90" s="121" t="s">
        <v>96</v>
      </c>
      <c r="J90" s="139" t="s">
        <v>102</v>
      </c>
      <c r="K90" s="139" t="s">
        <v>127</v>
      </c>
      <c r="L90" s="139" t="s">
        <v>128</v>
      </c>
    </row>
    <row r="91" spans="1:15" ht="20.25" customHeight="1">
      <c r="A91">
        <f>PI()/4*(C91/100)^2</f>
        <v>0</v>
      </c>
      <c r="B91" s="140">
        <f t="shared" ref="B91:B110" si="27">$D$3*C91/100</f>
        <v>0</v>
      </c>
      <c r="C91" s="122">
        <v>0</v>
      </c>
      <c r="D91" s="123">
        <v>0</v>
      </c>
      <c r="E91" s="137">
        <f>E64</f>
        <v>20</v>
      </c>
      <c r="F91" s="155">
        <v>5.0000000000000001E-3</v>
      </c>
      <c r="G91" s="124">
        <f>D91*(E91*100/$G$61)^2/F91</f>
        <v>0</v>
      </c>
      <c r="H91" s="132">
        <f>G91/(60*60*24)</f>
        <v>0</v>
      </c>
      <c r="I91" s="133">
        <f>H91/365</f>
        <v>0</v>
      </c>
      <c r="J91" s="138">
        <f>B91*-1</f>
        <v>0</v>
      </c>
      <c r="K91">
        <v>0</v>
      </c>
      <c r="L91" s="138">
        <v>0</v>
      </c>
      <c r="M91">
        <v>1</v>
      </c>
      <c r="N91" s="144">
        <v>1.05</v>
      </c>
      <c r="O91" t="s">
        <v>158</v>
      </c>
    </row>
    <row r="92" spans="1:15" ht="20.25" customHeight="1">
      <c r="A92">
        <f t="shared" ref="A92:A102" si="28">PI()/4*(C92/100)^2</f>
        <v>1.9634954084936209E-3</v>
      </c>
      <c r="B92" s="141">
        <f t="shared" si="27"/>
        <v>3.2976522364970229E-2</v>
      </c>
      <c r="C92" s="125">
        <v>5</v>
      </c>
      <c r="D92" s="126">
        <v>2E-3</v>
      </c>
      <c r="E92" s="142">
        <f>E91</f>
        <v>20</v>
      </c>
      <c r="F92" s="143">
        <f>F91</f>
        <v>5.0000000000000001E-3</v>
      </c>
      <c r="G92" s="124">
        <f>D92*(E92*100/$G$89)^2/F92</f>
        <v>400000</v>
      </c>
      <c r="H92" s="132">
        <f t="shared" ref="H92:H110" si="29">G92/(60*60*24)</f>
        <v>4.6296296296296298</v>
      </c>
      <c r="I92" s="133">
        <f t="shared" ref="I92:I110" si="30">H92/365</f>
        <v>1.2683916793505836E-2</v>
      </c>
      <c r="J92" s="138">
        <f>B92*(-1)-$L$4</f>
        <v>-0.10317652236497021</v>
      </c>
      <c r="K92" s="138">
        <v>1.02</v>
      </c>
      <c r="L92">
        <v>-24.4</v>
      </c>
      <c r="M92">
        <v>2</v>
      </c>
      <c r="N92" s="144">
        <v>1.54</v>
      </c>
      <c r="O92" t="s">
        <v>159</v>
      </c>
    </row>
    <row r="93" spans="1:15" ht="20.25" customHeight="1">
      <c r="A93">
        <f t="shared" si="28"/>
        <v>7.8539816339744835E-3</v>
      </c>
      <c r="B93" s="141">
        <f t="shared" si="27"/>
        <v>6.5953044729940458E-2</v>
      </c>
      <c r="C93" s="122">
        <v>10</v>
      </c>
      <c r="D93" s="126">
        <v>7.7999999999999996E-3</v>
      </c>
      <c r="E93" s="142">
        <f t="shared" ref="E93:F108" si="31">E92</f>
        <v>20</v>
      </c>
      <c r="F93" s="143">
        <f t="shared" si="31"/>
        <v>5.0000000000000001E-3</v>
      </c>
      <c r="G93" s="124">
        <f t="shared" ref="G93:G110" si="32">D93*(E93*100/$G$89)^2/F93</f>
        <v>1560000</v>
      </c>
      <c r="H93" s="132">
        <f t="shared" si="29"/>
        <v>18.055555555555557</v>
      </c>
      <c r="I93" s="133">
        <f t="shared" si="30"/>
        <v>4.9467275494672759E-2</v>
      </c>
      <c r="J93" s="138">
        <f t="shared" ref="J93:J110" si="33">B93*(-1)-$L$4</f>
        <v>-0.13615304472994044</v>
      </c>
      <c r="K93" s="138">
        <v>2.19</v>
      </c>
      <c r="L93">
        <v>-40.6</v>
      </c>
      <c r="M93">
        <v>3</v>
      </c>
      <c r="N93" s="144">
        <v>2.0099999999999998</v>
      </c>
      <c r="O93" t="s">
        <v>160</v>
      </c>
    </row>
    <row r="94" spans="1:15" ht="20.25" customHeight="1">
      <c r="A94">
        <f t="shared" si="28"/>
        <v>1.7671458676442587E-2</v>
      </c>
      <c r="B94" s="141">
        <f t="shared" si="27"/>
        <v>9.8929567094910686E-2</v>
      </c>
      <c r="C94" s="125">
        <v>15</v>
      </c>
      <c r="D94" s="126">
        <v>1.77E-2</v>
      </c>
      <c r="E94" s="142">
        <f t="shared" si="31"/>
        <v>20</v>
      </c>
      <c r="F94" s="143">
        <f t="shared" si="31"/>
        <v>5.0000000000000001E-3</v>
      </c>
      <c r="G94" s="124">
        <f t="shared" si="32"/>
        <v>3540000</v>
      </c>
      <c r="H94" s="132">
        <f t="shared" si="29"/>
        <v>40.972222222222221</v>
      </c>
      <c r="I94" s="133">
        <f t="shared" si="30"/>
        <v>0.11225266362252663</v>
      </c>
      <c r="J94" s="138">
        <f t="shared" si="33"/>
        <v>-0.16912956709491067</v>
      </c>
      <c r="K94" s="138">
        <v>2.38</v>
      </c>
      <c r="L94">
        <v>-42</v>
      </c>
      <c r="M94">
        <v>4</v>
      </c>
      <c r="N94" s="144">
        <v>1.21</v>
      </c>
      <c r="O94" t="s">
        <v>161</v>
      </c>
    </row>
    <row r="95" spans="1:15" ht="20.25" customHeight="1">
      <c r="A95">
        <f t="shared" si="28"/>
        <v>3.1415926535897934E-2</v>
      </c>
      <c r="B95" s="141">
        <f t="shared" si="27"/>
        <v>0.13190608945988092</v>
      </c>
      <c r="C95" s="122">
        <v>20</v>
      </c>
      <c r="D95" s="126">
        <v>3.1399999999999997E-2</v>
      </c>
      <c r="E95" s="142">
        <f t="shared" si="31"/>
        <v>20</v>
      </c>
      <c r="F95" s="143">
        <f t="shared" si="31"/>
        <v>5.0000000000000001E-3</v>
      </c>
      <c r="G95" s="124">
        <f t="shared" si="32"/>
        <v>6279999.9999999991</v>
      </c>
      <c r="H95" s="132">
        <f t="shared" si="29"/>
        <v>72.685185185185176</v>
      </c>
      <c r="I95" s="133">
        <f t="shared" si="30"/>
        <v>0.19913749365804159</v>
      </c>
      <c r="J95" s="138">
        <f t="shared" si="33"/>
        <v>-0.2021060894598809</v>
      </c>
      <c r="K95" s="138"/>
      <c r="M95">
        <v>5</v>
      </c>
      <c r="N95" s="144">
        <v>1.39</v>
      </c>
      <c r="O95" t="s">
        <v>162</v>
      </c>
    </row>
    <row r="96" spans="1:15" ht="20.25" customHeight="1">
      <c r="A96">
        <f t="shared" si="28"/>
        <v>4.9087385212340517E-2</v>
      </c>
      <c r="B96" s="141">
        <f t="shared" si="27"/>
        <v>0.16488261182485114</v>
      </c>
      <c r="C96" s="125">
        <v>25</v>
      </c>
      <c r="D96" s="126">
        <v>4.9099999999999998E-2</v>
      </c>
      <c r="E96" s="142">
        <f t="shared" si="31"/>
        <v>20</v>
      </c>
      <c r="F96" s="143">
        <f t="shared" si="31"/>
        <v>5.0000000000000001E-3</v>
      </c>
      <c r="G96" s="124">
        <f t="shared" si="32"/>
        <v>9820000</v>
      </c>
      <c r="H96" s="132">
        <f t="shared" si="29"/>
        <v>113.6574074074074</v>
      </c>
      <c r="I96" s="133">
        <f t="shared" si="30"/>
        <v>0.31139015728056824</v>
      </c>
      <c r="J96" s="138">
        <f t="shared" si="33"/>
        <v>-0.23508261182485113</v>
      </c>
      <c r="K96" s="138"/>
      <c r="M96">
        <v>6</v>
      </c>
      <c r="N96" s="149">
        <v>0.8</v>
      </c>
      <c r="O96" t="s">
        <v>163</v>
      </c>
    </row>
    <row r="97" spans="1:11" ht="20.25" customHeight="1">
      <c r="A97">
        <f t="shared" si="28"/>
        <v>7.0685834705770348E-2</v>
      </c>
      <c r="B97" s="141">
        <f t="shared" si="27"/>
        <v>0.19785913418982137</v>
      </c>
      <c r="C97" s="122">
        <v>30</v>
      </c>
      <c r="D97" s="126">
        <v>7.0699999999999999E-2</v>
      </c>
      <c r="E97" s="142">
        <f t="shared" si="31"/>
        <v>20</v>
      </c>
      <c r="F97" s="143">
        <f t="shared" si="31"/>
        <v>5.0000000000000001E-3</v>
      </c>
      <c r="G97" s="124">
        <f t="shared" si="32"/>
        <v>14140000</v>
      </c>
      <c r="H97" s="132">
        <f t="shared" si="29"/>
        <v>163.65740740740742</v>
      </c>
      <c r="I97" s="133">
        <f t="shared" si="30"/>
        <v>0.4483764586504313</v>
      </c>
      <c r="J97" s="138">
        <f t="shared" si="33"/>
        <v>-0.26805913418982136</v>
      </c>
      <c r="K97" s="138"/>
    </row>
    <row r="98" spans="1:11" ht="20.25" customHeight="1">
      <c r="A98">
        <f t="shared" si="28"/>
        <v>9.6211275016187398E-2</v>
      </c>
      <c r="B98" s="141">
        <f t="shared" si="27"/>
        <v>0.2308356565547916</v>
      </c>
      <c r="C98" s="125">
        <v>35</v>
      </c>
      <c r="D98" s="126">
        <v>9.6199999999999994E-2</v>
      </c>
      <c r="E98" s="142">
        <f t="shared" si="31"/>
        <v>20</v>
      </c>
      <c r="F98" s="143">
        <f t="shared" si="31"/>
        <v>5.0000000000000001E-3</v>
      </c>
      <c r="G98" s="124">
        <f t="shared" si="32"/>
        <v>19240000</v>
      </c>
      <c r="H98" s="132">
        <f t="shared" si="29"/>
        <v>222.68518518518519</v>
      </c>
      <c r="I98" s="133">
        <f t="shared" si="30"/>
        <v>0.61009639776763069</v>
      </c>
      <c r="J98" s="138">
        <f t="shared" si="33"/>
        <v>-0.30103565655479159</v>
      </c>
      <c r="K98" s="138"/>
    </row>
    <row r="99" spans="1:11" ht="20.350000000000001">
      <c r="A99">
        <f t="shared" si="28"/>
        <v>0.12566370614359174</v>
      </c>
      <c r="B99" s="141">
        <f t="shared" si="27"/>
        <v>0.26381217891976183</v>
      </c>
      <c r="C99" s="122">
        <v>40</v>
      </c>
      <c r="D99" s="126">
        <v>0.126</v>
      </c>
      <c r="E99" s="142">
        <f t="shared" si="31"/>
        <v>20</v>
      </c>
      <c r="F99" s="143">
        <f t="shared" si="31"/>
        <v>5.0000000000000001E-3</v>
      </c>
      <c r="G99" s="124">
        <f t="shared" si="32"/>
        <v>25200000</v>
      </c>
      <c r="H99" s="132">
        <f t="shared" si="29"/>
        <v>291.66666666666669</v>
      </c>
      <c r="I99" s="133">
        <f t="shared" si="30"/>
        <v>0.79908675799086759</v>
      </c>
      <c r="J99" s="138">
        <f t="shared" si="33"/>
        <v>-0.33401217891976182</v>
      </c>
      <c r="K99" s="138"/>
    </row>
    <row r="100" spans="1:11" ht="20.350000000000001">
      <c r="A100">
        <f t="shared" si="28"/>
        <v>0.15904312808798329</v>
      </c>
      <c r="B100" s="141">
        <f t="shared" si="27"/>
        <v>0.29678870128473206</v>
      </c>
      <c r="C100" s="125">
        <v>45</v>
      </c>
      <c r="D100" s="126">
        <v>0.159</v>
      </c>
      <c r="E100" s="142">
        <f t="shared" si="31"/>
        <v>20</v>
      </c>
      <c r="F100" s="143">
        <f t="shared" si="31"/>
        <v>5.0000000000000001E-3</v>
      </c>
      <c r="G100" s="124">
        <f t="shared" si="32"/>
        <v>31800000</v>
      </c>
      <c r="H100" s="132">
        <f t="shared" si="29"/>
        <v>368.05555555555554</v>
      </c>
      <c r="I100" s="133">
        <f t="shared" si="30"/>
        <v>1.0083713850837137</v>
      </c>
      <c r="J100" s="138">
        <f t="shared" si="33"/>
        <v>-0.36698870128473204</v>
      </c>
      <c r="K100" s="138"/>
    </row>
    <row r="101" spans="1:11" ht="20.350000000000001">
      <c r="A101">
        <f t="shared" si="28"/>
        <v>0.19634954084936207</v>
      </c>
      <c r="B101" s="141">
        <f t="shared" si="27"/>
        <v>0.32976522364970229</v>
      </c>
      <c r="C101" s="122">
        <v>50</v>
      </c>
      <c r="D101" s="126">
        <v>0.19700000000000001</v>
      </c>
      <c r="E101" s="142">
        <f t="shared" si="31"/>
        <v>20</v>
      </c>
      <c r="F101" s="143">
        <f t="shared" si="31"/>
        <v>5.0000000000000001E-3</v>
      </c>
      <c r="G101" s="124">
        <f t="shared" si="32"/>
        <v>39400000</v>
      </c>
      <c r="H101" s="132">
        <f t="shared" si="29"/>
        <v>456.01851851851853</v>
      </c>
      <c r="I101" s="133">
        <f t="shared" si="30"/>
        <v>1.2493658041603248</v>
      </c>
      <c r="J101" s="138">
        <f t="shared" si="33"/>
        <v>-0.39996522364970227</v>
      </c>
      <c r="K101" s="138"/>
    </row>
    <row r="102" spans="1:11" ht="20.350000000000001">
      <c r="A102">
        <f t="shared" si="28"/>
        <v>0.23758294442772815</v>
      </c>
      <c r="B102" s="141">
        <f t="shared" si="27"/>
        <v>0.36274174601467252</v>
      </c>
      <c r="C102" s="125">
        <v>55</v>
      </c>
      <c r="D102" s="126">
        <v>0.23899999999999999</v>
      </c>
      <c r="E102" s="142">
        <f t="shared" si="31"/>
        <v>20</v>
      </c>
      <c r="F102" s="143">
        <f t="shared" si="31"/>
        <v>5.0000000000000001E-3</v>
      </c>
      <c r="G102" s="124">
        <f t="shared" si="32"/>
        <v>47800000</v>
      </c>
      <c r="H102" s="132">
        <f t="shared" si="29"/>
        <v>553.24074074074076</v>
      </c>
      <c r="I102" s="133">
        <f t="shared" si="30"/>
        <v>1.5157280568239473</v>
      </c>
      <c r="J102" s="138">
        <f t="shared" si="33"/>
        <v>-0.4329417460146725</v>
      </c>
      <c r="K102" s="138"/>
    </row>
    <row r="103" spans="1:11" ht="20.350000000000001">
      <c r="A103">
        <f>1.781-0.933*LOG(100-C103)</f>
        <v>0.28627802809101111</v>
      </c>
      <c r="B103" s="141">
        <f t="shared" si="27"/>
        <v>0.39571826837964275</v>
      </c>
      <c r="C103" s="122">
        <v>60</v>
      </c>
      <c r="D103" s="126">
        <v>0.28599999999999998</v>
      </c>
      <c r="E103" s="142">
        <f t="shared" si="31"/>
        <v>20</v>
      </c>
      <c r="F103" s="143">
        <f t="shared" si="31"/>
        <v>5.0000000000000001E-3</v>
      </c>
      <c r="G103" s="124">
        <f t="shared" si="32"/>
        <v>57200000</v>
      </c>
      <c r="H103" s="132">
        <f t="shared" si="29"/>
        <v>662.03703703703707</v>
      </c>
      <c r="I103" s="133">
        <f t="shared" si="30"/>
        <v>1.8138001014713345</v>
      </c>
      <c r="J103" s="138">
        <f t="shared" si="33"/>
        <v>-0.46591826837964273</v>
      </c>
      <c r="K103" s="138"/>
    </row>
    <row r="104" spans="1:11" ht="20.350000000000001">
      <c r="A104">
        <f t="shared" ref="A104:A110" si="34">1.781-0.933*LOG(100-C104)</f>
        <v>0.34038451462119257</v>
      </c>
      <c r="B104" s="141">
        <f t="shared" si="27"/>
        <v>0.42869479074461297</v>
      </c>
      <c r="C104" s="125">
        <v>65</v>
      </c>
      <c r="D104" s="126">
        <v>0.34200000000000003</v>
      </c>
      <c r="E104" s="142">
        <f t="shared" si="31"/>
        <v>20</v>
      </c>
      <c r="F104" s="143">
        <f t="shared" si="31"/>
        <v>5.0000000000000001E-3</v>
      </c>
      <c r="G104" s="124">
        <f t="shared" si="32"/>
        <v>68400000</v>
      </c>
      <c r="H104" s="132">
        <f t="shared" si="29"/>
        <v>791.66666666666663</v>
      </c>
      <c r="I104" s="133">
        <f t="shared" si="30"/>
        <v>2.1689497716894977</v>
      </c>
      <c r="J104" s="138">
        <f t="shared" si="33"/>
        <v>-0.49889479074461296</v>
      </c>
      <c r="K104" s="138"/>
    </row>
    <row r="105" spans="1:11" ht="20.350000000000001">
      <c r="A105">
        <f t="shared" si="34"/>
        <v>0.40284586934655486</v>
      </c>
      <c r="B105" s="141">
        <f t="shared" si="27"/>
        <v>0.4616713131095832</v>
      </c>
      <c r="C105" s="122">
        <v>70</v>
      </c>
      <c r="D105" s="126">
        <v>0.40300000000000002</v>
      </c>
      <c r="E105" s="142">
        <f t="shared" si="31"/>
        <v>20</v>
      </c>
      <c r="F105" s="143">
        <f t="shared" si="31"/>
        <v>5.0000000000000001E-3</v>
      </c>
      <c r="G105" s="124">
        <f t="shared" si="32"/>
        <v>80600000</v>
      </c>
      <c r="H105" s="132">
        <f t="shared" si="29"/>
        <v>932.87037037037032</v>
      </c>
      <c r="I105" s="133">
        <f t="shared" si="30"/>
        <v>2.5558092338914253</v>
      </c>
      <c r="J105" s="138">
        <f t="shared" si="33"/>
        <v>-0.53187131310958313</v>
      </c>
      <c r="K105" s="138"/>
    </row>
    <row r="106" spans="1:11" ht="20.350000000000001">
      <c r="A106">
        <f t="shared" si="34"/>
        <v>0.47672197190898857</v>
      </c>
      <c r="B106" s="141">
        <f t="shared" si="27"/>
        <v>0.49464783547455338</v>
      </c>
      <c r="C106" s="125">
        <v>75</v>
      </c>
      <c r="D106" s="126">
        <v>0.47699999999999998</v>
      </c>
      <c r="E106" s="142">
        <f t="shared" si="31"/>
        <v>20</v>
      </c>
      <c r="F106" s="143">
        <f t="shared" si="31"/>
        <v>5.0000000000000001E-3</v>
      </c>
      <c r="G106" s="124">
        <f t="shared" si="32"/>
        <v>95400000</v>
      </c>
      <c r="H106" s="132">
        <f t="shared" si="29"/>
        <v>1104.1666666666667</v>
      </c>
      <c r="I106" s="133">
        <f t="shared" si="30"/>
        <v>3.0251141552511416</v>
      </c>
      <c r="J106" s="138">
        <f t="shared" si="33"/>
        <v>-0.56484783547455342</v>
      </c>
      <c r="K106" s="138"/>
    </row>
    <row r="107" spans="1:11" ht="20.350000000000001">
      <c r="A107">
        <f t="shared" si="34"/>
        <v>0.56713901404550526</v>
      </c>
      <c r="B107" s="141">
        <f t="shared" si="27"/>
        <v>0.52762435783952366</v>
      </c>
      <c r="C107" s="122">
        <v>80</v>
      </c>
      <c r="D107" s="126">
        <v>0.56699999999999995</v>
      </c>
      <c r="E107" s="142">
        <f t="shared" si="31"/>
        <v>20</v>
      </c>
      <c r="F107" s="143">
        <f t="shared" si="31"/>
        <v>5.0000000000000001E-3</v>
      </c>
      <c r="G107" s="124">
        <f t="shared" si="32"/>
        <v>113400000</v>
      </c>
      <c r="H107" s="132">
        <f t="shared" si="29"/>
        <v>1312.5</v>
      </c>
      <c r="I107" s="133">
        <f t="shared" si="30"/>
        <v>3.595890410958904</v>
      </c>
      <c r="J107" s="138">
        <f t="shared" si="33"/>
        <v>-0.5978243578395237</v>
      </c>
      <c r="K107" s="138"/>
    </row>
    <row r="108" spans="1:11" ht="20.350000000000001">
      <c r="A108">
        <f t="shared" si="34"/>
        <v>0.68370685530104924</v>
      </c>
      <c r="B108" s="141">
        <f t="shared" si="27"/>
        <v>0.56060088020449395</v>
      </c>
      <c r="C108" s="125">
        <v>85</v>
      </c>
      <c r="D108" s="126">
        <v>0.67400000000000004</v>
      </c>
      <c r="E108" s="142">
        <f t="shared" si="31"/>
        <v>20</v>
      </c>
      <c r="F108" s="143">
        <f t="shared" si="31"/>
        <v>5.0000000000000001E-3</v>
      </c>
      <c r="G108" s="124">
        <f t="shared" si="32"/>
        <v>134800000</v>
      </c>
      <c r="H108" s="132">
        <f t="shared" si="29"/>
        <v>1560.1851851851852</v>
      </c>
      <c r="I108" s="133">
        <f t="shared" si="30"/>
        <v>4.2744799594114662</v>
      </c>
      <c r="J108" s="138">
        <f t="shared" si="33"/>
        <v>-0.63080088020449399</v>
      </c>
      <c r="K108" s="138"/>
    </row>
    <row r="109" spans="1:11" ht="20.350000000000001">
      <c r="A109">
        <f t="shared" si="34"/>
        <v>0.84799999999999986</v>
      </c>
      <c r="B109" s="141">
        <f t="shared" si="27"/>
        <v>0.59357740256946412</v>
      </c>
      <c r="C109" s="122">
        <v>90</v>
      </c>
      <c r="D109" s="126">
        <v>0.84799999999999998</v>
      </c>
      <c r="E109" s="142">
        <f t="shared" ref="E109:F110" si="35">E108</f>
        <v>20</v>
      </c>
      <c r="F109" s="143">
        <f t="shared" si="35"/>
        <v>5.0000000000000001E-3</v>
      </c>
      <c r="G109" s="124">
        <f t="shared" si="32"/>
        <v>169600000</v>
      </c>
      <c r="H109" s="132">
        <f t="shared" si="29"/>
        <v>1962.962962962963</v>
      </c>
      <c r="I109" s="133">
        <f t="shared" si="30"/>
        <v>5.377980720446474</v>
      </c>
      <c r="J109" s="138">
        <f t="shared" si="33"/>
        <v>-0.66377740256946405</v>
      </c>
      <c r="K109" s="138"/>
    </row>
    <row r="110" spans="1:11" ht="20.350000000000001">
      <c r="A110">
        <f t="shared" si="34"/>
        <v>1.1288609859544942</v>
      </c>
      <c r="B110" s="141">
        <f t="shared" si="27"/>
        <v>0.6265539249344344</v>
      </c>
      <c r="C110" s="125">
        <v>95</v>
      </c>
      <c r="D110" s="126">
        <v>1.129</v>
      </c>
      <c r="E110" s="142">
        <f t="shared" si="35"/>
        <v>20</v>
      </c>
      <c r="F110" s="143">
        <f t="shared" si="35"/>
        <v>5.0000000000000001E-3</v>
      </c>
      <c r="G110" s="124">
        <f t="shared" si="32"/>
        <v>225800000</v>
      </c>
      <c r="H110" s="132">
        <f t="shared" si="29"/>
        <v>2613.4259259259261</v>
      </c>
      <c r="I110" s="133">
        <f t="shared" si="30"/>
        <v>7.160071029934044</v>
      </c>
      <c r="J110" s="138">
        <f t="shared" si="33"/>
        <v>-0.69675392493443433</v>
      </c>
      <c r="K110" s="138"/>
    </row>
    <row r="111" spans="1:11" ht="20.8" thickBot="1">
      <c r="B111" s="127"/>
      <c r="C111" s="128"/>
      <c r="D111" s="129"/>
      <c r="E111" s="128"/>
      <c r="F111" s="128"/>
      <c r="G111" s="128"/>
      <c r="H111" s="134"/>
      <c r="I111" s="135"/>
    </row>
  </sheetData>
  <mergeCells count="8">
    <mergeCell ref="B88:H88"/>
    <mergeCell ref="K89:L89"/>
    <mergeCell ref="B4:H4"/>
    <mergeCell ref="K5:L5"/>
    <mergeCell ref="B32:H32"/>
    <mergeCell ref="K33:L33"/>
    <mergeCell ref="B60:H60"/>
    <mergeCell ref="K61:L61"/>
  </mergeCells>
  <dataValidations disablePrompts="1" count="2">
    <dataValidation type="list" allowBlank="1" showInputMessage="1" showErrorMessage="1" sqref="G5 G33 G61 G89">
      <formula1>$O$2:$O$3</formula1>
    </dataValidation>
    <dataValidation type="list" allowBlank="1" showInputMessage="1" showErrorMessage="1" sqref="G2 G30 G58 G86">
      <formula1>$M$7:$M$12</formula1>
    </dataValidation>
  </dataValidations>
  <printOptions horizontalCentered="1"/>
  <pageMargins left="0.70866141732283472" right="0.28000000000000003" top="1.1811023622047245" bottom="2.41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  <sheetView workbookViewId="1">
      <selection activeCell="N16" sqref="N16"/>
    </sheetView>
  </sheetViews>
  <sheetFormatPr defaultRowHeight="18.55"/>
  <cols>
    <col min="4" max="4" width="2.375" customWidth="1"/>
    <col min="7" max="7" width="2.375" customWidth="1"/>
    <col min="10" max="10" width="2.375" customWidth="1"/>
  </cols>
  <sheetData>
    <row r="1" spans="1:15" ht="19" thickBot="1">
      <c r="A1" t="s">
        <v>129</v>
      </c>
      <c r="C1" t="s">
        <v>172</v>
      </c>
    </row>
    <row r="2" spans="1:15" ht="19" thickBot="1">
      <c r="B2" s="194"/>
      <c r="C2" s="195"/>
      <c r="D2" s="195"/>
      <c r="E2" s="195" t="s">
        <v>133</v>
      </c>
      <c r="F2" s="195"/>
      <c r="G2" s="195"/>
      <c r="H2" s="195"/>
      <c r="I2" s="196"/>
      <c r="J2" s="195"/>
      <c r="K2" s="195"/>
      <c r="L2" s="196"/>
      <c r="N2" s="157" t="s">
        <v>135</v>
      </c>
      <c r="O2" s="158"/>
    </row>
    <row r="3" spans="1:15">
      <c r="B3" s="197" t="s">
        <v>140</v>
      </c>
      <c r="C3" s="198"/>
      <c r="D3" s="199"/>
      <c r="E3" s="197" t="s">
        <v>141</v>
      </c>
      <c r="F3" s="198"/>
      <c r="G3" s="199"/>
      <c r="H3" s="197" t="s">
        <v>142</v>
      </c>
      <c r="I3" s="198"/>
      <c r="J3" s="199"/>
      <c r="K3" s="197" t="s">
        <v>143</v>
      </c>
      <c r="L3" s="198"/>
      <c r="N3" s="6" t="s">
        <v>147</v>
      </c>
      <c r="O3" s="9"/>
    </row>
    <row r="4" spans="1:15" ht="19" thickBot="1">
      <c r="B4" s="197" t="s">
        <v>132</v>
      </c>
      <c r="C4" s="198">
        <f>'3Time Settlement Dike'!F6</f>
        <v>6.9999999999999999E-4</v>
      </c>
      <c r="D4" s="199"/>
      <c r="E4" s="197" t="s">
        <v>132</v>
      </c>
      <c r="F4" s="204">
        <f>'3Time Settlement Dike'!F33</f>
        <v>2.5000000000000001E-4</v>
      </c>
      <c r="G4" s="199"/>
      <c r="H4" s="197" t="s">
        <v>132</v>
      </c>
      <c r="I4" s="204">
        <f>'3Time Settlement Dike'!F61</f>
        <v>2.5000000000000001E-3</v>
      </c>
      <c r="J4" s="199"/>
      <c r="K4" s="197" t="s">
        <v>132</v>
      </c>
      <c r="L4" s="204">
        <f>'3Time Settlement Dike'!I61</f>
        <v>0</v>
      </c>
      <c r="N4" s="14"/>
      <c r="O4" s="16"/>
    </row>
    <row r="5" spans="1:15" ht="19" thickBot="1">
      <c r="A5" s="206" t="s">
        <v>134</v>
      </c>
      <c r="B5" s="207" t="s">
        <v>130</v>
      </c>
      <c r="C5" s="207" t="s">
        <v>131</v>
      </c>
      <c r="D5" s="208"/>
      <c r="E5" s="207" t="s">
        <v>130</v>
      </c>
      <c r="F5" s="207" t="s">
        <v>131</v>
      </c>
      <c r="G5" s="208"/>
      <c r="H5" s="207" t="s">
        <v>130</v>
      </c>
      <c r="I5" s="207" t="s">
        <v>131</v>
      </c>
      <c r="J5" s="208"/>
      <c r="K5" s="207" t="s">
        <v>130</v>
      </c>
      <c r="L5" s="209" t="s">
        <v>131</v>
      </c>
      <c r="N5" s="156" t="s">
        <v>130</v>
      </c>
      <c r="O5" s="156" t="s">
        <v>131</v>
      </c>
    </row>
    <row r="6" spans="1:15">
      <c r="A6" s="58">
        <f>'3Time Settlement Dike'!C61</f>
        <v>0</v>
      </c>
      <c r="B6" s="205">
        <f>'8Time Sett Landfill'!I7</f>
        <v>0</v>
      </c>
      <c r="C6" s="205">
        <f>'8Time Sett Landfill'!J7</f>
        <v>0</v>
      </c>
      <c r="D6" s="58"/>
      <c r="E6" s="205">
        <f>'8Time Sett Landfill'!I35</f>
        <v>0</v>
      </c>
      <c r="F6" s="205">
        <f>'8Time Sett Landfill'!J35</f>
        <v>0</v>
      </c>
      <c r="G6" s="58"/>
      <c r="H6" s="205">
        <f>'8Time Sett Landfill'!I63</f>
        <v>0</v>
      </c>
      <c r="I6" s="205">
        <f>'8Time Sett Landfill'!J63</f>
        <v>0</v>
      </c>
      <c r="J6" s="58"/>
      <c r="K6" s="205">
        <f>'8Time Sett Landfill'!I91</f>
        <v>0</v>
      </c>
      <c r="L6" s="205">
        <f>'8Time Sett Landfill'!J91</f>
        <v>0</v>
      </c>
    </row>
    <row r="7" spans="1:15">
      <c r="A7" s="85">
        <f>'3Time Settlement Dike'!C62</f>
        <v>5</v>
      </c>
      <c r="B7" s="201">
        <f>B8</f>
        <v>0.80180474016090464</v>
      </c>
      <c r="C7" s="201">
        <f>C8</f>
        <v>-0.16912956709491067</v>
      </c>
      <c r="D7" s="201"/>
      <c r="E7" s="201">
        <f>E8</f>
        <v>2.2450532724505328</v>
      </c>
      <c r="F7" s="201">
        <f>F8</f>
        <v>-0.16912956709491067</v>
      </c>
      <c r="G7" s="201"/>
      <c r="H7" s="201">
        <f>H8</f>
        <v>0.22450532724505326</v>
      </c>
      <c r="I7" s="201">
        <f>I8</f>
        <v>-0.16912956709491067</v>
      </c>
      <c r="J7" s="202"/>
      <c r="K7" s="201">
        <f>K8</f>
        <v>0.11225266362252663</v>
      </c>
      <c r="L7" s="201">
        <f>L8</f>
        <v>-0.16912956709491067</v>
      </c>
    </row>
    <row r="8" spans="1:15">
      <c r="A8" s="203">
        <f>'3Time Settlement Dike'!C63</f>
        <v>10</v>
      </c>
      <c r="B8" s="201">
        <f>B9</f>
        <v>0.80180474016090464</v>
      </c>
      <c r="C8" s="201">
        <f>C9</f>
        <v>-0.16912956709491067</v>
      </c>
      <c r="D8" s="202"/>
      <c r="E8" s="201">
        <f>E9</f>
        <v>2.2450532724505328</v>
      </c>
      <c r="F8" s="201">
        <f>F9</f>
        <v>-0.16912956709491067</v>
      </c>
      <c r="G8" s="202"/>
      <c r="H8" s="201">
        <f>H9</f>
        <v>0.22450532724505326</v>
      </c>
      <c r="I8" s="201">
        <f>I9</f>
        <v>-0.16912956709491067</v>
      </c>
      <c r="J8" s="202"/>
      <c r="K8" s="201">
        <f>K9</f>
        <v>0.11225266362252663</v>
      </c>
      <c r="L8" s="201">
        <f>L9</f>
        <v>-0.16912956709491067</v>
      </c>
    </row>
    <row r="9" spans="1:15">
      <c r="A9" s="203">
        <f>'3Time Settlement Dike'!C64</f>
        <v>15</v>
      </c>
      <c r="B9" s="19">
        <f>'8Time Sett Landfill'!I10</f>
        <v>0.80180474016090464</v>
      </c>
      <c r="C9" s="19">
        <f>'8Time Sett Landfill'!J10</f>
        <v>-0.16912956709491067</v>
      </c>
      <c r="D9" s="17"/>
      <c r="E9" s="19">
        <f>'8Time Sett Landfill'!I38</f>
        <v>2.2450532724505328</v>
      </c>
      <c r="F9" s="19">
        <f>'8Time Sett Landfill'!J38</f>
        <v>-0.16912956709491067</v>
      </c>
      <c r="G9" s="17"/>
      <c r="H9" s="19">
        <f>'8Time Sett Landfill'!I66</f>
        <v>0.22450532724505326</v>
      </c>
      <c r="I9" s="19">
        <f>'8Time Sett Landfill'!J66</f>
        <v>-0.16912956709491067</v>
      </c>
      <c r="J9" s="17"/>
      <c r="K9" s="19">
        <f>'8Time Sett Landfill'!I94</f>
        <v>0.11225266362252663</v>
      </c>
      <c r="L9" s="19">
        <f>'8Time Sett Landfill'!J94</f>
        <v>-0.16912956709491067</v>
      </c>
    </row>
    <row r="10" spans="1:15">
      <c r="A10" s="17">
        <f>'3Time Settlement Dike'!C65</f>
        <v>20</v>
      </c>
      <c r="B10" s="19">
        <f>'8Time Sett Landfill'!I11</f>
        <v>1.4224106689860112</v>
      </c>
      <c r="C10" s="19">
        <f>'8Time Sett Landfill'!J11</f>
        <v>-0.2021060894598809</v>
      </c>
      <c r="D10" s="17"/>
      <c r="E10" s="19">
        <f>'8Time Sett Landfill'!I39</f>
        <v>3.9827498731608313</v>
      </c>
      <c r="F10" s="19">
        <f>'8Time Sett Landfill'!J39</f>
        <v>-0.2021060894598809</v>
      </c>
      <c r="G10" s="17"/>
      <c r="H10" s="19">
        <f>'8Time Sett Landfill'!I67</f>
        <v>0.39827498731608318</v>
      </c>
      <c r="I10" s="19">
        <f>'8Time Sett Landfill'!J67</f>
        <v>-0.2021060894598809</v>
      </c>
      <c r="J10" s="17"/>
      <c r="K10" s="19">
        <f>'8Time Sett Landfill'!I95</f>
        <v>0.19913749365804159</v>
      </c>
      <c r="L10" s="19">
        <f>'8Time Sett Landfill'!J95</f>
        <v>-0.2021060894598809</v>
      </c>
    </row>
    <row r="11" spans="1:15">
      <c r="A11" s="17">
        <f>'3Time Settlement Dike'!C66</f>
        <v>25</v>
      </c>
      <c r="B11" s="19">
        <f>'8Time Sett Landfill'!I12</f>
        <v>2.2242154091469164</v>
      </c>
      <c r="C11" s="19">
        <f>'8Time Sett Landfill'!J12</f>
        <v>-0.23508261182485113</v>
      </c>
      <c r="D11" s="17"/>
      <c r="E11" s="19">
        <f>'8Time Sett Landfill'!I40</f>
        <v>6.2278031456113654</v>
      </c>
      <c r="F11" s="19">
        <f>'8Time Sett Landfill'!J40</f>
        <v>-0.23508261182485113</v>
      </c>
      <c r="G11" s="17"/>
      <c r="H11" s="19">
        <f>'8Time Sett Landfill'!I68</f>
        <v>0.62278031456113647</v>
      </c>
      <c r="I11" s="19">
        <f>'8Time Sett Landfill'!J68</f>
        <v>-0.23508261182485113</v>
      </c>
      <c r="J11" s="17"/>
      <c r="K11" s="19">
        <f>'8Time Sett Landfill'!I96</f>
        <v>0.31139015728056824</v>
      </c>
      <c r="L11" s="19">
        <f>'8Time Sett Landfill'!J96</f>
        <v>-0.23508261182485113</v>
      </c>
    </row>
    <row r="12" spans="1:15">
      <c r="A12" s="17">
        <f>'3Time Settlement Dike'!C67</f>
        <v>30</v>
      </c>
      <c r="B12" s="19">
        <f>'8Time Sett Landfill'!I13</f>
        <v>3.2026889903602234</v>
      </c>
      <c r="C12" s="19">
        <f>'8Time Sett Landfill'!J13</f>
        <v>-0.26805913418982136</v>
      </c>
      <c r="D12" s="17"/>
      <c r="E12" s="19">
        <f>'8Time Sett Landfill'!I41</f>
        <v>8.9675291730086251</v>
      </c>
      <c r="F12" s="19">
        <f>'8Time Sett Landfill'!J41</f>
        <v>-0.26805913418982136</v>
      </c>
      <c r="G12" s="17"/>
      <c r="H12" s="19">
        <f>'8Time Sett Landfill'!I69</f>
        <v>0.8967529173008626</v>
      </c>
      <c r="I12" s="19">
        <f>'8Time Sett Landfill'!J69</f>
        <v>-0.26805913418982136</v>
      </c>
      <c r="J12" s="17"/>
      <c r="K12" s="19">
        <f>'8Time Sett Landfill'!I97</f>
        <v>0.4483764586504313</v>
      </c>
      <c r="L12" s="19">
        <f>'8Time Sett Landfill'!J97</f>
        <v>-0.26805913418982136</v>
      </c>
    </row>
    <row r="13" spans="1:15">
      <c r="A13" s="17">
        <f>'3Time Settlement Dike'!C68</f>
        <v>35</v>
      </c>
      <c r="B13" s="19">
        <f>'8Time Sett Landfill'!I14</f>
        <v>4.3578314126259334</v>
      </c>
      <c r="C13" s="19">
        <f>'8Time Sett Landfill'!J14</f>
        <v>-0.30103565655479159</v>
      </c>
      <c r="D13" s="17"/>
      <c r="E13" s="19">
        <f>'8Time Sett Landfill'!I42</f>
        <v>12.201927955352613</v>
      </c>
      <c r="F13" s="19">
        <f>'8Time Sett Landfill'!J42</f>
        <v>-0.30103565655479159</v>
      </c>
      <c r="G13" s="17"/>
      <c r="H13" s="19">
        <f>'8Time Sett Landfill'!I70</f>
        <v>1.2201927955352614</v>
      </c>
      <c r="I13" s="19">
        <f>'8Time Sett Landfill'!J70</f>
        <v>-0.30103565655479159</v>
      </c>
      <c r="J13" s="17"/>
      <c r="K13" s="19">
        <f>'8Time Sett Landfill'!I98</f>
        <v>0.61009639776763069</v>
      </c>
      <c r="L13" s="19">
        <f>'8Time Sett Landfill'!J98</f>
        <v>-0.30103565655479159</v>
      </c>
    </row>
    <row r="14" spans="1:15">
      <c r="A14" s="17">
        <f>'3Time Settlement Dike'!C69</f>
        <v>40</v>
      </c>
      <c r="B14" s="19">
        <f>'8Time Sett Landfill'!I15</f>
        <v>5.7077625570776256</v>
      </c>
      <c r="C14" s="19">
        <f>'8Time Sett Landfill'!J15</f>
        <v>-0.33401217891976182</v>
      </c>
      <c r="D14" s="17"/>
      <c r="E14" s="19">
        <f>'8Time Sett Landfill'!I43</f>
        <v>15.981735159817351</v>
      </c>
      <c r="F14" s="19">
        <f>'8Time Sett Landfill'!J43</f>
        <v>-0.33401217891976182</v>
      </c>
      <c r="G14" s="17"/>
      <c r="H14" s="19">
        <f>'8Time Sett Landfill'!I71</f>
        <v>1.5981735159817352</v>
      </c>
      <c r="I14" s="19">
        <f>'8Time Sett Landfill'!J71</f>
        <v>-0.33401217891976182</v>
      </c>
      <c r="J14" s="17"/>
      <c r="K14" s="19">
        <f>'8Time Sett Landfill'!I99</f>
        <v>0.79908675799086759</v>
      </c>
      <c r="L14" s="19">
        <f>'8Time Sett Landfill'!J99</f>
        <v>-0.33401217891976182</v>
      </c>
    </row>
    <row r="15" spans="1:15">
      <c r="A15" s="17">
        <f>'3Time Settlement Dike'!C70</f>
        <v>45</v>
      </c>
      <c r="B15" s="19">
        <f>'8Time Sett Landfill'!I16</f>
        <v>7.2026527505979558</v>
      </c>
      <c r="C15" s="19">
        <f>'8Time Sett Landfill'!J16</f>
        <v>-0.36698870128473204</v>
      </c>
      <c r="D15" s="17"/>
      <c r="E15" s="19">
        <f>'8Time Sett Landfill'!I44</f>
        <v>20.167427701674278</v>
      </c>
      <c r="F15" s="19">
        <f>'8Time Sett Landfill'!J44</f>
        <v>-0.36698870128473204</v>
      </c>
      <c r="G15" s="17"/>
      <c r="H15" s="19">
        <f>'8Time Sett Landfill'!I72</f>
        <v>2.0167427701674274</v>
      </c>
      <c r="I15" s="19">
        <f>'8Time Sett Landfill'!J72</f>
        <v>-0.36698870128473204</v>
      </c>
      <c r="J15" s="17"/>
      <c r="K15" s="19">
        <f>'8Time Sett Landfill'!I100</f>
        <v>1.0083713850837137</v>
      </c>
      <c r="L15" s="19">
        <f>'8Time Sett Landfill'!J100</f>
        <v>-0.36698870128473204</v>
      </c>
    </row>
    <row r="16" spans="1:15">
      <c r="A16" s="17">
        <f>'3Time Settlement Dike'!C71</f>
        <v>50</v>
      </c>
      <c r="B16" s="19">
        <f>'8Time Sett Landfill'!I17</f>
        <v>8.9240414582880323</v>
      </c>
      <c r="C16" s="19">
        <f>'8Time Sett Landfill'!J17</f>
        <v>-0.39996522364970227</v>
      </c>
      <c r="D16" s="17"/>
      <c r="E16" s="19">
        <f>'8Time Sett Landfill'!I45</f>
        <v>24.987316083206494</v>
      </c>
      <c r="F16" s="19">
        <f>'8Time Sett Landfill'!J45</f>
        <v>-0.39996522364970227</v>
      </c>
      <c r="G16" s="17"/>
      <c r="H16" s="19">
        <f>'8Time Sett Landfill'!I73</f>
        <v>2.4987316083206497</v>
      </c>
      <c r="I16" s="19">
        <f>'8Time Sett Landfill'!J73</f>
        <v>-0.39996522364970227</v>
      </c>
      <c r="J16" s="17"/>
      <c r="K16" s="19">
        <f>'8Time Sett Landfill'!I101</f>
        <v>1.2493658041603248</v>
      </c>
      <c r="L16" s="19">
        <f>'8Time Sett Landfill'!J101</f>
        <v>-0.39996522364970227</v>
      </c>
    </row>
    <row r="17" spans="1:12">
      <c r="A17" s="17">
        <f>'3Time Settlement Dike'!C72</f>
        <v>55</v>
      </c>
      <c r="B17" s="19">
        <f>'8Time Sett Landfill'!I18</f>
        <v>10.826628977313907</v>
      </c>
      <c r="C17" s="19">
        <f>'8Time Sett Landfill'!J18</f>
        <v>-0.4329417460146725</v>
      </c>
      <c r="D17" s="17"/>
      <c r="E17" s="19">
        <f>'8Time Sett Landfill'!I46</f>
        <v>30.314561136478947</v>
      </c>
      <c r="F17" s="19">
        <f>'8Time Sett Landfill'!J46</f>
        <v>-0.4329417460146725</v>
      </c>
      <c r="G17" s="17"/>
      <c r="H17" s="19">
        <f>'8Time Sett Landfill'!I74</f>
        <v>3.0314561136478946</v>
      </c>
      <c r="I17" s="19">
        <f>'8Time Sett Landfill'!J74</f>
        <v>-0.4329417460146725</v>
      </c>
      <c r="J17" s="17"/>
      <c r="K17" s="19">
        <f>'8Time Sett Landfill'!I102</f>
        <v>1.5157280568239473</v>
      </c>
      <c r="L17" s="19">
        <f>'8Time Sett Landfill'!J102</f>
        <v>-0.4329417460146725</v>
      </c>
    </row>
    <row r="18" spans="1:12">
      <c r="A18" s="17">
        <f>'3Time Settlement Dike'!C73</f>
        <v>60</v>
      </c>
      <c r="B18" s="19">
        <f>'8Time Sett Landfill'!I19</f>
        <v>12.955715010509532</v>
      </c>
      <c r="C18" s="19">
        <f>'8Time Sett Landfill'!J19</f>
        <v>-0.46591826837964273</v>
      </c>
      <c r="D18" s="17"/>
      <c r="E18" s="19">
        <f>'8Time Sett Landfill'!I47</f>
        <v>36.276002029426685</v>
      </c>
      <c r="F18" s="19">
        <f>'8Time Sett Landfill'!J47</f>
        <v>-0.46591826837964273</v>
      </c>
      <c r="G18" s="17"/>
      <c r="H18" s="19">
        <f>'8Time Sett Landfill'!I75</f>
        <v>3.627600202942669</v>
      </c>
      <c r="I18" s="19">
        <f>'8Time Sett Landfill'!J75</f>
        <v>-0.46591826837964273</v>
      </c>
      <c r="J18" s="17"/>
      <c r="K18" s="19">
        <f>'8Time Sett Landfill'!I103</f>
        <v>1.8138001014713345</v>
      </c>
      <c r="L18" s="19">
        <f>'8Time Sett Landfill'!J103</f>
        <v>-0.46591826837964273</v>
      </c>
    </row>
    <row r="19" spans="1:12">
      <c r="A19" s="17">
        <f>'3Time Settlement Dike'!C74</f>
        <v>65</v>
      </c>
      <c r="B19" s="19">
        <f>'8Time Sett Landfill'!I20</f>
        <v>15.492498369210701</v>
      </c>
      <c r="C19" s="19">
        <f>'8Time Sett Landfill'!J20</f>
        <v>-0.49889479074461296</v>
      </c>
      <c r="D19" s="17"/>
      <c r="E19" s="19">
        <f>'8Time Sett Landfill'!I48</f>
        <v>43.378995433789953</v>
      </c>
      <c r="F19" s="19">
        <f>'8Time Sett Landfill'!J48</f>
        <v>-0.49889479074461296</v>
      </c>
      <c r="G19" s="17"/>
      <c r="H19" s="19">
        <f>'8Time Sett Landfill'!I76</f>
        <v>4.3378995433789953</v>
      </c>
      <c r="I19" s="19">
        <f>'8Time Sett Landfill'!J76</f>
        <v>-0.49889479074461296</v>
      </c>
      <c r="J19" s="17"/>
      <c r="K19" s="19">
        <f>'8Time Sett Landfill'!I104</f>
        <v>2.1689497716894977</v>
      </c>
      <c r="L19" s="19">
        <f>'8Time Sett Landfill'!J104</f>
        <v>-0.49889479074461296</v>
      </c>
    </row>
    <row r="20" spans="1:12">
      <c r="A20" s="17">
        <f>'3Time Settlement Dike'!C75</f>
        <v>70</v>
      </c>
      <c r="B20" s="19">
        <f>'8Time Sett Landfill'!I21</f>
        <v>18.255780242081613</v>
      </c>
      <c r="C20" s="19">
        <f>'8Time Sett Landfill'!J21</f>
        <v>-0.53187131310958313</v>
      </c>
      <c r="D20" s="17"/>
      <c r="E20" s="19">
        <f>'8Time Sett Landfill'!I49</f>
        <v>51.116184677828514</v>
      </c>
      <c r="F20" s="19">
        <f>'8Time Sett Landfill'!J49</f>
        <v>-0.53187131310958313</v>
      </c>
      <c r="G20" s="17"/>
      <c r="H20" s="19">
        <f>'8Time Sett Landfill'!I77</f>
        <v>5.1116184677828507</v>
      </c>
      <c r="I20" s="19">
        <f>'8Time Sett Landfill'!J77</f>
        <v>-0.53187131310958313</v>
      </c>
      <c r="J20" s="17"/>
      <c r="K20" s="19">
        <f>'8Time Sett Landfill'!I105</f>
        <v>2.5558092338914253</v>
      </c>
      <c r="L20" s="19">
        <f>'8Time Sett Landfill'!J105</f>
        <v>-0.53187131310958313</v>
      </c>
    </row>
    <row r="21" spans="1:12">
      <c r="A21" s="17">
        <f>'3Time Settlement Dike'!C76</f>
        <v>75</v>
      </c>
      <c r="B21" s="19">
        <f>'8Time Sett Landfill'!I22</f>
        <v>21.607958251793871</v>
      </c>
      <c r="C21" s="19">
        <f>'8Time Sett Landfill'!J22</f>
        <v>-0.56484783547455342</v>
      </c>
      <c r="D21" s="17"/>
      <c r="E21" s="19">
        <f>'8Time Sett Landfill'!I50</f>
        <v>60.502283105022826</v>
      </c>
      <c r="F21" s="19">
        <f>'8Time Sett Landfill'!J50</f>
        <v>-0.56484783547455342</v>
      </c>
      <c r="G21" s="17"/>
      <c r="H21" s="19">
        <f>'8Time Sett Landfill'!I78</f>
        <v>6.0502283105022832</v>
      </c>
      <c r="I21" s="19">
        <f>'8Time Sett Landfill'!J78</f>
        <v>-0.56484783547455342</v>
      </c>
      <c r="J21" s="17"/>
      <c r="K21" s="19">
        <f>'8Time Sett Landfill'!I106</f>
        <v>3.0251141552511416</v>
      </c>
      <c r="L21" s="19">
        <f>'8Time Sett Landfill'!J106</f>
        <v>-0.56484783547455342</v>
      </c>
    </row>
    <row r="22" spans="1:12">
      <c r="A22" s="17">
        <f>'3Time Settlement Dike'!C77</f>
        <v>80</v>
      </c>
      <c r="B22" s="19">
        <f>'8Time Sett Landfill'!I23</f>
        <v>25.684931506849313</v>
      </c>
      <c r="C22" s="19">
        <f>'8Time Sett Landfill'!J23</f>
        <v>-0.5978243578395237</v>
      </c>
      <c r="D22" s="17"/>
      <c r="E22" s="19">
        <f>'8Time Sett Landfill'!I51</f>
        <v>71.917808219178085</v>
      </c>
      <c r="F22" s="19">
        <f>'8Time Sett Landfill'!J51</f>
        <v>-0.5978243578395237</v>
      </c>
      <c r="G22" s="17"/>
      <c r="H22" s="19">
        <f>'8Time Sett Landfill'!I79</f>
        <v>7.1917808219178081</v>
      </c>
      <c r="I22" s="19">
        <f>'8Time Sett Landfill'!J79</f>
        <v>-0.5978243578395237</v>
      </c>
      <c r="J22" s="17"/>
      <c r="K22" s="19">
        <f>'8Time Sett Landfill'!I107</f>
        <v>3.595890410958904</v>
      </c>
      <c r="L22" s="19">
        <f>'8Time Sett Landfill'!J107</f>
        <v>-0.5978243578395237</v>
      </c>
    </row>
    <row r="23" spans="1:12">
      <c r="A23" s="17">
        <f>'3Time Settlement Dike'!C78</f>
        <v>85</v>
      </c>
      <c r="B23" s="19">
        <f>'8Time Sett Landfill'!I24</f>
        <v>30.531999710081905</v>
      </c>
      <c r="C23" s="19">
        <f>'8Time Sett Landfill'!J24</f>
        <v>-0.63080088020449399</v>
      </c>
      <c r="D23" s="17"/>
      <c r="E23" s="19">
        <f>'8Time Sett Landfill'!I52</f>
        <v>85.48959918822932</v>
      </c>
      <c r="F23" s="19">
        <f>'8Time Sett Landfill'!J52</f>
        <v>-0.63080088020449399</v>
      </c>
      <c r="G23" s="17"/>
      <c r="H23" s="19">
        <f>'8Time Sett Landfill'!I80</f>
        <v>8.5489599188229324</v>
      </c>
      <c r="I23" s="19">
        <f>'8Time Sett Landfill'!J80</f>
        <v>-0.63080088020449399</v>
      </c>
      <c r="J23" s="17"/>
      <c r="K23" s="19">
        <f>'8Time Sett Landfill'!I108</f>
        <v>4.2744799594114662</v>
      </c>
      <c r="L23" s="19">
        <f>'8Time Sett Landfill'!J108</f>
        <v>-0.63080088020449399</v>
      </c>
    </row>
    <row r="24" spans="1:12">
      <c r="A24" s="17">
        <f>'3Time Settlement Dike'!C79</f>
        <v>90</v>
      </c>
      <c r="B24" s="19">
        <f>'8Time Sett Landfill'!I25</f>
        <v>38.414148003189105</v>
      </c>
      <c r="C24" s="19">
        <f>'8Time Sett Landfill'!J25</f>
        <v>-0.66377740256946405</v>
      </c>
      <c r="D24" s="17"/>
      <c r="E24" s="19">
        <f>'8Time Sett Landfill'!I53</f>
        <v>107.55961440892949</v>
      </c>
      <c r="F24" s="19">
        <f>'8Time Sett Landfill'!J53</f>
        <v>-0.66377740256946405</v>
      </c>
      <c r="G24" s="17"/>
      <c r="H24" s="19">
        <f>'8Time Sett Landfill'!I81</f>
        <v>10.755961440892948</v>
      </c>
      <c r="I24" s="19">
        <f>'8Time Sett Landfill'!J81</f>
        <v>-0.66377740256946405</v>
      </c>
      <c r="J24" s="17"/>
      <c r="K24" s="19">
        <f>'8Time Sett Landfill'!I109</f>
        <v>5.377980720446474</v>
      </c>
      <c r="L24" s="19">
        <f>'8Time Sett Landfill'!J109</f>
        <v>-0.66377740256946405</v>
      </c>
    </row>
    <row r="25" spans="1:12">
      <c r="A25" s="17">
        <f>'3Time Settlement Dike'!C80</f>
        <v>95</v>
      </c>
      <c r="B25" s="19">
        <f>'8Time Sett Landfill'!I26</f>
        <v>51.143364499528893</v>
      </c>
      <c r="C25" s="19">
        <f>'8Time Sett Landfill'!J26</f>
        <v>-0.69675392493443433</v>
      </c>
      <c r="D25" s="17"/>
      <c r="E25" s="19">
        <f>'8Time Sett Landfill'!I54</f>
        <v>143.20142059868087</v>
      </c>
      <c r="F25" s="19">
        <f>'8Time Sett Landfill'!J54</f>
        <v>-0.69675392493443433</v>
      </c>
      <c r="G25" s="17"/>
      <c r="H25" s="19">
        <f>'8Time Sett Landfill'!I82</f>
        <v>14.320142059868088</v>
      </c>
      <c r="I25" s="19">
        <f>'8Time Sett Landfill'!J82</f>
        <v>-0.69675392493443433</v>
      </c>
      <c r="J25" s="17"/>
      <c r="K25" s="19">
        <f>'8Time Sett Landfill'!I110</f>
        <v>7.160071029934044</v>
      </c>
      <c r="L25" s="19">
        <f>'8Time Sett Landfill'!J110</f>
        <v>-0.69675392493443433</v>
      </c>
    </row>
  </sheetData>
  <printOptions horizontalCentered="1"/>
  <pageMargins left="0.70866141732283472" right="0.35433070866141736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/>
    <sheetView workbookViewId="1">
      <selection activeCell="K21" sqref="K21"/>
    </sheetView>
  </sheetViews>
  <sheetFormatPr defaultRowHeight="18.55"/>
  <cols>
    <col min="4" max="4" width="9.625" customWidth="1"/>
    <col min="5" max="5" width="10.3125" customWidth="1"/>
    <col min="6" max="6" width="10.875" customWidth="1"/>
    <col min="8" max="8" width="13" customWidth="1"/>
  </cols>
  <sheetData>
    <row r="1" spans="2:10">
      <c r="B1" t="s">
        <v>185</v>
      </c>
    </row>
    <row r="2" spans="2:10">
      <c r="B2" s="75"/>
      <c r="C2" s="213" t="s">
        <v>178</v>
      </c>
      <c r="D2" s="214"/>
      <c r="E2" s="214"/>
      <c r="F2" s="215">
        <v>0.8</v>
      </c>
      <c r="G2" s="33" t="s">
        <v>48</v>
      </c>
      <c r="H2" s="75"/>
      <c r="I2" s="75"/>
      <c r="J2" s="75"/>
    </row>
    <row r="3" spans="2:10" ht="37.1">
      <c r="B3" s="77" t="s">
        <v>184</v>
      </c>
      <c r="C3" s="211" t="s">
        <v>176</v>
      </c>
      <c r="D3" s="211" t="s">
        <v>177</v>
      </c>
      <c r="E3" s="211" t="s">
        <v>179</v>
      </c>
      <c r="F3" s="211" t="s">
        <v>180</v>
      </c>
      <c r="G3" s="211" t="s">
        <v>181</v>
      </c>
      <c r="H3" s="211" t="s">
        <v>182</v>
      </c>
      <c r="I3" s="211" t="s">
        <v>186</v>
      </c>
      <c r="J3" s="211" t="s">
        <v>189</v>
      </c>
    </row>
    <row r="4" spans="2:10">
      <c r="B4" s="58"/>
      <c r="C4" s="71" t="s">
        <v>48</v>
      </c>
      <c r="D4" s="71" t="s">
        <v>48</v>
      </c>
      <c r="E4" s="71" t="s">
        <v>183</v>
      </c>
      <c r="F4" s="71" t="s">
        <v>48</v>
      </c>
      <c r="G4" s="71" t="s">
        <v>48</v>
      </c>
      <c r="H4" s="71" t="s">
        <v>48</v>
      </c>
      <c r="I4" s="71" t="s">
        <v>48</v>
      </c>
      <c r="J4" s="71"/>
    </row>
    <row r="5" spans="2:10">
      <c r="B5" s="18">
        <v>1</v>
      </c>
      <c r="C5" s="212">
        <v>2</v>
      </c>
      <c r="D5" s="216">
        <f>C5-$F$2</f>
        <v>1.2</v>
      </c>
      <c r="E5" s="212">
        <v>2.16</v>
      </c>
      <c r="F5" s="212">
        <v>0.04</v>
      </c>
      <c r="G5" s="212">
        <v>0.36</v>
      </c>
      <c r="H5" s="212">
        <f>F5+G5</f>
        <v>0.39999999999999997</v>
      </c>
      <c r="I5" s="216">
        <f>C5-H5</f>
        <v>1.6</v>
      </c>
      <c r="J5" s="217">
        <f>H5/D5</f>
        <v>0.33333333333333331</v>
      </c>
    </row>
    <row r="6" spans="2:10">
      <c r="B6" s="18">
        <v>2</v>
      </c>
      <c r="C6" s="212">
        <v>2.25</v>
      </c>
      <c r="D6" s="216">
        <f t="shared" ref="D6:D13" si="0">C6-$F$2</f>
        <v>1.45</v>
      </c>
      <c r="E6" s="212">
        <v>2.61</v>
      </c>
      <c r="F6" s="212">
        <v>0.05</v>
      </c>
      <c r="G6" s="212">
        <v>0.47</v>
      </c>
      <c r="H6" s="212">
        <f t="shared" ref="H6:H13" si="1">F6+G6</f>
        <v>0.52</v>
      </c>
      <c r="I6" s="216">
        <f t="shared" ref="I6:I13" si="2">C6-H6</f>
        <v>1.73</v>
      </c>
      <c r="J6" s="217">
        <f t="shared" ref="J6:J13" si="3">H6/D6</f>
        <v>0.35862068965517246</v>
      </c>
    </row>
    <row r="7" spans="2:10">
      <c r="B7" s="18">
        <v>3</v>
      </c>
      <c r="C7" s="212">
        <v>2.5</v>
      </c>
      <c r="D7" s="216">
        <f t="shared" si="0"/>
        <v>1.7</v>
      </c>
      <c r="E7" s="212">
        <v>3.06</v>
      </c>
      <c r="F7" s="212">
        <v>0.06</v>
      </c>
      <c r="G7" s="212">
        <v>0.56999999999999995</v>
      </c>
      <c r="H7" s="212">
        <f t="shared" si="1"/>
        <v>0.62999999999999989</v>
      </c>
      <c r="I7" s="216">
        <f>C7-H7</f>
        <v>1.87</v>
      </c>
      <c r="J7" s="217">
        <f t="shared" si="3"/>
        <v>0.37058823529411761</v>
      </c>
    </row>
    <row r="8" spans="2:10">
      <c r="B8" s="18">
        <v>4</v>
      </c>
      <c r="C8" s="212">
        <v>2.75</v>
      </c>
      <c r="D8" s="216">
        <f t="shared" si="0"/>
        <v>1.95</v>
      </c>
      <c r="E8" s="212">
        <v>3.51</v>
      </c>
      <c r="F8" s="212">
        <v>7.0000000000000007E-2</v>
      </c>
      <c r="G8" s="212">
        <v>0.66</v>
      </c>
      <c r="H8" s="212">
        <f t="shared" si="1"/>
        <v>0.73</v>
      </c>
      <c r="I8" s="216">
        <f t="shared" si="2"/>
        <v>2.02</v>
      </c>
      <c r="J8" s="217">
        <f t="shared" si="3"/>
        <v>0.37435897435897436</v>
      </c>
    </row>
    <row r="9" spans="2:10">
      <c r="B9" s="18">
        <v>5</v>
      </c>
      <c r="C9" s="212">
        <v>3</v>
      </c>
      <c r="D9" s="216">
        <f t="shared" si="0"/>
        <v>2.2000000000000002</v>
      </c>
      <c r="E9" s="212">
        <v>3.96</v>
      </c>
      <c r="F9" s="212">
        <v>0.08</v>
      </c>
      <c r="G9" s="212">
        <v>0.75</v>
      </c>
      <c r="H9" s="212">
        <f t="shared" si="1"/>
        <v>0.83</v>
      </c>
      <c r="I9" s="216">
        <f t="shared" si="2"/>
        <v>2.17</v>
      </c>
      <c r="J9" s="217">
        <f t="shared" si="3"/>
        <v>0.3772727272727272</v>
      </c>
    </row>
    <row r="10" spans="2:10">
      <c r="B10" s="18">
        <v>6</v>
      </c>
      <c r="C10" s="212">
        <v>3.25</v>
      </c>
      <c r="D10" s="216">
        <f t="shared" si="0"/>
        <v>2.4500000000000002</v>
      </c>
      <c r="E10" s="212">
        <v>4.41</v>
      </c>
      <c r="F10" s="212">
        <v>0.09</v>
      </c>
      <c r="G10" s="212">
        <v>0.84</v>
      </c>
      <c r="H10" s="212">
        <f t="shared" si="1"/>
        <v>0.92999999999999994</v>
      </c>
      <c r="I10" s="216">
        <f t="shared" si="2"/>
        <v>2.3200000000000003</v>
      </c>
      <c r="J10" s="217">
        <f t="shared" si="3"/>
        <v>0.37959183673469382</v>
      </c>
    </row>
    <row r="11" spans="2:10">
      <c r="B11" s="18">
        <v>7</v>
      </c>
      <c r="C11" s="212">
        <v>3.5</v>
      </c>
      <c r="D11" s="216">
        <f t="shared" si="0"/>
        <v>2.7</v>
      </c>
      <c r="E11" s="212">
        <v>4.8600000000000003</v>
      </c>
      <c r="F11" s="212">
        <v>0.1</v>
      </c>
      <c r="G11" s="212">
        <v>0.92</v>
      </c>
      <c r="H11" s="212">
        <f t="shared" si="1"/>
        <v>1.02</v>
      </c>
      <c r="I11" s="216">
        <f t="shared" si="2"/>
        <v>2.48</v>
      </c>
      <c r="J11" s="217">
        <f t="shared" si="3"/>
        <v>0.37777777777777777</v>
      </c>
    </row>
    <row r="12" spans="2:10">
      <c r="B12" s="18">
        <v>8</v>
      </c>
      <c r="C12" s="212">
        <v>3.75</v>
      </c>
      <c r="D12" s="216">
        <f t="shared" si="0"/>
        <v>2.95</v>
      </c>
      <c r="E12" s="212">
        <v>5.31</v>
      </c>
      <c r="F12" s="212">
        <v>0.11</v>
      </c>
      <c r="G12" s="212">
        <v>1.01</v>
      </c>
      <c r="H12" s="212">
        <f t="shared" si="1"/>
        <v>1.1200000000000001</v>
      </c>
      <c r="I12" s="216">
        <f t="shared" si="2"/>
        <v>2.63</v>
      </c>
      <c r="J12" s="217">
        <f t="shared" si="3"/>
        <v>0.37966101694915255</v>
      </c>
    </row>
    <row r="13" spans="2:10">
      <c r="B13" s="18">
        <v>9</v>
      </c>
      <c r="C13" s="212">
        <v>4</v>
      </c>
      <c r="D13" s="216">
        <f t="shared" si="0"/>
        <v>3.2</v>
      </c>
      <c r="E13" s="212">
        <v>5.76</v>
      </c>
      <c r="F13" s="212">
        <v>0.12</v>
      </c>
      <c r="G13" s="212">
        <v>1.1100000000000001</v>
      </c>
      <c r="H13" s="212">
        <f t="shared" si="1"/>
        <v>1.23</v>
      </c>
      <c r="I13" s="216">
        <f t="shared" si="2"/>
        <v>2.77</v>
      </c>
      <c r="J13" s="217">
        <f t="shared" si="3"/>
        <v>0.38437499999999997</v>
      </c>
    </row>
    <row r="17" spans="2:10">
      <c r="B17" t="s">
        <v>188</v>
      </c>
    </row>
    <row r="18" spans="2:10">
      <c r="B18" s="219" t="s">
        <v>185</v>
      </c>
      <c r="C18" s="219"/>
      <c r="D18" s="219"/>
      <c r="E18" s="219"/>
      <c r="F18" s="219"/>
      <c r="G18" s="219"/>
      <c r="H18" s="219"/>
      <c r="I18" s="219"/>
      <c r="J18" s="219"/>
    </row>
    <row r="19" spans="2:10">
      <c r="B19" s="219" t="s">
        <v>187</v>
      </c>
      <c r="C19" s="219"/>
      <c r="D19" s="219"/>
      <c r="E19" s="219"/>
      <c r="F19" s="219"/>
      <c r="G19" s="219"/>
      <c r="H19" s="219"/>
      <c r="I19" s="219"/>
      <c r="J19" s="219"/>
    </row>
    <row r="20" spans="2:10">
      <c r="B20" s="220"/>
      <c r="C20" s="221" t="s">
        <v>178</v>
      </c>
      <c r="D20" s="222"/>
      <c r="E20" s="222"/>
      <c r="F20" s="223">
        <v>0.8</v>
      </c>
      <c r="G20" s="224" t="s">
        <v>48</v>
      </c>
      <c r="H20" s="220"/>
      <c r="I20" s="220"/>
      <c r="J20" s="220"/>
    </row>
    <row r="21" spans="2:10" ht="37.1">
      <c r="B21" s="225" t="s">
        <v>184</v>
      </c>
      <c r="C21" s="226" t="s">
        <v>176</v>
      </c>
      <c r="D21" s="226" t="s">
        <v>177</v>
      </c>
      <c r="E21" s="226" t="s">
        <v>179</v>
      </c>
      <c r="F21" s="226" t="s">
        <v>180</v>
      </c>
      <c r="G21" s="226" t="s">
        <v>181</v>
      </c>
      <c r="H21" s="226" t="s">
        <v>182</v>
      </c>
      <c r="I21" s="226" t="s">
        <v>186</v>
      </c>
      <c r="J21" s="226" t="s">
        <v>189</v>
      </c>
    </row>
    <row r="22" spans="2:10">
      <c r="B22" s="227"/>
      <c r="C22" s="228" t="s">
        <v>48</v>
      </c>
      <c r="D22" s="228" t="s">
        <v>48</v>
      </c>
      <c r="E22" s="228" t="s">
        <v>183</v>
      </c>
      <c r="F22" s="228" t="s">
        <v>48</v>
      </c>
      <c r="G22" s="228" t="s">
        <v>48</v>
      </c>
      <c r="H22" s="228" t="s">
        <v>48</v>
      </c>
      <c r="I22" s="228" t="s">
        <v>48</v>
      </c>
      <c r="J22" s="228"/>
    </row>
    <row r="23" spans="2:10">
      <c r="B23" s="229">
        <v>1</v>
      </c>
      <c r="C23" s="230">
        <v>2</v>
      </c>
      <c r="D23" s="231">
        <f>C23-$F$2</f>
        <v>1.2</v>
      </c>
      <c r="E23" s="230">
        <v>2.16</v>
      </c>
      <c r="F23" s="230">
        <v>0.04</v>
      </c>
      <c r="G23" s="230">
        <v>0.81</v>
      </c>
      <c r="H23" s="230">
        <f>F23+G23</f>
        <v>0.85000000000000009</v>
      </c>
      <c r="I23" s="231">
        <f>C23-H23</f>
        <v>1.1499999999999999</v>
      </c>
      <c r="J23" s="232">
        <f>H23/D23</f>
        <v>0.70833333333333348</v>
      </c>
    </row>
    <row r="24" spans="2:10">
      <c r="B24" s="229">
        <v>2</v>
      </c>
      <c r="C24" s="230">
        <v>2.25</v>
      </c>
      <c r="D24" s="231">
        <f t="shared" ref="D24:D31" si="4">C24-$F$2</f>
        <v>1.45</v>
      </c>
      <c r="E24" s="230">
        <v>2.61</v>
      </c>
      <c r="F24" s="230">
        <v>0.05</v>
      </c>
      <c r="G24" s="230">
        <v>0.95</v>
      </c>
      <c r="H24" s="230">
        <f t="shared" ref="H24:H31" si="5">F24+G24</f>
        <v>1</v>
      </c>
      <c r="I24" s="231">
        <f t="shared" ref="I24" si="6">C24-H24</f>
        <v>1.25</v>
      </c>
      <c r="J24" s="232">
        <f t="shared" ref="J24:J31" si="7">H24/D24</f>
        <v>0.68965517241379315</v>
      </c>
    </row>
    <row r="25" spans="2:10">
      <c r="B25" s="229">
        <v>3</v>
      </c>
      <c r="C25" s="230">
        <v>2.5</v>
      </c>
      <c r="D25" s="231">
        <f t="shared" si="4"/>
        <v>1.7</v>
      </c>
      <c r="E25" s="230">
        <v>3.06</v>
      </c>
      <c r="F25" s="230">
        <v>0.06</v>
      </c>
      <c r="G25" s="230">
        <v>1.07</v>
      </c>
      <c r="H25" s="230">
        <f t="shared" si="5"/>
        <v>1.1300000000000001</v>
      </c>
      <c r="I25" s="231">
        <f>C25-H25</f>
        <v>1.3699999999999999</v>
      </c>
      <c r="J25" s="232">
        <f t="shared" si="7"/>
        <v>0.66470588235294126</v>
      </c>
    </row>
    <row r="26" spans="2:10">
      <c r="B26" s="229">
        <v>4</v>
      </c>
      <c r="C26" s="230">
        <v>2.75</v>
      </c>
      <c r="D26" s="231">
        <f t="shared" si="4"/>
        <v>1.95</v>
      </c>
      <c r="E26" s="230">
        <v>3.51</v>
      </c>
      <c r="F26" s="230">
        <v>7.0000000000000007E-2</v>
      </c>
      <c r="G26" s="230">
        <v>1.19</v>
      </c>
      <c r="H26" s="230">
        <f t="shared" si="5"/>
        <v>1.26</v>
      </c>
      <c r="I26" s="231">
        <f t="shared" ref="I26:I31" si="8">C26-H26</f>
        <v>1.49</v>
      </c>
      <c r="J26" s="232">
        <f t="shared" si="7"/>
        <v>0.64615384615384619</v>
      </c>
    </row>
    <row r="27" spans="2:10">
      <c r="B27" s="229">
        <v>5</v>
      </c>
      <c r="C27" s="230">
        <v>3</v>
      </c>
      <c r="D27" s="231">
        <f t="shared" si="4"/>
        <v>2.2000000000000002</v>
      </c>
      <c r="E27" s="230">
        <v>3.96</v>
      </c>
      <c r="F27" s="230">
        <v>0.08</v>
      </c>
      <c r="G27" s="230">
        <v>1.31</v>
      </c>
      <c r="H27" s="230">
        <f t="shared" si="5"/>
        <v>1.3900000000000001</v>
      </c>
      <c r="I27" s="231">
        <f t="shared" si="8"/>
        <v>1.6099999999999999</v>
      </c>
      <c r="J27" s="232">
        <f t="shared" si="7"/>
        <v>0.63181818181818183</v>
      </c>
    </row>
    <row r="28" spans="2:10">
      <c r="B28" s="229">
        <v>6</v>
      </c>
      <c r="C28" s="230">
        <v>3.25</v>
      </c>
      <c r="D28" s="231">
        <f t="shared" si="4"/>
        <v>2.4500000000000002</v>
      </c>
      <c r="E28" s="230">
        <v>4.41</v>
      </c>
      <c r="F28" s="230">
        <v>0.09</v>
      </c>
      <c r="G28" s="230">
        <v>1.42</v>
      </c>
      <c r="H28" s="230">
        <f t="shared" si="5"/>
        <v>1.51</v>
      </c>
      <c r="I28" s="231">
        <f t="shared" si="8"/>
        <v>1.74</v>
      </c>
      <c r="J28" s="232">
        <f t="shared" si="7"/>
        <v>0.61632653061224485</v>
      </c>
    </row>
    <row r="29" spans="2:10">
      <c r="B29" s="229">
        <v>7</v>
      </c>
      <c r="C29" s="230">
        <v>3.5</v>
      </c>
      <c r="D29" s="231">
        <f t="shared" si="4"/>
        <v>2.7</v>
      </c>
      <c r="E29" s="230">
        <v>4.8600000000000003</v>
      </c>
      <c r="F29" s="230">
        <v>0.1</v>
      </c>
      <c r="G29" s="230">
        <v>1.52</v>
      </c>
      <c r="H29" s="230">
        <f t="shared" si="5"/>
        <v>1.62</v>
      </c>
      <c r="I29" s="231">
        <f t="shared" si="8"/>
        <v>1.88</v>
      </c>
      <c r="J29" s="232">
        <f t="shared" si="7"/>
        <v>0.6</v>
      </c>
    </row>
    <row r="30" spans="2:10">
      <c r="B30" s="229">
        <v>8</v>
      </c>
      <c r="C30" s="230">
        <v>3.75</v>
      </c>
      <c r="D30" s="231">
        <f t="shared" si="4"/>
        <v>2.95</v>
      </c>
      <c r="E30" s="230">
        <v>5.31</v>
      </c>
      <c r="F30" s="230">
        <v>0.11</v>
      </c>
      <c r="G30" s="230">
        <v>1.62</v>
      </c>
      <c r="H30" s="230">
        <f t="shared" si="5"/>
        <v>1.7300000000000002</v>
      </c>
      <c r="I30" s="231">
        <f t="shared" si="8"/>
        <v>2.0199999999999996</v>
      </c>
      <c r="J30" s="232">
        <f t="shared" si="7"/>
        <v>0.58644067796610178</v>
      </c>
    </row>
    <row r="31" spans="2:10">
      <c r="B31" s="229">
        <v>9</v>
      </c>
      <c r="C31" s="230">
        <v>4</v>
      </c>
      <c r="D31" s="231">
        <f t="shared" si="4"/>
        <v>3.2</v>
      </c>
      <c r="E31" s="230">
        <v>5.76</v>
      </c>
      <c r="F31" s="230">
        <v>0.12</v>
      </c>
      <c r="G31" s="230">
        <v>1.72</v>
      </c>
      <c r="H31" s="230">
        <f t="shared" si="5"/>
        <v>1.8399999999999999</v>
      </c>
      <c r="I31" s="231">
        <f t="shared" si="8"/>
        <v>2.16</v>
      </c>
      <c r="J31" s="232">
        <f t="shared" si="7"/>
        <v>0.57499999999999996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1primary conso Dike</vt:lpstr>
      <vt:lpstr>2Immediat Sett Dike</vt:lpstr>
      <vt:lpstr>3Time Settlement Dike</vt:lpstr>
      <vt:lpstr>4graph road</vt:lpstr>
      <vt:lpstr>6Land fill</vt:lpstr>
      <vt:lpstr>7Immediat Sett Landfill</vt:lpstr>
      <vt:lpstr>8Time Sett Landfill</vt:lpstr>
      <vt:lpstr>9Graph Landfill</vt:lpstr>
      <vt:lpstr>10 Trial Landfill Sett</vt:lpstr>
      <vt:lpstr>'10 Trial Landfill Sett'!Print_Area</vt:lpstr>
      <vt:lpstr>'1primary conso Dike'!Print_Area</vt:lpstr>
      <vt:lpstr>'2Immediat Sett Dike'!Print_Area</vt:lpstr>
      <vt:lpstr>'3Time Settlement Dike'!Print_Area</vt:lpstr>
      <vt:lpstr>'4graph road'!Print_Area</vt:lpstr>
      <vt:lpstr>'6Land fill'!Print_Area</vt:lpstr>
      <vt:lpstr>'7Immediat Sett Landfill'!Print_Area</vt:lpstr>
      <vt:lpstr>'8Time Sett Landfill'!Print_Area</vt:lpstr>
      <vt:lpstr>'9Graph Landfill'!Print_Area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Somkiat Khwanpruk</cp:lastModifiedBy>
  <cp:lastPrinted>2014-01-29T05:07:24Z</cp:lastPrinted>
  <dcterms:created xsi:type="dcterms:W3CDTF">2013-11-26T17:51:36Z</dcterms:created>
  <dcterms:modified xsi:type="dcterms:W3CDTF">2014-05-08T08:44:03Z</dcterms:modified>
</cp:coreProperties>
</file>