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700" activeTab="1"/>
  </bookViews>
  <sheets>
    <sheet name="1-way " sheetId="1" r:id="rId1"/>
    <sheet name="2-way" sheetId="2" r:id="rId2"/>
    <sheet name="DATA" sheetId="3" r:id="rId3"/>
    <sheet name="Sheet3" sheetId="4" r:id="rId4"/>
  </sheets>
  <externalReferences>
    <externalReference r:id="rId7"/>
  </externalReferences>
  <definedNames>
    <definedName name="bar" localSheetId="0">'DATA'!$N$10:$N$20</definedName>
    <definedName name="bar">'DATA'!$N$10:$N$20</definedName>
    <definedName name="case" localSheetId="0">'2-way'!$X$10:$X$14</definedName>
    <definedName name="case">'2-way'!$X$10:$X$14</definedName>
    <definedName name="case1" localSheetId="0">'1-way '!$U$11:$U$14</definedName>
    <definedName name="case1">'[1]1-way '!$U$11:$U$14</definedName>
    <definedName name="_xlnm.Print_Area" localSheetId="0">'1-way '!$A$1:$P$36</definedName>
    <definedName name="_xlnm.Print_Area" localSheetId="1">'2-way'!$A$1:$P$36</definedName>
    <definedName name="type" localSheetId="0">'DATA'!$M$10:$M$11</definedName>
    <definedName name="type">'DATA'!$M$10:$M$11</definedName>
  </definedNames>
  <calcPr fullCalcOnLoad="1"/>
</workbook>
</file>

<file path=xl/comments1.xml><?xml version="1.0" encoding="utf-8"?>
<comments xmlns="http://schemas.openxmlformats.org/spreadsheetml/2006/main">
  <authors>
    <author>tatchai</author>
    <author>ideapad</author>
  </authors>
  <commentList>
    <comment ref="N8" authorId="0">
      <text>
        <r>
          <rPr>
            <b/>
            <sz val="8"/>
            <rFont val="Tahoma"/>
            <family val="0"/>
          </rPr>
          <t xml:space="preserve">Factor ไม่ควรเกิน 0.75
</t>
        </r>
        <r>
          <rPr>
            <sz val="8"/>
            <rFont val="Tahoma"/>
            <family val="0"/>
          </rPr>
          <t xml:space="preserve">
</t>
        </r>
      </text>
    </comment>
    <comment ref="C11" authorId="1">
      <text>
        <r>
          <rPr>
            <b/>
            <sz val="8"/>
            <rFont val="Tahoma"/>
            <family val="0"/>
          </rPr>
          <t>1 พื้นยื่น
2 พื้นช่วงเดียวธรรมดา
3 พื้นต่อเนื่องข้างเดียว
4 พื้นต่อเนื่องสองด้าน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tatchai</author>
  </authors>
  <commentList>
    <comment ref="F9" authorId="0">
      <text>
        <r>
          <rPr>
            <b/>
            <sz val="8"/>
            <rFont val="Tahoma"/>
            <family val="0"/>
          </rPr>
          <t>0 = ไม่ต่อเนื่องทุกด้าน
1 = ต่อเนิ่องด้านเดียว
2 = ต่อเนื่องสองด้าน
3 = ต่อเนื่องสามด้าน
4 = ต่อเนื่องทุกด้าน</t>
        </r>
        <r>
          <rPr>
            <sz val="8"/>
            <rFont val="Tahoma"/>
            <family val="0"/>
          </rPr>
          <t xml:space="preserve">
</t>
        </r>
      </text>
    </comment>
    <comment ref="N8" authorId="0">
      <text>
        <r>
          <rPr>
            <b/>
            <sz val="8"/>
            <rFont val="Tahoma"/>
            <family val="0"/>
          </rPr>
          <t xml:space="preserve">Factor ไม่ควรเกิน 0.75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<sst xmlns="http://schemas.openxmlformats.org/spreadsheetml/2006/main" count="245" uniqueCount="96">
  <si>
    <t>S</t>
  </si>
  <si>
    <t>L</t>
  </si>
  <si>
    <t>W =</t>
  </si>
  <si>
    <t>Fy =</t>
  </si>
  <si>
    <t>Fc' =</t>
  </si>
  <si>
    <t>Short span</t>
  </si>
  <si>
    <t>Long span</t>
  </si>
  <si>
    <t>m =</t>
  </si>
  <si>
    <t>Case</t>
  </si>
  <si>
    <t>Coefficient</t>
  </si>
  <si>
    <t>Moment (kg-m)</t>
  </si>
  <si>
    <t>Con ( - )</t>
  </si>
  <si>
    <t>Disc ( - )</t>
  </si>
  <si>
    <t>Mid ( + )</t>
  </si>
  <si>
    <t>case</t>
  </si>
  <si>
    <t>m.</t>
  </si>
  <si>
    <t>t  =</t>
  </si>
  <si>
    <t>cm.</t>
  </si>
  <si>
    <r>
      <t>kg/m</t>
    </r>
    <r>
      <rPr>
        <vertAlign val="superscript"/>
        <sz val="16"/>
        <rFont val="AngsanaUPC"/>
        <family val="1"/>
      </rPr>
      <t>2</t>
    </r>
  </si>
  <si>
    <t>ksc.</t>
  </si>
  <si>
    <t>RB</t>
  </si>
  <si>
    <t>DB</t>
  </si>
  <si>
    <t>@</t>
  </si>
  <si>
    <t>Use BAR</t>
  </si>
  <si>
    <t>Ru =</t>
  </si>
  <si>
    <t>Mu =</t>
  </si>
  <si>
    <t>kg-m</t>
  </si>
  <si>
    <t>kg</t>
  </si>
  <si>
    <t>d</t>
  </si>
  <si>
    <t>Ru</t>
  </si>
  <si>
    <r>
      <t>p</t>
    </r>
  </si>
  <si>
    <t>As mid</t>
  </si>
  <si>
    <t>As col</t>
  </si>
  <si>
    <t>mid</t>
  </si>
  <si>
    <t>col</t>
  </si>
  <si>
    <t>bar</t>
  </si>
  <si>
    <r>
      <t>t</t>
    </r>
    <r>
      <rPr>
        <sz val="16"/>
        <rFont val="AngsanaUPC"/>
        <family val="1"/>
      </rPr>
      <t xml:space="preserve"> </t>
    </r>
    <r>
      <rPr>
        <b/>
        <vertAlign val="subscript"/>
        <sz val="16"/>
        <rFont val="AngsanaUPC"/>
        <family val="1"/>
      </rPr>
      <t>req</t>
    </r>
    <r>
      <rPr>
        <b/>
        <sz val="16"/>
        <rFont val="AngsanaUPC"/>
        <family val="1"/>
      </rPr>
      <t xml:space="preserve"> =</t>
    </r>
  </si>
  <si>
    <t>Cover =</t>
  </si>
  <si>
    <t>SHORT SPAN</t>
  </si>
  <si>
    <t xml:space="preserve"> Short Span</t>
  </si>
  <si>
    <t xml:space="preserve"> Long Span</t>
  </si>
  <si>
    <t>เหล็กเสริมมุมพื้น</t>
  </si>
  <si>
    <t>ksc</t>
  </si>
  <si>
    <r>
      <t>ρ</t>
    </r>
    <r>
      <rPr>
        <vertAlign val="subscript"/>
        <sz val="16"/>
        <rFont val="AngsanaUPC"/>
        <family val="1"/>
      </rPr>
      <t xml:space="preserve"> </t>
    </r>
    <r>
      <rPr>
        <sz val="16"/>
        <rFont val="AngsanaUPC"/>
        <family val="1"/>
      </rPr>
      <t>=</t>
    </r>
  </si>
  <si>
    <r>
      <t>ρ</t>
    </r>
    <r>
      <rPr>
        <b/>
        <vertAlign val="subscript"/>
        <sz val="16"/>
        <rFont val="AngsanaUPC"/>
        <family val="1"/>
      </rPr>
      <t>max</t>
    </r>
    <r>
      <rPr>
        <vertAlign val="subscript"/>
        <sz val="16"/>
        <rFont val="AngsanaUPC"/>
        <family val="1"/>
      </rPr>
      <t xml:space="preserve"> </t>
    </r>
  </si>
  <si>
    <t>and</t>
  </si>
  <si>
    <r>
      <t>ρ</t>
    </r>
    <r>
      <rPr>
        <b/>
        <vertAlign val="subscript"/>
        <sz val="16"/>
        <rFont val="AngsanaUPC"/>
        <family val="1"/>
      </rPr>
      <t>min</t>
    </r>
    <r>
      <rPr>
        <vertAlign val="subscript"/>
        <sz val="16"/>
        <rFont val="AngsanaUPC"/>
        <family val="1"/>
      </rPr>
      <t xml:space="preserve"> </t>
    </r>
  </si>
  <si>
    <r>
      <t>cm</t>
    </r>
    <r>
      <rPr>
        <vertAlign val="superscript"/>
        <sz val="14"/>
        <rFont val="AngsanaUPC"/>
        <family val="1"/>
      </rPr>
      <t>2</t>
    </r>
  </si>
  <si>
    <t>USE BAR</t>
  </si>
  <si>
    <t>Area</t>
  </si>
  <si>
    <t>@ (cm)</t>
  </si>
  <si>
    <t>3t</t>
  </si>
  <si>
    <r>
      <t>As</t>
    </r>
    <r>
      <rPr>
        <b/>
        <vertAlign val="subscript"/>
        <sz val="14"/>
        <color indexed="8"/>
        <rFont val="AngsanaUPC"/>
        <family val="1"/>
      </rPr>
      <t>real</t>
    </r>
    <r>
      <rPr>
        <b/>
        <sz val="14"/>
        <color indexed="8"/>
        <rFont val="AngsanaUPC"/>
        <family val="1"/>
      </rPr>
      <t xml:space="preserve"> =</t>
    </r>
  </si>
  <si>
    <t>N</t>
  </si>
  <si>
    <t>ออกแบบเหล็กเสริมหลัก</t>
  </si>
  <si>
    <t>ออกแบบเหล็กเสริมกันร้าว</t>
  </si>
  <si>
    <t>เหล็กจากพื้นอื่น</t>
  </si>
  <si>
    <r>
      <t>As</t>
    </r>
    <r>
      <rPr>
        <b/>
        <vertAlign val="subscript"/>
        <sz val="14"/>
        <rFont val="AngsanaUPC"/>
        <family val="1"/>
      </rPr>
      <t>req</t>
    </r>
    <r>
      <rPr>
        <b/>
        <sz val="14"/>
        <rFont val="AngsanaUPC"/>
        <family val="1"/>
      </rPr>
      <t xml:space="preserve"> =</t>
    </r>
  </si>
  <si>
    <t>โครงการ :</t>
  </si>
  <si>
    <t>ที่ตั้ง :</t>
  </si>
  <si>
    <t>เจ้าของ :</t>
  </si>
  <si>
    <t>มหาวิทยาลัยราชมงคล ธัญบุรี</t>
  </si>
  <si>
    <t>ภาควิชาวิศวกรรมโยธา</t>
  </si>
  <si>
    <t>Use  BAR</t>
  </si>
  <si>
    <t>=</t>
  </si>
  <si>
    <r>
      <t>ß</t>
    </r>
    <r>
      <rPr>
        <b/>
        <vertAlign val="subscript"/>
        <sz val="16"/>
        <rFont val="AngsanaUPC"/>
        <family val="1"/>
      </rPr>
      <t xml:space="preserve">1 </t>
    </r>
  </si>
  <si>
    <t xml:space="preserve">n </t>
  </si>
  <si>
    <t>Vu</t>
  </si>
  <si>
    <r>
      <t>ø</t>
    </r>
    <r>
      <rPr>
        <sz val="16"/>
        <rFont val="AngsanaUPC"/>
        <family val="1"/>
      </rPr>
      <t xml:space="preserve">Vc </t>
    </r>
  </si>
  <si>
    <t>PARAMITER</t>
  </si>
  <si>
    <t>mm.</t>
  </si>
  <si>
    <r>
      <t>ρ</t>
    </r>
    <r>
      <rPr>
        <vertAlign val="subscript"/>
        <sz val="16"/>
        <rFont val="AngsanaUPC"/>
        <family val="1"/>
      </rPr>
      <t xml:space="preserve">b </t>
    </r>
  </si>
  <si>
    <t xml:space="preserve">Ru </t>
  </si>
  <si>
    <t>พื้นยื่น ( t = L/10 )</t>
  </si>
  <si>
    <t>พื้นช่วงเดียวธรรมดา ( t = L/20 )</t>
  </si>
  <si>
    <t>พื้นต่อเนื่องข้างเดียว ( t = L/24 )</t>
  </si>
  <si>
    <t xml:space="preserve"> พื้นต่อเนื่องทั้งสองข้าง ( t = L/28 )</t>
  </si>
  <si>
    <t>S / L  =</t>
  </si>
  <si>
    <t xml:space="preserve">Vu </t>
  </si>
  <si>
    <t xml:space="preserve">Dreq </t>
  </si>
  <si>
    <r>
      <t>D</t>
    </r>
    <r>
      <rPr>
        <vertAlign val="subscript"/>
        <sz val="16"/>
        <rFont val="AngsanaUPC"/>
        <family val="1"/>
      </rPr>
      <t>real</t>
    </r>
    <r>
      <rPr>
        <sz val="16"/>
        <rFont val="AngsanaUPC"/>
        <family val="0"/>
      </rPr>
      <t xml:space="preserve"> </t>
    </r>
  </si>
  <si>
    <t>S-7</t>
  </si>
  <si>
    <t>S-1</t>
  </si>
  <si>
    <t>โรงงาน พื้นที่ใช้สอยประมาณ 280 ตร.ม.</t>
  </si>
  <si>
    <t xml:space="preserve">øVc </t>
  </si>
  <si>
    <r>
      <t>kg/m</t>
    </r>
    <r>
      <rPr>
        <vertAlign val="superscript"/>
        <sz val="14"/>
        <rFont val="Browallia New"/>
        <family val="2"/>
      </rPr>
      <t>2</t>
    </r>
  </si>
  <si>
    <r>
      <t>ß</t>
    </r>
    <r>
      <rPr>
        <b/>
        <vertAlign val="subscript"/>
        <sz val="14"/>
        <rFont val="Browallia New"/>
        <family val="2"/>
      </rPr>
      <t xml:space="preserve">1 </t>
    </r>
  </si>
  <si>
    <r>
      <t>p</t>
    </r>
    <r>
      <rPr>
        <vertAlign val="subscript"/>
        <sz val="14"/>
        <rFont val="Browallia New"/>
        <family val="2"/>
      </rPr>
      <t xml:space="preserve">b </t>
    </r>
  </si>
  <si>
    <r>
      <t>p</t>
    </r>
    <r>
      <rPr>
        <b/>
        <vertAlign val="subscript"/>
        <sz val="14"/>
        <rFont val="Browallia New"/>
        <family val="2"/>
      </rPr>
      <t>max</t>
    </r>
  </si>
  <si>
    <r>
      <t>t</t>
    </r>
    <r>
      <rPr>
        <sz val="14"/>
        <rFont val="Browallia New"/>
        <family val="2"/>
      </rPr>
      <t xml:space="preserve"> </t>
    </r>
    <r>
      <rPr>
        <b/>
        <vertAlign val="subscript"/>
        <sz val="14"/>
        <rFont val="Browallia New"/>
        <family val="2"/>
      </rPr>
      <t>req</t>
    </r>
    <r>
      <rPr>
        <b/>
        <sz val="14"/>
        <rFont val="Browallia New"/>
        <family val="2"/>
      </rPr>
      <t xml:space="preserve"> =</t>
    </r>
  </si>
  <si>
    <r>
      <t>p</t>
    </r>
    <r>
      <rPr>
        <b/>
        <vertAlign val="subscript"/>
        <sz val="14"/>
        <rFont val="Browallia New"/>
        <family val="2"/>
      </rPr>
      <t>min</t>
    </r>
    <r>
      <rPr>
        <vertAlign val="subscript"/>
        <sz val="14"/>
        <rFont val="Browallia New"/>
        <family val="2"/>
      </rPr>
      <t xml:space="preserve"> </t>
    </r>
  </si>
  <si>
    <r>
      <t>D</t>
    </r>
    <r>
      <rPr>
        <vertAlign val="subscript"/>
        <sz val="14"/>
        <rFont val="Browallia New"/>
        <family val="2"/>
      </rPr>
      <t>req</t>
    </r>
    <r>
      <rPr>
        <sz val="14"/>
        <rFont val="Browallia New"/>
        <family val="2"/>
      </rPr>
      <t xml:space="preserve">  = </t>
    </r>
  </si>
  <si>
    <r>
      <t>D</t>
    </r>
    <r>
      <rPr>
        <vertAlign val="subscript"/>
        <sz val="14"/>
        <rFont val="Browallia New"/>
        <family val="2"/>
      </rPr>
      <t>real</t>
    </r>
    <r>
      <rPr>
        <sz val="14"/>
        <rFont val="Browallia New"/>
        <family val="2"/>
      </rPr>
      <t xml:space="preserve"> </t>
    </r>
  </si>
  <si>
    <r>
      <t>M</t>
    </r>
    <r>
      <rPr>
        <vertAlign val="superscript"/>
        <sz val="14"/>
        <rFont val="Browallia New"/>
        <family val="2"/>
      </rPr>
      <t>+</t>
    </r>
    <r>
      <rPr>
        <sz val="14"/>
        <rFont val="Browallia New"/>
        <family val="2"/>
      </rPr>
      <t>max =</t>
    </r>
  </si>
  <si>
    <r>
      <t>As</t>
    </r>
    <r>
      <rPr>
        <vertAlign val="superscript"/>
        <sz val="14"/>
        <rFont val="Browallia New"/>
        <family val="2"/>
      </rPr>
      <t>+</t>
    </r>
    <r>
      <rPr>
        <sz val="14"/>
        <rFont val="Browallia New"/>
        <family val="2"/>
      </rPr>
      <t>max =</t>
    </r>
  </si>
  <si>
    <r>
      <t>cm</t>
    </r>
    <r>
      <rPr>
        <vertAlign val="superscript"/>
        <sz val="14"/>
        <rFont val="Browallia New"/>
        <family val="2"/>
      </rPr>
      <t>2</t>
    </r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</si>
</sst>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0"/>
    <numFmt numFmtId="204" formatCode="0.0000"/>
    <numFmt numFmtId="205" formatCode="0.000"/>
    <numFmt numFmtId="206" formatCode="0.0"/>
    <numFmt numFmtId="207" formatCode="#,##0.0"/>
    <numFmt numFmtId="208" formatCode="0.00000000"/>
    <numFmt numFmtId="209" formatCode="0.0000000"/>
    <numFmt numFmtId="210" formatCode="0.000000"/>
    <numFmt numFmtId="211" formatCode="#,##0.000"/>
    <numFmt numFmtId="212" formatCode="#,##0.0000"/>
    <numFmt numFmtId="213" formatCode="#,##0.00000"/>
  </numFmts>
  <fonts count="68">
    <font>
      <sz val="16"/>
      <name val="AngsanaUPC"/>
      <family val="0"/>
    </font>
    <font>
      <sz val="8"/>
      <name val="AngsanaUPC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8"/>
      <name val="AngsanaUPC"/>
      <family val="1"/>
    </font>
    <font>
      <sz val="14"/>
      <color indexed="8"/>
      <name val="AngsanaUPC"/>
      <family val="1"/>
    </font>
    <font>
      <sz val="14"/>
      <color indexed="10"/>
      <name val="AngsanaUPC"/>
      <family val="1"/>
    </font>
    <font>
      <b/>
      <sz val="14"/>
      <color indexed="10"/>
      <name val="AngsanaUPC"/>
      <family val="1"/>
    </font>
    <font>
      <sz val="14"/>
      <name val="AngsanaUPC"/>
      <family val="1"/>
    </font>
    <font>
      <sz val="14"/>
      <color indexed="9"/>
      <name val="AngsanaUPC"/>
      <family val="1"/>
    </font>
    <font>
      <sz val="14"/>
      <color indexed="16"/>
      <name val="AngsanaUPC"/>
      <family val="1"/>
    </font>
    <font>
      <b/>
      <sz val="14"/>
      <color indexed="33"/>
      <name val="AngsanaUPC"/>
      <family val="1"/>
    </font>
    <font>
      <b/>
      <vertAlign val="subscript"/>
      <sz val="16"/>
      <name val="AngsanaUPC"/>
      <family val="1"/>
    </font>
    <font>
      <b/>
      <sz val="16"/>
      <name val="AngsanaUPC"/>
      <family val="1"/>
    </font>
    <font>
      <b/>
      <sz val="16"/>
      <color indexed="10"/>
      <name val="Antique Olive"/>
      <family val="2"/>
    </font>
    <font>
      <b/>
      <sz val="16"/>
      <color indexed="12"/>
      <name val="AngsanaUPC"/>
      <family val="1"/>
    </font>
    <font>
      <vertAlign val="superscript"/>
      <sz val="16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AngsanaUPC"/>
      <family val="1"/>
    </font>
    <font>
      <vertAlign val="subscript"/>
      <sz val="16"/>
      <name val="AngsanaUPC"/>
      <family val="1"/>
    </font>
    <font>
      <sz val="16"/>
      <name val="Angsana New"/>
      <family val="1"/>
    </font>
    <font>
      <sz val="18"/>
      <name val="AngsanaUPC"/>
      <family val="1"/>
    </font>
    <font>
      <sz val="14"/>
      <color indexed="12"/>
      <name val="AngsanaUPC"/>
      <family val="1"/>
    </font>
    <font>
      <sz val="14"/>
      <name val="Angsana New"/>
      <family val="1"/>
    </font>
    <font>
      <b/>
      <sz val="10"/>
      <name val="Arial"/>
      <family val="2"/>
    </font>
    <font>
      <sz val="16"/>
      <color indexed="10"/>
      <name val="AngsanaUPC"/>
      <family val="0"/>
    </font>
    <font>
      <b/>
      <sz val="10"/>
      <color indexed="10"/>
      <name val="Arial"/>
      <family val="2"/>
    </font>
    <font>
      <b/>
      <sz val="14"/>
      <color indexed="41"/>
      <name val="AngsanaUPC"/>
      <family val="1"/>
    </font>
    <font>
      <b/>
      <sz val="14"/>
      <name val="AngsanaUPC"/>
      <family val="1"/>
    </font>
    <font>
      <vertAlign val="superscript"/>
      <sz val="14"/>
      <name val="AngsanaUPC"/>
      <family val="1"/>
    </font>
    <font>
      <b/>
      <vertAlign val="subscript"/>
      <sz val="14"/>
      <color indexed="8"/>
      <name val="AngsanaUPC"/>
      <family val="1"/>
    </font>
    <font>
      <b/>
      <vertAlign val="subscript"/>
      <sz val="14"/>
      <name val="AngsanaUPC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48"/>
      <name val="AngsanaUPC"/>
      <family val="1"/>
    </font>
    <font>
      <sz val="14"/>
      <name val="Browallia New"/>
      <family val="2"/>
    </font>
    <font>
      <b/>
      <sz val="14"/>
      <name val="Browallia New"/>
      <family val="2"/>
    </font>
    <font>
      <b/>
      <sz val="14"/>
      <color indexed="12"/>
      <name val="Browallia New"/>
      <family val="2"/>
    </font>
    <font>
      <vertAlign val="superscript"/>
      <sz val="14"/>
      <name val="Browallia New"/>
      <family val="2"/>
    </font>
    <font>
      <b/>
      <vertAlign val="subscript"/>
      <sz val="14"/>
      <name val="Browallia New"/>
      <family val="2"/>
    </font>
    <font>
      <vertAlign val="subscript"/>
      <sz val="14"/>
      <name val="Browallia New"/>
      <family val="2"/>
    </font>
    <font>
      <b/>
      <sz val="14"/>
      <color indexed="10"/>
      <name val="Browallia New"/>
      <family val="2"/>
    </font>
    <font>
      <sz val="14"/>
      <color indexed="12"/>
      <name val="Browallia New"/>
      <family val="2"/>
    </font>
    <font>
      <sz val="14"/>
      <color indexed="8"/>
      <name val="Browallia New"/>
      <family val="2"/>
    </font>
    <font>
      <b/>
      <sz val="14"/>
      <color indexed="8"/>
      <name val="Browallia New"/>
      <family val="2"/>
    </font>
    <font>
      <sz val="14"/>
      <color indexed="10"/>
      <name val="Browallia New"/>
      <family val="2"/>
    </font>
    <font>
      <sz val="14"/>
      <color indexed="9"/>
      <name val="Browallia New"/>
      <family val="2"/>
    </font>
    <font>
      <b/>
      <sz val="14"/>
      <color indexed="16"/>
      <name val="Browallia New"/>
      <family val="2"/>
    </font>
    <font>
      <sz val="14"/>
      <color indexed="16"/>
      <name val="Browallia New"/>
      <family val="2"/>
    </font>
    <font>
      <sz val="14"/>
      <color indexed="18"/>
      <name val="Browallia New"/>
      <family val="2"/>
    </font>
    <font>
      <b/>
      <sz val="14"/>
      <color indexed="33"/>
      <name val="Browallia New"/>
      <family val="2"/>
    </font>
    <font>
      <b/>
      <sz val="8"/>
      <name val="AngsanaUPC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7" fillId="3" borderId="0" applyNumberFormat="0" applyBorder="0" applyAlignment="0" applyProtection="0"/>
    <xf numFmtId="0" fontId="41" fillId="20" borderId="1" applyNumberFormat="0" applyAlignment="0" applyProtection="0"/>
    <xf numFmtId="0" fontId="43" fillId="21" borderId="2" applyNumberFormat="0" applyAlignment="0" applyProtection="0"/>
    <xf numFmtId="0" fontId="4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9" fillId="7" borderId="1" applyNumberFormat="0" applyAlignment="0" applyProtection="0"/>
    <xf numFmtId="0" fontId="42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23" borderId="7" applyNumberFormat="0" applyFont="0" applyAlignment="0" applyProtection="0"/>
    <xf numFmtId="0" fontId="40" fillId="20" borderId="8" applyNumberFormat="0" applyAlignment="0" applyProtection="0"/>
    <xf numFmtId="0" fontId="32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/>
      <protection hidden="1"/>
    </xf>
    <xf numFmtId="206" fontId="7" fillId="0" borderId="0" xfId="0" applyNumberFormat="1" applyFont="1" applyFill="1" applyBorder="1" applyAlignment="1" applyProtection="1">
      <alignment horizontal="center"/>
      <protection hidden="1"/>
    </xf>
    <xf numFmtId="205" fontId="5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center"/>
      <protection hidden="1"/>
    </xf>
    <xf numFmtId="1" fontId="7" fillId="0" borderId="0" xfId="0" applyNumberFormat="1" applyFont="1" applyFill="1" applyBorder="1" applyAlignment="1" applyProtection="1">
      <alignment horizontal="center"/>
      <protection hidden="1"/>
    </xf>
    <xf numFmtId="206" fontId="6" fillId="0" borderId="0" xfId="0" applyNumberFormat="1" applyFont="1" applyFill="1" applyBorder="1" applyAlignment="1" applyProtection="1">
      <alignment horizontal="center"/>
      <protection hidden="1"/>
    </xf>
    <xf numFmtId="204" fontId="8" fillId="0" borderId="0" xfId="0" applyNumberFormat="1" applyFont="1" applyFill="1" applyBorder="1" applyAlignment="1" applyProtection="1">
      <alignment horizontal="centerContinuous" vertical="center"/>
      <protection hidden="1"/>
    </xf>
    <xf numFmtId="3" fontId="6" fillId="0" borderId="0" xfId="0" applyNumberFormat="1" applyFont="1" applyFill="1" applyBorder="1" applyAlignment="1" applyProtection="1" quotePrefix="1">
      <alignment horizontal="centerContinuous" vertical="center"/>
      <protection hidden="1"/>
    </xf>
    <xf numFmtId="1" fontId="11" fillId="0" borderId="0" xfId="0" applyNumberFormat="1" applyFont="1" applyFill="1" applyBorder="1" applyAlignment="1" applyProtection="1">
      <alignment horizontal="center"/>
      <protection hidden="1"/>
    </xf>
    <xf numFmtId="1" fontId="5" fillId="0" borderId="0" xfId="0" applyNumberFormat="1" applyFont="1" applyFill="1" applyBorder="1" applyAlignment="1" applyProtection="1">
      <alignment/>
      <protection hidden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24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05" fontId="5" fillId="0" borderId="0" xfId="0" applyNumberFormat="1" applyFont="1" applyFill="1" applyBorder="1" applyAlignment="1" applyProtection="1" quotePrefix="1">
      <alignment horizontal="center"/>
      <protection hidden="1"/>
    </xf>
    <xf numFmtId="1" fontId="5" fillId="0" borderId="0" xfId="0" applyNumberFormat="1" applyFont="1" applyFill="1" applyBorder="1" applyAlignment="1" applyProtection="1">
      <alignment horizontal="center"/>
      <protection hidden="1"/>
    </xf>
    <xf numFmtId="205" fontId="6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1" fontId="0" fillId="0" borderId="0" xfId="0" applyNumberFormat="1" applyAlignment="1">
      <alignment horizontal="left"/>
    </xf>
    <xf numFmtId="205" fontId="0" fillId="0" borderId="0" xfId="0" applyNumberForma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2" fontId="15" fillId="0" borderId="0" xfId="0" applyNumberFormat="1" applyFont="1" applyAlignment="1">
      <alignment horizontal="right"/>
    </xf>
    <xf numFmtId="0" fontId="18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Alignment="1">
      <alignment horizontal="center"/>
    </xf>
    <xf numFmtId="204" fontId="7" fillId="0" borderId="0" xfId="0" applyNumberFormat="1" applyFont="1" applyFill="1" applyBorder="1" applyAlignment="1" applyProtection="1">
      <alignment horizontal="center"/>
      <protection hidden="1"/>
    </xf>
    <xf numFmtId="20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" fontId="0" fillId="0" borderId="0" xfId="0" applyNumberForma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206" fontId="0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Fill="1" applyBorder="1" applyAlignment="1" applyProtection="1" quotePrefix="1">
      <alignment horizontal="left"/>
      <protection hidden="1"/>
    </xf>
    <xf numFmtId="1" fontId="5" fillId="0" borderId="0" xfId="0" applyNumberFormat="1" applyFont="1" applyFill="1" applyBorder="1" applyAlignment="1" applyProtection="1" quotePrefix="1">
      <alignment/>
      <protection hidden="1"/>
    </xf>
    <xf numFmtId="1" fontId="8" fillId="0" borderId="0" xfId="0" applyNumberFormat="1" applyFont="1" applyFill="1" applyBorder="1" applyAlignment="1" applyProtection="1">
      <alignment horizontal="centerContinuous" vertical="center"/>
      <protection hidden="1"/>
    </xf>
    <xf numFmtId="3" fontId="17" fillId="0" borderId="0" xfId="0" applyNumberFormat="1" applyFont="1" applyAlignment="1">
      <alignment horizontal="left"/>
    </xf>
    <xf numFmtId="206" fontId="17" fillId="0" borderId="0" xfId="0" applyNumberFormat="1" applyFont="1" applyAlignment="1">
      <alignment horizontal="left"/>
    </xf>
    <xf numFmtId="206" fontId="17" fillId="0" borderId="0" xfId="0" applyNumberFormat="1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Continuous" vertical="center"/>
      <protection hidden="1"/>
    </xf>
    <xf numFmtId="0" fontId="5" fillId="0" borderId="0" xfId="0" applyFont="1" applyFill="1" applyBorder="1" applyAlignment="1" applyProtection="1">
      <alignment horizontal="centerContinuous" vertical="center"/>
      <protection hidden="1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03" fontId="23" fillId="0" borderId="0" xfId="0" applyNumberFormat="1" applyFont="1" applyFill="1" applyBorder="1" applyAlignment="1" applyProtection="1">
      <alignment horizontal="center"/>
      <protection hidden="1"/>
    </xf>
    <xf numFmtId="203" fontId="23" fillId="0" borderId="0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 applyProtection="1">
      <alignment horizontal="center"/>
      <protection hidden="1"/>
    </xf>
    <xf numFmtId="203" fontId="8" fillId="0" borderId="0" xfId="0" applyNumberFormat="1" applyFont="1" applyFill="1" applyBorder="1" applyAlignment="1" quotePrefix="1">
      <alignment horizontal="center"/>
    </xf>
    <xf numFmtId="0" fontId="24" fillId="0" borderId="0" xfId="0" applyFont="1" applyAlignment="1">
      <alignment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vertical="center"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05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 applyProtection="1">
      <alignment horizontal="center"/>
      <protection hidden="1"/>
    </xf>
    <xf numFmtId="2" fontId="17" fillId="0" borderId="0" xfId="0" applyNumberFormat="1" applyFont="1" applyFill="1" applyBorder="1" applyAlignment="1" applyProtection="1">
      <alignment horizontal="center" vertical="center"/>
      <protection hidden="1"/>
    </xf>
    <xf numFmtId="3" fontId="25" fillId="0" borderId="0" xfId="0" applyNumberFormat="1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8" fillId="24" borderId="0" xfId="0" applyFont="1" applyFill="1" applyBorder="1" applyAlignment="1" applyProtection="1">
      <alignment horizontal="center"/>
      <protection hidden="1"/>
    </xf>
    <xf numFmtId="2" fontId="8" fillId="24" borderId="0" xfId="0" applyNumberFormat="1" applyFont="1" applyFill="1" applyBorder="1" applyAlignment="1" applyProtection="1">
      <alignment horizontal="center"/>
      <protection hidden="1"/>
    </xf>
    <xf numFmtId="203" fontId="23" fillId="24" borderId="0" xfId="0" applyNumberFormat="1" applyFont="1" applyFill="1" applyBorder="1" applyAlignment="1" quotePrefix="1">
      <alignment horizontal="center"/>
    </xf>
    <xf numFmtId="0" fontId="25" fillId="24" borderId="0" xfId="0" applyFont="1" applyFill="1" applyBorder="1" applyAlignment="1" applyProtection="1">
      <alignment horizontal="center"/>
      <protection hidden="1"/>
    </xf>
    <xf numFmtId="213" fontId="25" fillId="24" borderId="0" xfId="0" applyNumberFormat="1" applyFont="1" applyFill="1" applyBorder="1" applyAlignment="1" applyProtection="1">
      <alignment vertical="center"/>
      <protection hidden="1"/>
    </xf>
    <xf numFmtId="3" fontId="25" fillId="24" borderId="0" xfId="0" applyNumberFormat="1" applyFont="1" applyFill="1" applyBorder="1" applyAlignment="1" applyProtection="1">
      <alignment horizontal="center" vertical="center"/>
      <protection hidden="1"/>
    </xf>
    <xf numFmtId="0" fontId="26" fillId="24" borderId="0" xfId="0" applyFont="1" applyFill="1" applyAlignment="1">
      <alignment/>
    </xf>
    <xf numFmtId="2" fontId="7" fillId="24" borderId="0" xfId="0" applyNumberFormat="1" applyFont="1" applyFill="1" applyBorder="1" applyAlignment="1" applyProtection="1">
      <alignment/>
      <protection hidden="1"/>
    </xf>
    <xf numFmtId="205" fontId="25" fillId="24" borderId="0" xfId="0" applyNumberFormat="1" applyFont="1" applyFill="1" applyBorder="1" applyAlignment="1" applyProtection="1">
      <alignment vertical="center"/>
      <protection hidden="1"/>
    </xf>
    <xf numFmtId="3" fontId="25" fillId="24" borderId="0" xfId="0" applyNumberFormat="1" applyFont="1" applyFill="1" applyBorder="1" applyAlignment="1" applyProtection="1">
      <alignment vertical="center"/>
      <protection hidden="1"/>
    </xf>
    <xf numFmtId="205" fontId="11" fillId="0" borderId="0" xfId="0" applyNumberFormat="1" applyFont="1" applyFill="1" applyBorder="1" applyAlignment="1" applyProtection="1">
      <alignment horizontal="center"/>
      <protection hidden="1"/>
    </xf>
    <xf numFmtId="204" fontId="7" fillId="0" borderId="0" xfId="0" applyNumberFormat="1" applyFont="1" applyFill="1" applyBorder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18" fillId="22" borderId="10" xfId="0" applyFont="1" applyFill="1" applyBorder="1" applyAlignment="1" applyProtection="1">
      <alignment horizontal="center" vertical="center"/>
      <protection hidden="1"/>
    </xf>
    <xf numFmtId="0" fontId="10" fillId="22" borderId="10" xfId="0" applyFont="1" applyFill="1" applyBorder="1" applyAlignment="1" applyProtection="1">
      <alignment horizontal="center" vertical="center"/>
      <protection hidden="1"/>
    </xf>
    <xf numFmtId="2" fontId="8" fillId="22" borderId="10" xfId="0" applyNumberFormat="1" applyFont="1" applyFill="1" applyBorder="1" applyAlignment="1" applyProtection="1">
      <alignment horizontal="centerContinuous" vertical="center"/>
      <protection hidden="1"/>
    </xf>
    <xf numFmtId="204" fontId="8" fillId="22" borderId="10" xfId="0" applyNumberFormat="1" applyFont="1" applyFill="1" applyBorder="1" applyAlignment="1" applyProtection="1">
      <alignment horizontal="center"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10" fillId="3" borderId="10" xfId="0" applyFont="1" applyFill="1" applyBorder="1" applyAlignment="1" applyProtection="1">
      <alignment horizontal="center" vertical="center"/>
      <protection hidden="1"/>
    </xf>
    <xf numFmtId="2" fontId="8" fillId="3" borderId="10" xfId="0" applyNumberFormat="1" applyFont="1" applyFill="1" applyBorder="1" applyAlignment="1" applyProtection="1">
      <alignment horizontal="centerContinuous" vertical="center"/>
      <protection hidden="1"/>
    </xf>
    <xf numFmtId="204" fontId="8" fillId="3" borderId="10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203" fontId="8" fillId="0" borderId="0" xfId="0" applyNumberFormat="1" applyFont="1" applyFill="1" applyBorder="1" applyAlignment="1">
      <alignment/>
    </xf>
    <xf numFmtId="203" fontId="7" fillId="24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206" fontId="0" fillId="0" borderId="0" xfId="0" applyNumberFormat="1" applyAlignment="1">
      <alignment horizontal="left"/>
    </xf>
    <xf numFmtId="0" fontId="0" fillId="0" borderId="0" xfId="0" applyFill="1" applyAlignment="1">
      <alignment/>
    </xf>
    <xf numFmtId="0" fontId="26" fillId="24" borderId="0" xfId="0" applyFont="1" applyFill="1" applyBorder="1" applyAlignment="1" applyProtection="1">
      <alignment horizontal="center" vertical="distributed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13" fillId="0" borderId="0" xfId="0" applyFont="1" applyAlignment="1">
      <alignment/>
    </xf>
    <xf numFmtId="0" fontId="28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0" fillId="0" borderId="15" xfId="0" applyBorder="1" applyAlignment="1">
      <alignment/>
    </xf>
    <xf numFmtId="0" fontId="24" fillId="24" borderId="10" xfId="0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26" fillId="24" borderId="0" xfId="0" applyFont="1" applyFill="1" applyBorder="1" applyAlignment="1">
      <alignment horizontal="left"/>
    </xf>
    <xf numFmtId="206" fontId="17" fillId="0" borderId="0" xfId="0" applyNumberFormat="1" applyFont="1" applyFill="1" applyBorder="1" applyAlignment="1" applyProtection="1">
      <alignment horizontal="left" vertical="center"/>
      <protection hidden="1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left"/>
    </xf>
    <xf numFmtId="0" fontId="1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0" fillId="22" borderId="0" xfId="0" applyFill="1" applyAlignment="1">
      <alignment/>
    </xf>
    <xf numFmtId="0" fontId="0" fillId="22" borderId="0" xfId="0" applyFill="1" applyBorder="1" applyAlignment="1">
      <alignment horizontal="center"/>
    </xf>
    <xf numFmtId="0" fontId="50" fillId="0" borderId="0" xfId="0" applyFont="1" applyAlignment="1">
      <alignment/>
    </xf>
    <xf numFmtId="206" fontId="13" fillId="0" borderId="0" xfId="0" applyNumberFormat="1" applyFont="1" applyFill="1" applyBorder="1" applyAlignment="1" applyProtection="1">
      <alignment horizontal="left" vertical="center"/>
      <protection hidden="1"/>
    </xf>
    <xf numFmtId="206" fontId="15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28" fillId="0" borderId="0" xfId="0" applyFont="1" applyFill="1" applyBorder="1" applyAlignment="1" applyProtection="1">
      <alignment horizontal="left"/>
      <protection hidden="1"/>
    </xf>
    <xf numFmtId="2" fontId="28" fillId="0" borderId="0" xfId="0" applyNumberFormat="1" applyFont="1" applyFill="1" applyBorder="1" applyAlignment="1" applyProtection="1" quotePrefix="1">
      <alignment horizontal="right" vertical="center"/>
      <protection hidden="1"/>
    </xf>
    <xf numFmtId="2" fontId="7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left"/>
      <protection/>
    </xf>
    <xf numFmtId="0" fontId="51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51" fillId="0" borderId="15" xfId="0" applyFont="1" applyBorder="1" applyAlignment="1">
      <alignment/>
    </xf>
    <xf numFmtId="0" fontId="52" fillId="0" borderId="15" xfId="0" applyFont="1" applyBorder="1" applyAlignment="1">
      <alignment horizontal="right"/>
    </xf>
    <xf numFmtId="0" fontId="51" fillId="0" borderId="15" xfId="0" applyFont="1" applyBorder="1" applyAlignment="1">
      <alignment/>
    </xf>
    <xf numFmtId="0" fontId="51" fillId="0" borderId="0" xfId="0" applyFont="1" applyAlignment="1">
      <alignment horizontal="right"/>
    </xf>
    <xf numFmtId="0" fontId="53" fillId="0" borderId="0" xfId="0" applyFont="1" applyAlignment="1">
      <alignment/>
    </xf>
    <xf numFmtId="0" fontId="51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2" fillId="0" borderId="10" xfId="0" applyFont="1" applyBorder="1" applyAlignment="1">
      <alignment horizontal="right"/>
    </xf>
    <xf numFmtId="0" fontId="51" fillId="0" borderId="10" xfId="0" applyFont="1" applyBorder="1" applyAlignment="1">
      <alignment horizontal="center"/>
    </xf>
    <xf numFmtId="2" fontId="53" fillId="0" borderId="0" xfId="0" applyNumberFormat="1" applyFont="1" applyAlignment="1">
      <alignment horizontal="right"/>
    </xf>
    <xf numFmtId="1" fontId="51" fillId="0" borderId="0" xfId="0" applyNumberFormat="1" applyFont="1" applyAlignment="1">
      <alignment horizontal="left"/>
    </xf>
    <xf numFmtId="0" fontId="51" fillId="0" borderId="10" xfId="0" applyFont="1" applyBorder="1" applyAlignment="1">
      <alignment horizontal="right"/>
    </xf>
    <xf numFmtId="0" fontId="53" fillId="0" borderId="0" xfId="0" applyFont="1" applyAlignment="1">
      <alignment horizontal="center"/>
    </xf>
    <xf numFmtId="0" fontId="51" fillId="0" borderId="0" xfId="0" applyFont="1" applyAlignment="1" quotePrefix="1">
      <alignment/>
    </xf>
    <xf numFmtId="0" fontId="51" fillId="4" borderId="1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7" fillId="0" borderId="0" xfId="0" applyFont="1" applyAlignment="1">
      <alignment/>
    </xf>
    <xf numFmtId="0" fontId="53" fillId="0" borderId="0" xfId="0" applyFont="1" applyFill="1" applyBorder="1" applyAlignment="1" applyProtection="1">
      <alignment horizontal="center"/>
      <protection hidden="1"/>
    </xf>
    <xf numFmtId="0" fontId="52" fillId="0" borderId="0" xfId="0" applyFont="1" applyAlignment="1">
      <alignment horizontal="right"/>
    </xf>
    <xf numFmtId="1" fontId="52" fillId="0" borderId="0" xfId="0" applyNumberFormat="1" applyFont="1" applyAlignment="1">
      <alignment horizontal="left"/>
    </xf>
    <xf numFmtId="206" fontId="52" fillId="0" borderId="0" xfId="0" applyNumberFormat="1" applyFont="1" applyAlignment="1">
      <alignment/>
    </xf>
    <xf numFmtId="206" fontId="51" fillId="0" borderId="0" xfId="0" applyNumberFormat="1" applyFont="1" applyAlignment="1">
      <alignment horizontal="right"/>
    </xf>
    <xf numFmtId="3" fontId="52" fillId="0" borderId="0" xfId="0" applyNumberFormat="1" applyFont="1" applyAlignment="1">
      <alignment horizontal="left"/>
    </xf>
    <xf numFmtId="3" fontId="52" fillId="0" borderId="0" xfId="0" applyNumberFormat="1" applyFont="1" applyAlignment="1">
      <alignment horizontal="right"/>
    </xf>
    <xf numFmtId="3" fontId="57" fillId="0" borderId="0" xfId="0" applyNumberFormat="1" applyFont="1" applyAlignment="1">
      <alignment horizontal="left"/>
    </xf>
    <xf numFmtId="0" fontId="58" fillId="0" borderId="0" xfId="0" applyFont="1" applyFill="1" applyBorder="1" applyAlignment="1" applyProtection="1" quotePrefix="1">
      <alignment horizontal="left"/>
      <protection hidden="1"/>
    </xf>
    <xf numFmtId="0" fontId="51" fillId="0" borderId="0" xfId="0" applyFont="1" applyFill="1" applyBorder="1" applyAlignment="1" applyProtection="1">
      <alignment horizontal="right"/>
      <protection/>
    </xf>
    <xf numFmtId="206" fontId="52" fillId="0" borderId="0" xfId="0" applyNumberFormat="1" applyFont="1" applyFill="1" applyBorder="1" applyAlignment="1" applyProtection="1">
      <alignment horizontal="right" vertical="center"/>
      <protection hidden="1"/>
    </xf>
    <xf numFmtId="206" fontId="57" fillId="0" borderId="0" xfId="0" applyNumberFormat="1" applyFont="1" applyFill="1" applyBorder="1" applyAlignment="1" applyProtection="1">
      <alignment horizontal="left" vertical="center"/>
      <protection hidden="1"/>
    </xf>
    <xf numFmtId="0" fontId="59" fillId="0" borderId="0" xfId="0" applyFont="1" applyFill="1" applyBorder="1" applyAlignment="1" applyProtection="1">
      <alignment/>
      <protection hidden="1"/>
    </xf>
    <xf numFmtId="0" fontId="51" fillId="0" borderId="12" xfId="0" applyFont="1" applyBorder="1" applyAlignment="1">
      <alignment/>
    </xf>
    <xf numFmtId="0" fontId="51" fillId="0" borderId="0" xfId="0" applyFont="1" applyBorder="1" applyAlignment="1">
      <alignment/>
    </xf>
    <xf numFmtId="1" fontId="51" fillId="0" borderId="0" xfId="0" applyNumberFormat="1" applyFont="1" applyFill="1" applyAlignment="1" applyProtection="1">
      <alignment/>
      <protection hidden="1"/>
    </xf>
    <xf numFmtId="1" fontId="51" fillId="0" borderId="0" xfId="0" applyNumberFormat="1" applyFont="1" applyFill="1" applyBorder="1" applyAlignment="1" applyProtection="1">
      <alignment/>
      <protection hidden="1"/>
    </xf>
    <xf numFmtId="0" fontId="51" fillId="0" borderId="0" xfId="0" applyFont="1" applyBorder="1" applyAlignment="1" applyProtection="1">
      <alignment/>
      <protection/>
    </xf>
    <xf numFmtId="0" fontId="59" fillId="0" borderId="0" xfId="0" applyFont="1" applyFill="1" applyBorder="1" applyAlignment="1" applyProtection="1">
      <alignment horizontal="center"/>
      <protection hidden="1"/>
    </xf>
    <xf numFmtId="206" fontId="57" fillId="0" borderId="0" xfId="0" applyNumberFormat="1" applyFont="1" applyFill="1" applyBorder="1" applyAlignment="1" applyProtection="1">
      <alignment horizontal="center"/>
      <protection hidden="1"/>
    </xf>
    <xf numFmtId="205" fontId="59" fillId="0" borderId="0" xfId="0" applyNumberFormat="1" applyFont="1" applyFill="1" applyBorder="1" applyAlignment="1" applyProtection="1">
      <alignment horizontal="center"/>
      <protection hidden="1"/>
    </xf>
    <xf numFmtId="205" fontId="59" fillId="0" borderId="0" xfId="0" applyNumberFormat="1" applyFont="1" applyFill="1" applyBorder="1" applyAlignment="1" applyProtection="1" quotePrefix="1">
      <alignment horizontal="center"/>
      <protection hidden="1"/>
    </xf>
    <xf numFmtId="1" fontId="59" fillId="0" borderId="0" xfId="0" applyNumberFormat="1" applyFont="1" applyFill="1" applyBorder="1" applyAlignment="1" applyProtection="1">
      <alignment horizontal="center"/>
      <protection hidden="1"/>
    </xf>
    <xf numFmtId="205" fontId="61" fillId="0" borderId="0" xfId="0" applyNumberFormat="1" applyFont="1" applyFill="1" applyBorder="1" applyAlignment="1" applyProtection="1">
      <alignment horizontal="center"/>
      <protection hidden="1"/>
    </xf>
    <xf numFmtId="0" fontId="51" fillId="0" borderId="0" xfId="0" applyFont="1" applyFill="1" applyAlignment="1" applyProtection="1">
      <alignment/>
      <protection hidden="1"/>
    </xf>
    <xf numFmtId="0" fontId="51" fillId="0" borderId="0" xfId="0" applyFont="1" applyFill="1" applyBorder="1" applyAlignment="1" applyProtection="1">
      <alignment vertical="center"/>
      <protection hidden="1"/>
    </xf>
    <xf numFmtId="0" fontId="51" fillId="0" borderId="10" xfId="0" applyFont="1" applyFill="1" applyBorder="1" applyAlignment="1" applyProtection="1">
      <alignment vertical="center"/>
      <protection hidden="1"/>
    </xf>
    <xf numFmtId="0" fontId="51" fillId="0" borderId="10" xfId="0" applyFont="1" applyFill="1" applyBorder="1" applyAlignment="1" applyProtection="1">
      <alignment horizontal="centerContinuous" vertical="center"/>
      <protection hidden="1"/>
    </xf>
    <xf numFmtId="0" fontId="59" fillId="0" borderId="10" xfId="0" applyFont="1" applyFill="1" applyBorder="1" applyAlignment="1" applyProtection="1">
      <alignment horizontal="centerContinuous" vertical="center"/>
      <protection hidden="1"/>
    </xf>
    <xf numFmtId="0" fontId="59" fillId="0" borderId="10" xfId="0" applyFont="1" applyFill="1" applyBorder="1" applyAlignment="1" applyProtection="1">
      <alignment horizontal="center"/>
      <protection hidden="1"/>
    </xf>
    <xf numFmtId="0" fontId="51" fillId="0" borderId="10" xfId="0" applyFont="1" applyFill="1" applyBorder="1" applyAlignment="1" applyProtection="1">
      <alignment horizontal="center"/>
      <protection hidden="1"/>
    </xf>
    <xf numFmtId="0" fontId="51" fillId="0" borderId="0" xfId="0" applyFont="1" applyFill="1" applyBorder="1" applyAlignment="1" applyProtection="1">
      <alignment horizontal="center"/>
      <protection hidden="1"/>
    </xf>
    <xf numFmtId="1" fontId="57" fillId="0" borderId="0" xfId="0" applyNumberFormat="1" applyFont="1" applyFill="1" applyBorder="1" applyAlignment="1" applyProtection="1">
      <alignment horizontal="center"/>
      <protection hidden="1"/>
    </xf>
    <xf numFmtId="206" fontId="61" fillId="0" borderId="0" xfId="0" applyNumberFormat="1" applyFont="1" applyFill="1" applyBorder="1" applyAlignment="1" applyProtection="1">
      <alignment horizontal="center"/>
      <protection hidden="1"/>
    </xf>
    <xf numFmtId="0" fontId="52" fillId="0" borderId="10" xfId="0" applyFont="1" applyFill="1" applyBorder="1" applyAlignment="1">
      <alignment horizontal="center"/>
    </xf>
    <xf numFmtId="0" fontId="53" fillId="0" borderId="10" xfId="0" applyFont="1" applyFill="1" applyBorder="1" applyAlignment="1" applyProtection="1">
      <alignment horizontal="center"/>
      <protection hidden="1"/>
    </xf>
    <xf numFmtId="2" fontId="59" fillId="0" borderId="10" xfId="0" applyNumberFormat="1" applyFont="1" applyFill="1" applyBorder="1" applyAlignment="1" applyProtection="1">
      <alignment horizontal="center"/>
      <protection hidden="1"/>
    </xf>
    <xf numFmtId="203" fontId="51" fillId="0" borderId="10" xfId="0" applyNumberFormat="1" applyFont="1" applyFill="1" applyBorder="1" applyAlignment="1" applyProtection="1">
      <alignment horizontal="center"/>
      <protection hidden="1"/>
    </xf>
    <xf numFmtId="2" fontId="59" fillId="25" borderId="10" xfId="0" applyNumberFormat="1" applyFont="1" applyFill="1" applyBorder="1" applyAlignment="1" applyProtection="1">
      <alignment horizontal="center"/>
      <protection hidden="1"/>
    </xf>
    <xf numFmtId="0" fontId="51" fillId="3" borderId="10" xfId="0" applyFont="1" applyFill="1" applyBorder="1" applyAlignment="1" applyProtection="1">
      <alignment horizontal="center"/>
      <protection hidden="1"/>
    </xf>
    <xf numFmtId="204" fontId="57" fillId="0" borderId="0" xfId="0" applyNumberFormat="1" applyFont="1" applyFill="1" applyBorder="1" applyAlignment="1" applyProtection="1">
      <alignment horizontal="center"/>
      <protection hidden="1"/>
    </xf>
    <xf numFmtId="0" fontId="51" fillId="0" borderId="0" xfId="0" applyFont="1" applyFill="1" applyBorder="1" applyAlignment="1" applyProtection="1">
      <alignment/>
      <protection hidden="1"/>
    </xf>
    <xf numFmtId="203" fontId="51" fillId="0" borderId="10" xfId="0" applyNumberFormat="1" applyFont="1" applyFill="1" applyBorder="1" applyAlignment="1" quotePrefix="1">
      <alignment horizontal="center"/>
    </xf>
    <xf numFmtId="2" fontId="59" fillId="11" borderId="10" xfId="0" applyNumberFormat="1" applyFont="1" applyFill="1" applyBorder="1" applyAlignment="1" applyProtection="1">
      <alignment horizontal="center"/>
      <protection hidden="1"/>
    </xf>
    <xf numFmtId="0" fontId="51" fillId="7" borderId="10" xfId="0" applyFont="1" applyFill="1" applyBorder="1" applyAlignment="1" applyProtection="1">
      <alignment horizontal="center"/>
      <protection hidden="1"/>
    </xf>
    <xf numFmtId="2" fontId="51" fillId="0" borderId="0" xfId="0" applyNumberFormat="1" applyFont="1" applyFill="1" applyBorder="1" applyAlignment="1" applyProtection="1">
      <alignment horizontal="center"/>
      <protection hidden="1"/>
    </xf>
    <xf numFmtId="2" fontId="59" fillId="26" borderId="10" xfId="0" applyNumberFormat="1" applyFont="1" applyFill="1" applyBorder="1" applyAlignment="1" applyProtection="1">
      <alignment horizontal="center"/>
      <protection hidden="1"/>
    </xf>
    <xf numFmtId="0" fontId="51" fillId="22" borderId="10" xfId="0" applyFont="1" applyFill="1" applyBorder="1" applyAlignment="1" applyProtection="1">
      <alignment horizontal="center"/>
      <protection hidden="1"/>
    </xf>
    <xf numFmtId="0" fontId="62" fillId="0" borderId="0" xfId="0" applyFont="1" applyFill="1" applyBorder="1" applyAlignment="1" applyProtection="1">
      <alignment/>
      <protection hidden="1"/>
    </xf>
    <xf numFmtId="0" fontId="63" fillId="0" borderId="0" xfId="0" applyFont="1" applyFill="1" applyBorder="1" applyAlignment="1" applyProtection="1" quotePrefix="1">
      <alignment horizontal="center"/>
      <protection hidden="1"/>
    </xf>
    <xf numFmtId="0" fontId="64" fillId="0" borderId="0" xfId="0" applyFont="1" applyFill="1" applyBorder="1" applyAlignment="1" applyProtection="1" quotePrefix="1">
      <alignment horizontal="center" vertical="center"/>
      <protection hidden="1"/>
    </xf>
    <xf numFmtId="204" fontId="51" fillId="0" borderId="0" xfId="0" applyNumberFormat="1" applyFont="1" applyFill="1" applyBorder="1" applyAlignment="1" applyProtection="1">
      <alignment horizontal="centerContinuous" vertical="center"/>
      <protection hidden="1"/>
    </xf>
    <xf numFmtId="3" fontId="61" fillId="0" borderId="0" xfId="0" applyNumberFormat="1" applyFont="1" applyFill="1" applyBorder="1" applyAlignment="1" applyProtection="1" quotePrefix="1">
      <alignment horizontal="centerContinuous" vertical="center"/>
      <protection hidden="1"/>
    </xf>
    <xf numFmtId="1" fontId="57" fillId="0" borderId="0" xfId="0" applyNumberFormat="1" applyFont="1" applyFill="1" applyBorder="1" applyAlignment="1" applyProtection="1">
      <alignment horizontal="centerContinuous" vertical="center"/>
      <protection hidden="1"/>
    </xf>
    <xf numFmtId="0" fontId="65" fillId="0" borderId="0" xfId="0" applyFont="1" applyFill="1" applyBorder="1" applyAlignment="1" applyProtection="1">
      <alignment horizontal="center" vertical="center"/>
      <protection hidden="1"/>
    </xf>
    <xf numFmtId="204" fontId="51" fillId="0" borderId="0" xfId="0" applyNumberFormat="1" applyFont="1" applyFill="1" applyBorder="1" applyAlignment="1" applyProtection="1">
      <alignment horizontal="center" vertical="center"/>
      <protection hidden="1"/>
    </xf>
    <xf numFmtId="1" fontId="51" fillId="0" borderId="0" xfId="0" applyNumberFormat="1" applyFont="1" applyFill="1" applyBorder="1" applyAlignment="1" applyProtection="1">
      <alignment horizontal="centerContinuous" vertical="center"/>
      <protection hidden="1"/>
    </xf>
    <xf numFmtId="1" fontId="66" fillId="0" borderId="0" xfId="0" applyNumberFormat="1" applyFont="1" applyFill="1" applyBorder="1" applyAlignment="1" applyProtection="1">
      <alignment horizontal="center"/>
      <protection hidden="1"/>
    </xf>
    <xf numFmtId="0" fontId="51" fillId="0" borderId="0" xfId="0" applyFont="1" applyFill="1" applyBorder="1" applyAlignment="1">
      <alignment/>
    </xf>
    <xf numFmtId="1" fontId="59" fillId="0" borderId="0" xfId="0" applyNumberFormat="1" applyFont="1" applyFill="1" applyBorder="1" applyAlignment="1" applyProtection="1">
      <alignment/>
      <protection hidden="1"/>
    </xf>
    <xf numFmtId="1" fontId="59" fillId="0" borderId="0" xfId="0" applyNumberFormat="1" applyFont="1" applyFill="1" applyBorder="1" applyAlignment="1" applyProtection="1" quotePrefix="1">
      <alignment/>
      <protection hidden="1"/>
    </xf>
    <xf numFmtId="2" fontId="59" fillId="10" borderId="10" xfId="0" applyNumberFormat="1" applyFont="1" applyFill="1" applyBorder="1" applyAlignment="1" applyProtection="1">
      <alignment horizontal="center"/>
      <protection hidden="1"/>
    </xf>
    <xf numFmtId="1" fontId="51" fillId="4" borderId="10" xfId="0" applyNumberFormat="1" applyFont="1" applyFill="1" applyBorder="1" applyAlignment="1" applyProtection="1">
      <alignment horizontal="center"/>
      <protection hidden="1"/>
    </xf>
    <xf numFmtId="1" fontId="51" fillId="0" borderId="0" xfId="0" applyNumberFormat="1" applyFont="1" applyFill="1" applyBorder="1" applyAlignment="1" applyProtection="1">
      <alignment horizontal="center"/>
      <protection hidden="1"/>
    </xf>
    <xf numFmtId="2" fontId="59" fillId="27" borderId="10" xfId="0" applyNumberFormat="1" applyFont="1" applyFill="1" applyBorder="1" applyAlignment="1" applyProtection="1">
      <alignment horizontal="center"/>
      <protection hidden="1"/>
    </xf>
    <xf numFmtId="1" fontId="51" fillId="8" borderId="10" xfId="0" applyNumberFormat="1" applyFont="1" applyFill="1" applyBorder="1" applyAlignment="1" applyProtection="1">
      <alignment horizontal="center"/>
      <protection hidden="1"/>
    </xf>
    <xf numFmtId="2" fontId="59" fillId="28" borderId="10" xfId="0" applyNumberFormat="1" applyFont="1" applyFill="1" applyBorder="1" applyAlignment="1" applyProtection="1">
      <alignment horizontal="center"/>
      <protection hidden="1"/>
    </xf>
    <xf numFmtId="1" fontId="51" fillId="5" borderId="10" xfId="0" applyNumberFormat="1" applyFont="1" applyFill="1" applyBorder="1" applyAlignment="1" applyProtection="1">
      <alignment horizontal="center"/>
      <protection hidden="1"/>
    </xf>
    <xf numFmtId="0" fontId="51" fillId="0" borderId="13" xfId="0" applyFont="1" applyBorder="1" applyAlignment="1">
      <alignment/>
    </xf>
    <xf numFmtId="206" fontId="51" fillId="0" borderId="0" xfId="0" applyNumberFormat="1" applyFont="1" applyAlignment="1">
      <alignment horizontal="left"/>
    </xf>
    <xf numFmtId="0" fontId="51" fillId="0" borderId="11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51" fillId="22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51" fillId="4" borderId="0" xfId="0" applyFont="1" applyFill="1" applyAlignment="1">
      <alignment horizontal="center"/>
    </xf>
    <xf numFmtId="2" fontId="51" fillId="0" borderId="0" xfId="0" applyNumberFormat="1" applyFont="1" applyAlignment="1">
      <alignment horizontal="center"/>
    </xf>
    <xf numFmtId="0" fontId="13" fillId="0" borderId="16" xfId="0" applyFont="1" applyBorder="1" applyAlignment="1">
      <alignment horizontal="center"/>
    </xf>
    <xf numFmtId="203" fontId="13" fillId="0" borderId="17" xfId="0" applyNumberFormat="1" applyFont="1" applyBorder="1" applyAlignment="1">
      <alignment horizontal="left"/>
    </xf>
    <xf numFmtId="203" fontId="13" fillId="0" borderId="18" xfId="0" applyNumberFormat="1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205" fontId="13" fillId="0" borderId="17" xfId="0" applyNumberFormat="1" applyFont="1" applyBorder="1" applyAlignment="1">
      <alignment horizontal="left"/>
    </xf>
    <xf numFmtId="205" fontId="13" fillId="0" borderId="18" xfId="0" applyNumberFormat="1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4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Fill="1" applyAlignment="1">
      <alignment horizontal="center"/>
    </xf>
    <xf numFmtId="0" fontId="28" fillId="24" borderId="0" xfId="0" applyFont="1" applyFill="1" applyAlignment="1">
      <alignment horizontal="justify"/>
    </xf>
    <xf numFmtId="2" fontId="17" fillId="0" borderId="0" xfId="0" applyNumberFormat="1" applyFont="1" applyAlignment="1">
      <alignment horizontal="center"/>
    </xf>
    <xf numFmtId="3" fontId="28" fillId="22" borderId="10" xfId="0" applyNumberFormat="1" applyFont="1" applyFill="1" applyBorder="1" applyAlignment="1" applyProtection="1">
      <alignment horizontal="center" vertical="center"/>
      <protection hidden="1"/>
    </xf>
    <xf numFmtId="3" fontId="28" fillId="3" borderId="10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22" borderId="0" xfId="0" applyFill="1" applyAlignment="1">
      <alignment horizontal="right"/>
    </xf>
    <xf numFmtId="0" fontId="52" fillId="0" borderId="16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205" fontId="52" fillId="0" borderId="10" xfId="0" applyNumberFormat="1" applyFont="1" applyBorder="1" applyAlignment="1">
      <alignment horizontal="left"/>
    </xf>
    <xf numFmtId="203" fontId="52" fillId="0" borderId="10" xfId="0" applyNumberFormat="1" applyFont="1" applyBorder="1" applyAlignment="1">
      <alignment horizontal="left"/>
    </xf>
    <xf numFmtId="2" fontId="57" fillId="0" borderId="17" xfId="0" applyNumberFormat="1" applyFont="1" applyFill="1" applyBorder="1" applyAlignment="1" applyProtection="1">
      <alignment horizontal="center"/>
      <protection hidden="1"/>
    </xf>
    <xf numFmtId="2" fontId="57" fillId="0" borderId="18" xfId="0" applyNumberFormat="1" applyFont="1" applyFill="1" applyBorder="1" applyAlignment="1" applyProtection="1">
      <alignment horizontal="center"/>
      <protection hidden="1"/>
    </xf>
    <xf numFmtId="0" fontId="51" fillId="7" borderId="0" xfId="0" applyFont="1" applyFill="1" applyAlignment="1">
      <alignment horizontal="center"/>
    </xf>
    <xf numFmtId="0" fontId="51" fillId="26" borderId="0" xfId="0" applyFont="1" applyFill="1" applyAlignment="1">
      <alignment horizontal="center"/>
    </xf>
    <xf numFmtId="0" fontId="51" fillId="28" borderId="0" xfId="0" applyFont="1" applyFill="1" applyAlignment="1">
      <alignment horizontal="center"/>
    </xf>
    <xf numFmtId="0" fontId="51" fillId="8" borderId="0" xfId="0" applyFont="1" applyFill="1" applyAlignment="1">
      <alignment horizontal="center"/>
    </xf>
    <xf numFmtId="0" fontId="51" fillId="0" borderId="0" xfId="0" applyFont="1" applyBorder="1" applyAlignment="1">
      <alignment horizontal="center"/>
    </xf>
    <xf numFmtId="0" fontId="60" fillId="0" borderId="17" xfId="0" applyFont="1" applyFill="1" applyBorder="1" applyAlignment="1" applyProtection="1">
      <alignment horizontal="center" vertical="center"/>
      <protection hidden="1"/>
    </xf>
    <xf numFmtId="0" fontId="51" fillId="0" borderId="12" xfId="0" applyFont="1" applyBorder="1" applyAlignment="1">
      <alignment/>
    </xf>
    <xf numFmtId="0" fontId="51" fillId="0" borderId="18" xfId="0" applyFont="1" applyBorder="1" applyAlignment="1">
      <alignment/>
    </xf>
    <xf numFmtId="0" fontId="59" fillId="0" borderId="17" xfId="0" applyFont="1" applyFill="1" applyBorder="1" applyAlignment="1" applyProtection="1">
      <alignment horizontal="center"/>
      <protection hidden="1"/>
    </xf>
    <xf numFmtId="0" fontId="59" fillId="0" borderId="18" xfId="0" applyFont="1" applyFill="1" applyBorder="1" applyAlignment="1" applyProtection="1">
      <alignment horizontal="center"/>
      <protection hidden="1"/>
    </xf>
    <xf numFmtId="3" fontId="51" fillId="0" borderId="17" xfId="0" applyNumberFormat="1" applyFont="1" applyFill="1" applyBorder="1" applyAlignment="1" applyProtection="1">
      <alignment horizontal="center" vertical="center"/>
      <protection hidden="1"/>
    </xf>
    <xf numFmtId="3" fontId="51" fillId="0" borderId="18" xfId="0" applyNumberFormat="1" applyFont="1" applyFill="1" applyBorder="1" applyAlignment="1" applyProtection="1">
      <alignment horizontal="center" vertical="center"/>
      <protection hidden="1"/>
    </xf>
    <xf numFmtId="205" fontId="51" fillId="0" borderId="17" xfId="0" applyNumberFormat="1" applyFont="1" applyFill="1" applyBorder="1" applyAlignment="1" applyProtection="1">
      <alignment horizontal="center" vertical="center"/>
      <protection hidden="1"/>
    </xf>
    <xf numFmtId="205" fontId="51" fillId="0" borderId="18" xfId="0" applyNumberFormat="1" applyFont="1" applyFill="1" applyBorder="1" applyAlignment="1" applyProtection="1">
      <alignment horizontal="center" vertical="center"/>
      <protection hidden="1"/>
    </xf>
    <xf numFmtId="0" fontId="51" fillId="0" borderId="15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51" fillId="0" borderId="15" xfId="0" applyFont="1" applyBorder="1" applyAlignment="1">
      <alignment horizontal="left"/>
    </xf>
    <xf numFmtId="0" fontId="51" fillId="0" borderId="17" xfId="0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/>
    </xf>
    <xf numFmtId="2" fontId="53" fillId="0" borderId="10" xfId="0" applyNumberFormat="1" applyFont="1" applyBorder="1" applyAlignment="1">
      <alignment horizontal="left"/>
    </xf>
    <xf numFmtId="0" fontId="52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4" borderId="10" xfId="0" applyFill="1" applyBorder="1" applyAlignment="1">
      <alignment horizontal="left"/>
    </xf>
    <xf numFmtId="0" fontId="49" fillId="24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30</xdr:row>
      <xdr:rowOff>247650</xdr:rowOff>
    </xdr:from>
    <xdr:to>
      <xdr:col>14</xdr:col>
      <xdr:colOff>123825</xdr:colOff>
      <xdr:row>30</xdr:row>
      <xdr:rowOff>247650</xdr:rowOff>
    </xdr:to>
    <xdr:sp>
      <xdr:nvSpPr>
        <xdr:cNvPr id="1" name="Line 1"/>
        <xdr:cNvSpPr>
          <a:spLocks/>
        </xdr:cNvSpPr>
      </xdr:nvSpPr>
      <xdr:spPr>
        <a:xfrm>
          <a:off x="1000125" y="7991475"/>
          <a:ext cx="479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57150</xdr:colOff>
      <xdr:row>30</xdr:row>
      <xdr:rowOff>47625</xdr:rowOff>
    </xdr:from>
    <xdr:to>
      <xdr:col>14</xdr:col>
      <xdr:colOff>66675</xdr:colOff>
      <xdr:row>30</xdr:row>
      <xdr:rowOff>47625</xdr:rowOff>
    </xdr:to>
    <xdr:sp>
      <xdr:nvSpPr>
        <xdr:cNvPr id="2" name="Line 4"/>
        <xdr:cNvSpPr>
          <a:spLocks/>
        </xdr:cNvSpPr>
      </xdr:nvSpPr>
      <xdr:spPr>
        <a:xfrm>
          <a:off x="2714625" y="77914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19050</xdr:colOff>
      <xdr:row>30</xdr:row>
      <xdr:rowOff>190500</xdr:rowOff>
    </xdr:from>
    <xdr:to>
      <xdr:col>3</xdr:col>
      <xdr:colOff>57150</xdr:colOff>
      <xdr:row>30</xdr:row>
      <xdr:rowOff>238125</xdr:rowOff>
    </xdr:to>
    <xdr:sp>
      <xdr:nvSpPr>
        <xdr:cNvPr id="3" name="Oval 8"/>
        <xdr:cNvSpPr>
          <a:spLocks/>
        </xdr:cNvSpPr>
      </xdr:nvSpPr>
      <xdr:spPr>
        <a:xfrm>
          <a:off x="1438275" y="793432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295275</xdr:colOff>
      <xdr:row>30</xdr:row>
      <xdr:rowOff>190500</xdr:rowOff>
    </xdr:from>
    <xdr:to>
      <xdr:col>3</xdr:col>
      <xdr:colOff>333375</xdr:colOff>
      <xdr:row>30</xdr:row>
      <xdr:rowOff>238125</xdr:rowOff>
    </xdr:to>
    <xdr:sp>
      <xdr:nvSpPr>
        <xdr:cNvPr id="4" name="Oval 9"/>
        <xdr:cNvSpPr>
          <a:spLocks/>
        </xdr:cNvSpPr>
      </xdr:nvSpPr>
      <xdr:spPr>
        <a:xfrm>
          <a:off x="1714500" y="793432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180975</xdr:colOff>
      <xdr:row>30</xdr:row>
      <xdr:rowOff>190500</xdr:rowOff>
    </xdr:from>
    <xdr:to>
      <xdr:col>5</xdr:col>
      <xdr:colOff>219075</xdr:colOff>
      <xdr:row>30</xdr:row>
      <xdr:rowOff>238125</xdr:rowOff>
    </xdr:to>
    <xdr:sp>
      <xdr:nvSpPr>
        <xdr:cNvPr id="5" name="Oval 10"/>
        <xdr:cNvSpPr>
          <a:spLocks/>
        </xdr:cNvSpPr>
      </xdr:nvSpPr>
      <xdr:spPr>
        <a:xfrm>
          <a:off x="2447925" y="793432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123825</xdr:colOff>
      <xdr:row>30</xdr:row>
      <xdr:rowOff>190500</xdr:rowOff>
    </xdr:from>
    <xdr:to>
      <xdr:col>6</xdr:col>
      <xdr:colOff>161925</xdr:colOff>
      <xdr:row>30</xdr:row>
      <xdr:rowOff>238125</xdr:rowOff>
    </xdr:to>
    <xdr:sp>
      <xdr:nvSpPr>
        <xdr:cNvPr id="6" name="Oval 12"/>
        <xdr:cNvSpPr>
          <a:spLocks/>
        </xdr:cNvSpPr>
      </xdr:nvSpPr>
      <xdr:spPr>
        <a:xfrm>
          <a:off x="2781300" y="793432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476250</xdr:colOff>
      <xdr:row>30</xdr:row>
      <xdr:rowOff>190500</xdr:rowOff>
    </xdr:from>
    <xdr:to>
      <xdr:col>4</xdr:col>
      <xdr:colOff>485775</xdr:colOff>
      <xdr:row>30</xdr:row>
      <xdr:rowOff>238125</xdr:rowOff>
    </xdr:to>
    <xdr:sp>
      <xdr:nvSpPr>
        <xdr:cNvPr id="7" name="Oval 13"/>
        <xdr:cNvSpPr>
          <a:spLocks/>
        </xdr:cNvSpPr>
      </xdr:nvSpPr>
      <xdr:spPr>
        <a:xfrm>
          <a:off x="2257425" y="7934325"/>
          <a:ext cx="95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123825</xdr:colOff>
      <xdr:row>30</xdr:row>
      <xdr:rowOff>57150</xdr:rowOff>
    </xdr:from>
    <xdr:to>
      <xdr:col>6</xdr:col>
      <xdr:colOff>161925</xdr:colOff>
      <xdr:row>30</xdr:row>
      <xdr:rowOff>104775</xdr:rowOff>
    </xdr:to>
    <xdr:sp>
      <xdr:nvSpPr>
        <xdr:cNvPr id="8" name="Oval 14"/>
        <xdr:cNvSpPr>
          <a:spLocks/>
        </xdr:cNvSpPr>
      </xdr:nvSpPr>
      <xdr:spPr>
        <a:xfrm>
          <a:off x="2781300" y="78009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161925</xdr:colOff>
      <xdr:row>30</xdr:row>
      <xdr:rowOff>190500</xdr:rowOff>
    </xdr:from>
    <xdr:to>
      <xdr:col>7</xdr:col>
      <xdr:colOff>200025</xdr:colOff>
      <xdr:row>30</xdr:row>
      <xdr:rowOff>238125</xdr:rowOff>
    </xdr:to>
    <xdr:sp>
      <xdr:nvSpPr>
        <xdr:cNvPr id="9" name="Oval 15"/>
        <xdr:cNvSpPr>
          <a:spLocks/>
        </xdr:cNvSpPr>
      </xdr:nvSpPr>
      <xdr:spPr>
        <a:xfrm>
          <a:off x="3067050" y="793432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200025</xdr:rowOff>
    </xdr:from>
    <xdr:to>
      <xdr:col>11</xdr:col>
      <xdr:colOff>47625</xdr:colOff>
      <xdr:row>30</xdr:row>
      <xdr:rowOff>247650</xdr:rowOff>
    </xdr:to>
    <xdr:sp>
      <xdr:nvSpPr>
        <xdr:cNvPr id="10" name="Oval 16"/>
        <xdr:cNvSpPr>
          <a:spLocks/>
        </xdr:cNvSpPr>
      </xdr:nvSpPr>
      <xdr:spPr>
        <a:xfrm>
          <a:off x="4419600" y="79438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47625</xdr:rowOff>
    </xdr:from>
    <xdr:to>
      <xdr:col>11</xdr:col>
      <xdr:colOff>47625</xdr:colOff>
      <xdr:row>30</xdr:row>
      <xdr:rowOff>95250</xdr:rowOff>
    </xdr:to>
    <xdr:sp>
      <xdr:nvSpPr>
        <xdr:cNvPr id="11" name="Oval 17"/>
        <xdr:cNvSpPr>
          <a:spLocks/>
        </xdr:cNvSpPr>
      </xdr:nvSpPr>
      <xdr:spPr>
        <a:xfrm>
          <a:off x="4419600" y="77914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161925</xdr:colOff>
      <xdr:row>30</xdr:row>
      <xdr:rowOff>57150</xdr:rowOff>
    </xdr:from>
    <xdr:to>
      <xdr:col>7</xdr:col>
      <xdr:colOff>200025</xdr:colOff>
      <xdr:row>30</xdr:row>
      <xdr:rowOff>104775</xdr:rowOff>
    </xdr:to>
    <xdr:sp>
      <xdr:nvSpPr>
        <xdr:cNvPr id="12" name="Oval 19"/>
        <xdr:cNvSpPr>
          <a:spLocks/>
        </xdr:cNvSpPr>
      </xdr:nvSpPr>
      <xdr:spPr>
        <a:xfrm>
          <a:off x="3067050" y="78009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304800</xdr:colOff>
      <xdr:row>30</xdr:row>
      <xdr:rowOff>190500</xdr:rowOff>
    </xdr:from>
    <xdr:to>
      <xdr:col>12</xdr:col>
      <xdr:colOff>342900</xdr:colOff>
      <xdr:row>30</xdr:row>
      <xdr:rowOff>238125</xdr:rowOff>
    </xdr:to>
    <xdr:sp>
      <xdr:nvSpPr>
        <xdr:cNvPr id="13" name="Oval 20"/>
        <xdr:cNvSpPr>
          <a:spLocks/>
        </xdr:cNvSpPr>
      </xdr:nvSpPr>
      <xdr:spPr>
        <a:xfrm>
          <a:off x="5172075" y="793432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57150</xdr:rowOff>
    </xdr:from>
    <xdr:to>
      <xdr:col>11</xdr:col>
      <xdr:colOff>304800</xdr:colOff>
      <xdr:row>30</xdr:row>
      <xdr:rowOff>104775</xdr:rowOff>
    </xdr:to>
    <xdr:sp>
      <xdr:nvSpPr>
        <xdr:cNvPr id="14" name="Oval 21"/>
        <xdr:cNvSpPr>
          <a:spLocks/>
        </xdr:cNvSpPr>
      </xdr:nvSpPr>
      <xdr:spPr>
        <a:xfrm>
          <a:off x="4676775" y="78009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314325</xdr:colOff>
      <xdr:row>30</xdr:row>
      <xdr:rowOff>57150</xdr:rowOff>
    </xdr:from>
    <xdr:to>
      <xdr:col>12</xdr:col>
      <xdr:colOff>352425</xdr:colOff>
      <xdr:row>30</xdr:row>
      <xdr:rowOff>104775</xdr:rowOff>
    </xdr:to>
    <xdr:sp>
      <xdr:nvSpPr>
        <xdr:cNvPr id="15" name="Oval 22"/>
        <xdr:cNvSpPr>
          <a:spLocks/>
        </xdr:cNvSpPr>
      </xdr:nvSpPr>
      <xdr:spPr>
        <a:xfrm>
          <a:off x="5181600" y="78009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38100</xdr:colOff>
      <xdr:row>30</xdr:row>
      <xdr:rowOff>190500</xdr:rowOff>
    </xdr:from>
    <xdr:to>
      <xdr:col>12</xdr:col>
      <xdr:colOff>76200</xdr:colOff>
      <xdr:row>30</xdr:row>
      <xdr:rowOff>238125</xdr:rowOff>
    </xdr:to>
    <xdr:sp>
      <xdr:nvSpPr>
        <xdr:cNvPr id="16" name="Oval 23"/>
        <xdr:cNvSpPr>
          <a:spLocks/>
        </xdr:cNvSpPr>
      </xdr:nvSpPr>
      <xdr:spPr>
        <a:xfrm>
          <a:off x="4905375" y="793432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38100</xdr:colOff>
      <xdr:row>30</xdr:row>
      <xdr:rowOff>47625</xdr:rowOff>
    </xdr:from>
    <xdr:to>
      <xdr:col>12</xdr:col>
      <xdr:colOff>76200</xdr:colOff>
      <xdr:row>30</xdr:row>
      <xdr:rowOff>95250</xdr:rowOff>
    </xdr:to>
    <xdr:sp>
      <xdr:nvSpPr>
        <xdr:cNvPr id="17" name="Oval 24"/>
        <xdr:cNvSpPr>
          <a:spLocks/>
        </xdr:cNvSpPr>
      </xdr:nvSpPr>
      <xdr:spPr>
        <a:xfrm>
          <a:off x="4905375" y="77914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257175</xdr:colOff>
      <xdr:row>30</xdr:row>
      <xdr:rowOff>190500</xdr:rowOff>
    </xdr:from>
    <xdr:to>
      <xdr:col>11</xdr:col>
      <xdr:colOff>295275</xdr:colOff>
      <xdr:row>30</xdr:row>
      <xdr:rowOff>238125</xdr:rowOff>
    </xdr:to>
    <xdr:sp>
      <xdr:nvSpPr>
        <xdr:cNvPr id="18" name="Oval 25"/>
        <xdr:cNvSpPr>
          <a:spLocks/>
        </xdr:cNvSpPr>
      </xdr:nvSpPr>
      <xdr:spPr>
        <a:xfrm>
          <a:off x="4667250" y="793432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209550</xdr:colOff>
      <xdr:row>30</xdr:row>
      <xdr:rowOff>190500</xdr:rowOff>
    </xdr:from>
    <xdr:to>
      <xdr:col>4</xdr:col>
      <xdr:colOff>247650</xdr:colOff>
      <xdr:row>30</xdr:row>
      <xdr:rowOff>238125</xdr:rowOff>
    </xdr:to>
    <xdr:sp>
      <xdr:nvSpPr>
        <xdr:cNvPr id="19" name="Oval 27"/>
        <xdr:cNvSpPr>
          <a:spLocks/>
        </xdr:cNvSpPr>
      </xdr:nvSpPr>
      <xdr:spPr>
        <a:xfrm>
          <a:off x="1990725" y="793432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209550</xdr:colOff>
      <xdr:row>30</xdr:row>
      <xdr:rowOff>57150</xdr:rowOff>
    </xdr:from>
    <xdr:to>
      <xdr:col>9</xdr:col>
      <xdr:colOff>247650</xdr:colOff>
      <xdr:row>30</xdr:row>
      <xdr:rowOff>104775</xdr:rowOff>
    </xdr:to>
    <xdr:sp>
      <xdr:nvSpPr>
        <xdr:cNvPr id="20" name="Oval 28"/>
        <xdr:cNvSpPr>
          <a:spLocks/>
        </xdr:cNvSpPr>
      </xdr:nvSpPr>
      <xdr:spPr>
        <a:xfrm>
          <a:off x="3752850" y="78009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190500</xdr:colOff>
      <xdr:row>30</xdr:row>
      <xdr:rowOff>57150</xdr:rowOff>
    </xdr:from>
    <xdr:to>
      <xdr:col>8</xdr:col>
      <xdr:colOff>228600</xdr:colOff>
      <xdr:row>30</xdr:row>
      <xdr:rowOff>104775</xdr:rowOff>
    </xdr:to>
    <xdr:sp>
      <xdr:nvSpPr>
        <xdr:cNvPr id="21" name="Oval 29"/>
        <xdr:cNvSpPr>
          <a:spLocks/>
        </xdr:cNvSpPr>
      </xdr:nvSpPr>
      <xdr:spPr>
        <a:xfrm>
          <a:off x="3381375" y="780097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209550</xdr:colOff>
      <xdr:row>30</xdr:row>
      <xdr:rowOff>190500</xdr:rowOff>
    </xdr:from>
    <xdr:to>
      <xdr:col>9</xdr:col>
      <xdr:colOff>247650</xdr:colOff>
      <xdr:row>30</xdr:row>
      <xdr:rowOff>238125</xdr:rowOff>
    </xdr:to>
    <xdr:sp>
      <xdr:nvSpPr>
        <xdr:cNvPr id="22" name="Oval 31"/>
        <xdr:cNvSpPr>
          <a:spLocks/>
        </xdr:cNvSpPr>
      </xdr:nvSpPr>
      <xdr:spPr>
        <a:xfrm>
          <a:off x="3752850" y="793432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171450</xdr:rowOff>
    </xdr:from>
    <xdr:to>
      <xdr:col>8</xdr:col>
      <xdr:colOff>342900</xdr:colOff>
      <xdr:row>33</xdr:row>
      <xdr:rowOff>171450</xdr:rowOff>
    </xdr:to>
    <xdr:sp>
      <xdr:nvSpPr>
        <xdr:cNvPr id="23" name="Line 32"/>
        <xdr:cNvSpPr>
          <a:spLocks/>
        </xdr:cNvSpPr>
      </xdr:nvSpPr>
      <xdr:spPr>
        <a:xfrm flipH="1">
          <a:off x="3219450" y="86487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180975</xdr:colOff>
      <xdr:row>30</xdr:row>
      <xdr:rowOff>238125</xdr:rowOff>
    </xdr:from>
    <xdr:to>
      <xdr:col>8</xdr:col>
      <xdr:colOff>28575</xdr:colOff>
      <xdr:row>33</xdr:row>
      <xdr:rowOff>171450</xdr:rowOff>
    </xdr:to>
    <xdr:sp>
      <xdr:nvSpPr>
        <xdr:cNvPr id="24" name="Line 33"/>
        <xdr:cNvSpPr>
          <a:spLocks/>
        </xdr:cNvSpPr>
      </xdr:nvSpPr>
      <xdr:spPr>
        <a:xfrm flipH="1" flipV="1">
          <a:off x="3086100" y="7981950"/>
          <a:ext cx="1333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485775</xdr:colOff>
      <xdr:row>33</xdr:row>
      <xdr:rowOff>161925</xdr:rowOff>
    </xdr:from>
    <xdr:to>
      <xdr:col>6</xdr:col>
      <xdr:colOff>9525</xdr:colOff>
      <xdr:row>33</xdr:row>
      <xdr:rowOff>161925</xdr:rowOff>
    </xdr:to>
    <xdr:sp>
      <xdr:nvSpPr>
        <xdr:cNvPr id="25" name="Line 34"/>
        <xdr:cNvSpPr>
          <a:spLocks/>
        </xdr:cNvSpPr>
      </xdr:nvSpPr>
      <xdr:spPr>
        <a:xfrm>
          <a:off x="2266950" y="8639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257175</xdr:rowOff>
    </xdr:from>
    <xdr:to>
      <xdr:col>6</xdr:col>
      <xdr:colOff>0</xdr:colOff>
      <xdr:row>33</xdr:row>
      <xdr:rowOff>161925</xdr:rowOff>
    </xdr:to>
    <xdr:sp>
      <xdr:nvSpPr>
        <xdr:cNvPr id="26" name="Line 35"/>
        <xdr:cNvSpPr>
          <a:spLocks/>
        </xdr:cNvSpPr>
      </xdr:nvSpPr>
      <xdr:spPr>
        <a:xfrm flipV="1">
          <a:off x="2657475" y="80010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200025</xdr:colOff>
      <xdr:row>28</xdr:row>
      <xdr:rowOff>114300</xdr:rowOff>
    </xdr:from>
    <xdr:to>
      <xdr:col>10</xdr:col>
      <xdr:colOff>0</xdr:colOff>
      <xdr:row>28</xdr:row>
      <xdr:rowOff>114300</xdr:rowOff>
    </xdr:to>
    <xdr:sp>
      <xdr:nvSpPr>
        <xdr:cNvPr id="27" name="Line 36"/>
        <xdr:cNvSpPr>
          <a:spLocks/>
        </xdr:cNvSpPr>
      </xdr:nvSpPr>
      <xdr:spPr>
        <a:xfrm flipH="1">
          <a:off x="3390900" y="75533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47625</xdr:colOff>
      <xdr:row>28</xdr:row>
      <xdr:rowOff>114300</xdr:rowOff>
    </xdr:from>
    <xdr:to>
      <xdr:col>8</xdr:col>
      <xdr:colOff>228600</xdr:colOff>
      <xdr:row>30</xdr:row>
      <xdr:rowOff>47625</xdr:rowOff>
    </xdr:to>
    <xdr:sp>
      <xdr:nvSpPr>
        <xdr:cNvPr id="28" name="Line 37"/>
        <xdr:cNvSpPr>
          <a:spLocks/>
        </xdr:cNvSpPr>
      </xdr:nvSpPr>
      <xdr:spPr>
        <a:xfrm flipH="1">
          <a:off x="3238500" y="7553325"/>
          <a:ext cx="1809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180975</xdr:colOff>
      <xdr:row>30</xdr:row>
      <xdr:rowOff>190500</xdr:rowOff>
    </xdr:from>
    <xdr:to>
      <xdr:col>8</xdr:col>
      <xdr:colOff>228600</xdr:colOff>
      <xdr:row>30</xdr:row>
      <xdr:rowOff>238125</xdr:rowOff>
    </xdr:to>
    <xdr:sp>
      <xdr:nvSpPr>
        <xdr:cNvPr id="29" name="Oval 39"/>
        <xdr:cNvSpPr>
          <a:spLocks/>
        </xdr:cNvSpPr>
      </xdr:nvSpPr>
      <xdr:spPr>
        <a:xfrm>
          <a:off x="3371850" y="7934325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200025</xdr:colOff>
      <xdr:row>28</xdr:row>
      <xdr:rowOff>114300</xdr:rowOff>
    </xdr:from>
    <xdr:to>
      <xdr:col>9</xdr:col>
      <xdr:colOff>0</xdr:colOff>
      <xdr:row>30</xdr:row>
      <xdr:rowOff>47625</xdr:rowOff>
    </xdr:to>
    <xdr:sp>
      <xdr:nvSpPr>
        <xdr:cNvPr id="30" name="Line 40"/>
        <xdr:cNvSpPr>
          <a:spLocks/>
        </xdr:cNvSpPr>
      </xdr:nvSpPr>
      <xdr:spPr>
        <a:xfrm flipH="1">
          <a:off x="3390900" y="7553325"/>
          <a:ext cx="1524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371475</xdr:colOff>
      <xdr:row>30</xdr:row>
      <xdr:rowOff>0</xdr:rowOff>
    </xdr:from>
    <xdr:to>
      <xdr:col>1</xdr:col>
      <xdr:colOff>552450</xdr:colOff>
      <xdr:row>30</xdr:row>
      <xdr:rowOff>0</xdr:rowOff>
    </xdr:to>
    <xdr:sp>
      <xdr:nvSpPr>
        <xdr:cNvPr id="31" name="Line 53"/>
        <xdr:cNvSpPr>
          <a:spLocks/>
        </xdr:cNvSpPr>
      </xdr:nvSpPr>
      <xdr:spPr>
        <a:xfrm>
          <a:off x="657225" y="77438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371475</xdr:colOff>
      <xdr:row>31</xdr:row>
      <xdr:rowOff>0</xdr:rowOff>
    </xdr:from>
    <xdr:to>
      <xdr:col>1</xdr:col>
      <xdr:colOff>542925</xdr:colOff>
      <xdr:row>31</xdr:row>
      <xdr:rowOff>0</xdr:rowOff>
    </xdr:to>
    <xdr:sp>
      <xdr:nvSpPr>
        <xdr:cNvPr id="32" name="Line 54"/>
        <xdr:cNvSpPr>
          <a:spLocks/>
        </xdr:cNvSpPr>
      </xdr:nvSpPr>
      <xdr:spPr>
        <a:xfrm>
          <a:off x="657225" y="80391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0</xdr:rowOff>
    </xdr:from>
    <xdr:to>
      <xdr:col>1</xdr:col>
      <xdr:colOff>466725</xdr:colOff>
      <xdr:row>31</xdr:row>
      <xdr:rowOff>0</xdr:rowOff>
    </xdr:to>
    <xdr:sp>
      <xdr:nvSpPr>
        <xdr:cNvPr id="33" name="Line 56"/>
        <xdr:cNvSpPr>
          <a:spLocks/>
        </xdr:cNvSpPr>
      </xdr:nvSpPr>
      <xdr:spPr>
        <a:xfrm>
          <a:off x="752475" y="77438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30</xdr:row>
      <xdr:rowOff>247650</xdr:rowOff>
    </xdr:from>
    <xdr:to>
      <xdr:col>14</xdr:col>
      <xdr:colOff>123825</xdr:colOff>
      <xdr:row>30</xdr:row>
      <xdr:rowOff>247650</xdr:rowOff>
    </xdr:to>
    <xdr:sp>
      <xdr:nvSpPr>
        <xdr:cNvPr id="1" name="Line 5"/>
        <xdr:cNvSpPr>
          <a:spLocks/>
        </xdr:cNvSpPr>
      </xdr:nvSpPr>
      <xdr:spPr>
        <a:xfrm>
          <a:off x="1009650" y="790575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47625</xdr:rowOff>
    </xdr:from>
    <xdr:to>
      <xdr:col>2</xdr:col>
      <xdr:colOff>47625</xdr:colOff>
      <xdr:row>32</xdr:row>
      <xdr:rowOff>257175</xdr:rowOff>
    </xdr:to>
    <xdr:sp>
      <xdr:nvSpPr>
        <xdr:cNvPr id="2" name="Line 6"/>
        <xdr:cNvSpPr>
          <a:spLocks/>
        </xdr:cNvSpPr>
      </xdr:nvSpPr>
      <xdr:spPr>
        <a:xfrm>
          <a:off x="933450" y="77057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47625</xdr:rowOff>
    </xdr:from>
    <xdr:to>
      <xdr:col>4</xdr:col>
      <xdr:colOff>323850</xdr:colOff>
      <xdr:row>30</xdr:row>
      <xdr:rowOff>47625</xdr:rowOff>
    </xdr:to>
    <xdr:sp>
      <xdr:nvSpPr>
        <xdr:cNvPr id="3" name="Line 7"/>
        <xdr:cNvSpPr>
          <a:spLocks/>
        </xdr:cNvSpPr>
      </xdr:nvSpPr>
      <xdr:spPr>
        <a:xfrm>
          <a:off x="933450" y="77057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57150</xdr:colOff>
      <xdr:row>30</xdr:row>
      <xdr:rowOff>47625</xdr:rowOff>
    </xdr:from>
    <xdr:to>
      <xdr:col>14</xdr:col>
      <xdr:colOff>66675</xdr:colOff>
      <xdr:row>30</xdr:row>
      <xdr:rowOff>47625</xdr:rowOff>
    </xdr:to>
    <xdr:sp>
      <xdr:nvSpPr>
        <xdr:cNvPr id="4" name="Line 8"/>
        <xdr:cNvSpPr>
          <a:spLocks/>
        </xdr:cNvSpPr>
      </xdr:nvSpPr>
      <xdr:spPr>
        <a:xfrm>
          <a:off x="2638425" y="770572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57150</xdr:rowOff>
    </xdr:from>
    <xdr:to>
      <xdr:col>3</xdr:col>
      <xdr:colOff>38100</xdr:colOff>
      <xdr:row>30</xdr:row>
      <xdr:rowOff>104775</xdr:rowOff>
    </xdr:to>
    <xdr:sp>
      <xdr:nvSpPr>
        <xdr:cNvPr id="5" name="Oval 9"/>
        <xdr:cNvSpPr>
          <a:spLocks/>
        </xdr:cNvSpPr>
      </xdr:nvSpPr>
      <xdr:spPr>
        <a:xfrm>
          <a:off x="1343025" y="77152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209550</xdr:colOff>
      <xdr:row>30</xdr:row>
      <xdr:rowOff>47625</xdr:rowOff>
    </xdr:from>
    <xdr:to>
      <xdr:col>3</xdr:col>
      <xdr:colOff>247650</xdr:colOff>
      <xdr:row>30</xdr:row>
      <xdr:rowOff>95250</xdr:rowOff>
    </xdr:to>
    <xdr:sp>
      <xdr:nvSpPr>
        <xdr:cNvPr id="6" name="Oval 11"/>
        <xdr:cNvSpPr>
          <a:spLocks/>
        </xdr:cNvSpPr>
      </xdr:nvSpPr>
      <xdr:spPr>
        <a:xfrm>
          <a:off x="1552575" y="770572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190500</xdr:colOff>
      <xdr:row>30</xdr:row>
      <xdr:rowOff>47625</xdr:rowOff>
    </xdr:from>
    <xdr:to>
      <xdr:col>4</xdr:col>
      <xdr:colOff>228600</xdr:colOff>
      <xdr:row>30</xdr:row>
      <xdr:rowOff>95250</xdr:rowOff>
    </xdr:to>
    <xdr:sp>
      <xdr:nvSpPr>
        <xdr:cNvPr id="7" name="Oval 12"/>
        <xdr:cNvSpPr>
          <a:spLocks/>
        </xdr:cNvSpPr>
      </xdr:nvSpPr>
      <xdr:spPr>
        <a:xfrm>
          <a:off x="1895475" y="770572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190500</xdr:rowOff>
    </xdr:from>
    <xdr:to>
      <xdr:col>3</xdr:col>
      <xdr:colOff>38100</xdr:colOff>
      <xdr:row>30</xdr:row>
      <xdr:rowOff>238125</xdr:rowOff>
    </xdr:to>
    <xdr:sp>
      <xdr:nvSpPr>
        <xdr:cNvPr id="8" name="Oval 13"/>
        <xdr:cNvSpPr>
          <a:spLocks/>
        </xdr:cNvSpPr>
      </xdr:nvSpPr>
      <xdr:spPr>
        <a:xfrm>
          <a:off x="1343025" y="78486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200025</xdr:colOff>
      <xdr:row>30</xdr:row>
      <xdr:rowOff>190500</xdr:rowOff>
    </xdr:from>
    <xdr:to>
      <xdr:col>3</xdr:col>
      <xdr:colOff>238125</xdr:colOff>
      <xdr:row>30</xdr:row>
      <xdr:rowOff>238125</xdr:rowOff>
    </xdr:to>
    <xdr:sp>
      <xdr:nvSpPr>
        <xdr:cNvPr id="9" name="Oval 14"/>
        <xdr:cNvSpPr>
          <a:spLocks/>
        </xdr:cNvSpPr>
      </xdr:nvSpPr>
      <xdr:spPr>
        <a:xfrm>
          <a:off x="1543050" y="78486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180975</xdr:colOff>
      <xdr:row>30</xdr:row>
      <xdr:rowOff>190500</xdr:rowOff>
    </xdr:from>
    <xdr:to>
      <xdr:col>5</xdr:col>
      <xdr:colOff>219075</xdr:colOff>
      <xdr:row>30</xdr:row>
      <xdr:rowOff>238125</xdr:rowOff>
    </xdr:to>
    <xdr:sp>
      <xdr:nvSpPr>
        <xdr:cNvPr id="10" name="Oval 15"/>
        <xdr:cNvSpPr>
          <a:spLocks/>
        </xdr:cNvSpPr>
      </xdr:nvSpPr>
      <xdr:spPr>
        <a:xfrm>
          <a:off x="2371725" y="78486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419100</xdr:colOff>
      <xdr:row>30</xdr:row>
      <xdr:rowOff>190500</xdr:rowOff>
    </xdr:from>
    <xdr:to>
      <xdr:col>4</xdr:col>
      <xdr:colOff>457200</xdr:colOff>
      <xdr:row>30</xdr:row>
      <xdr:rowOff>238125</xdr:rowOff>
    </xdr:to>
    <xdr:sp>
      <xdr:nvSpPr>
        <xdr:cNvPr id="11" name="Oval 16"/>
        <xdr:cNvSpPr>
          <a:spLocks/>
        </xdr:cNvSpPr>
      </xdr:nvSpPr>
      <xdr:spPr>
        <a:xfrm>
          <a:off x="2124075" y="78486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123825</xdr:colOff>
      <xdr:row>30</xdr:row>
      <xdr:rowOff>190500</xdr:rowOff>
    </xdr:from>
    <xdr:to>
      <xdr:col>6</xdr:col>
      <xdr:colOff>161925</xdr:colOff>
      <xdr:row>30</xdr:row>
      <xdr:rowOff>238125</xdr:rowOff>
    </xdr:to>
    <xdr:sp>
      <xdr:nvSpPr>
        <xdr:cNvPr id="12" name="Oval 18"/>
        <xdr:cNvSpPr>
          <a:spLocks/>
        </xdr:cNvSpPr>
      </xdr:nvSpPr>
      <xdr:spPr>
        <a:xfrm>
          <a:off x="2705100" y="78486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200025</xdr:colOff>
      <xdr:row>30</xdr:row>
      <xdr:rowOff>190500</xdr:rowOff>
    </xdr:from>
    <xdr:to>
      <xdr:col>4</xdr:col>
      <xdr:colOff>238125</xdr:colOff>
      <xdr:row>30</xdr:row>
      <xdr:rowOff>238125</xdr:rowOff>
    </xdr:to>
    <xdr:sp>
      <xdr:nvSpPr>
        <xdr:cNvPr id="13" name="Oval 19"/>
        <xdr:cNvSpPr>
          <a:spLocks/>
        </xdr:cNvSpPr>
      </xdr:nvSpPr>
      <xdr:spPr>
        <a:xfrm>
          <a:off x="1905000" y="78486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123825</xdr:colOff>
      <xdr:row>30</xdr:row>
      <xdr:rowOff>57150</xdr:rowOff>
    </xdr:from>
    <xdr:to>
      <xdr:col>6</xdr:col>
      <xdr:colOff>161925</xdr:colOff>
      <xdr:row>30</xdr:row>
      <xdr:rowOff>104775</xdr:rowOff>
    </xdr:to>
    <xdr:sp>
      <xdr:nvSpPr>
        <xdr:cNvPr id="14" name="Oval 22"/>
        <xdr:cNvSpPr>
          <a:spLocks/>
        </xdr:cNvSpPr>
      </xdr:nvSpPr>
      <xdr:spPr>
        <a:xfrm>
          <a:off x="2705100" y="77152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123825</xdr:colOff>
      <xdr:row>30</xdr:row>
      <xdr:rowOff>190500</xdr:rowOff>
    </xdr:from>
    <xdr:to>
      <xdr:col>7</xdr:col>
      <xdr:colOff>161925</xdr:colOff>
      <xdr:row>30</xdr:row>
      <xdr:rowOff>238125</xdr:rowOff>
    </xdr:to>
    <xdr:sp>
      <xdr:nvSpPr>
        <xdr:cNvPr id="15" name="Oval 23"/>
        <xdr:cNvSpPr>
          <a:spLocks/>
        </xdr:cNvSpPr>
      </xdr:nvSpPr>
      <xdr:spPr>
        <a:xfrm>
          <a:off x="2952750" y="78486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200025</xdr:rowOff>
    </xdr:from>
    <xdr:to>
      <xdr:col>11</xdr:col>
      <xdr:colOff>47625</xdr:colOff>
      <xdr:row>30</xdr:row>
      <xdr:rowOff>247650</xdr:rowOff>
    </xdr:to>
    <xdr:sp>
      <xdr:nvSpPr>
        <xdr:cNvPr id="16" name="Oval 25"/>
        <xdr:cNvSpPr>
          <a:spLocks/>
        </xdr:cNvSpPr>
      </xdr:nvSpPr>
      <xdr:spPr>
        <a:xfrm>
          <a:off x="4343400" y="785812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47625</xdr:rowOff>
    </xdr:from>
    <xdr:to>
      <xdr:col>11</xdr:col>
      <xdr:colOff>47625</xdr:colOff>
      <xdr:row>30</xdr:row>
      <xdr:rowOff>95250</xdr:rowOff>
    </xdr:to>
    <xdr:sp>
      <xdr:nvSpPr>
        <xdr:cNvPr id="17" name="Oval 27"/>
        <xdr:cNvSpPr>
          <a:spLocks/>
        </xdr:cNvSpPr>
      </xdr:nvSpPr>
      <xdr:spPr>
        <a:xfrm>
          <a:off x="4343400" y="770572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323850</xdr:colOff>
      <xdr:row>30</xdr:row>
      <xdr:rowOff>57150</xdr:rowOff>
    </xdr:from>
    <xdr:to>
      <xdr:col>9</xdr:col>
      <xdr:colOff>19050</xdr:colOff>
      <xdr:row>30</xdr:row>
      <xdr:rowOff>104775</xdr:rowOff>
    </xdr:to>
    <xdr:sp>
      <xdr:nvSpPr>
        <xdr:cNvPr id="18" name="Oval 28"/>
        <xdr:cNvSpPr>
          <a:spLocks/>
        </xdr:cNvSpPr>
      </xdr:nvSpPr>
      <xdr:spPr>
        <a:xfrm>
          <a:off x="3438525" y="7715250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123825</xdr:colOff>
      <xdr:row>30</xdr:row>
      <xdr:rowOff>57150</xdr:rowOff>
    </xdr:from>
    <xdr:to>
      <xdr:col>7</xdr:col>
      <xdr:colOff>161925</xdr:colOff>
      <xdr:row>30</xdr:row>
      <xdr:rowOff>104775</xdr:rowOff>
    </xdr:to>
    <xdr:sp>
      <xdr:nvSpPr>
        <xdr:cNvPr id="19" name="Oval 29"/>
        <xdr:cNvSpPr>
          <a:spLocks/>
        </xdr:cNvSpPr>
      </xdr:nvSpPr>
      <xdr:spPr>
        <a:xfrm>
          <a:off x="2952750" y="77152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304800</xdr:colOff>
      <xdr:row>30</xdr:row>
      <xdr:rowOff>190500</xdr:rowOff>
    </xdr:from>
    <xdr:to>
      <xdr:col>12</xdr:col>
      <xdr:colOff>342900</xdr:colOff>
      <xdr:row>30</xdr:row>
      <xdr:rowOff>238125</xdr:rowOff>
    </xdr:to>
    <xdr:sp>
      <xdr:nvSpPr>
        <xdr:cNvPr id="20" name="Oval 30"/>
        <xdr:cNvSpPr>
          <a:spLocks/>
        </xdr:cNvSpPr>
      </xdr:nvSpPr>
      <xdr:spPr>
        <a:xfrm>
          <a:off x="5095875" y="78486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57150</xdr:rowOff>
    </xdr:from>
    <xdr:to>
      <xdr:col>11</xdr:col>
      <xdr:colOff>304800</xdr:colOff>
      <xdr:row>30</xdr:row>
      <xdr:rowOff>104775</xdr:rowOff>
    </xdr:to>
    <xdr:sp>
      <xdr:nvSpPr>
        <xdr:cNvPr id="21" name="Oval 32"/>
        <xdr:cNvSpPr>
          <a:spLocks/>
        </xdr:cNvSpPr>
      </xdr:nvSpPr>
      <xdr:spPr>
        <a:xfrm>
          <a:off x="4600575" y="77152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314325</xdr:colOff>
      <xdr:row>30</xdr:row>
      <xdr:rowOff>57150</xdr:rowOff>
    </xdr:from>
    <xdr:to>
      <xdr:col>12</xdr:col>
      <xdr:colOff>352425</xdr:colOff>
      <xdr:row>30</xdr:row>
      <xdr:rowOff>104775</xdr:rowOff>
    </xdr:to>
    <xdr:sp>
      <xdr:nvSpPr>
        <xdr:cNvPr id="22" name="Oval 33"/>
        <xdr:cNvSpPr>
          <a:spLocks/>
        </xdr:cNvSpPr>
      </xdr:nvSpPr>
      <xdr:spPr>
        <a:xfrm>
          <a:off x="5105400" y="77152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38100</xdr:colOff>
      <xdr:row>30</xdr:row>
      <xdr:rowOff>190500</xdr:rowOff>
    </xdr:from>
    <xdr:to>
      <xdr:col>12</xdr:col>
      <xdr:colOff>76200</xdr:colOff>
      <xdr:row>30</xdr:row>
      <xdr:rowOff>238125</xdr:rowOff>
    </xdr:to>
    <xdr:sp>
      <xdr:nvSpPr>
        <xdr:cNvPr id="23" name="Oval 35"/>
        <xdr:cNvSpPr>
          <a:spLocks/>
        </xdr:cNvSpPr>
      </xdr:nvSpPr>
      <xdr:spPr>
        <a:xfrm>
          <a:off x="4829175" y="78486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38100</xdr:colOff>
      <xdr:row>30</xdr:row>
      <xdr:rowOff>47625</xdr:rowOff>
    </xdr:from>
    <xdr:to>
      <xdr:col>12</xdr:col>
      <xdr:colOff>76200</xdr:colOff>
      <xdr:row>30</xdr:row>
      <xdr:rowOff>95250</xdr:rowOff>
    </xdr:to>
    <xdr:sp>
      <xdr:nvSpPr>
        <xdr:cNvPr id="24" name="Oval 36"/>
        <xdr:cNvSpPr>
          <a:spLocks/>
        </xdr:cNvSpPr>
      </xdr:nvSpPr>
      <xdr:spPr>
        <a:xfrm>
          <a:off x="4829175" y="770572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257175</xdr:colOff>
      <xdr:row>30</xdr:row>
      <xdr:rowOff>190500</xdr:rowOff>
    </xdr:from>
    <xdr:to>
      <xdr:col>11</xdr:col>
      <xdr:colOff>295275</xdr:colOff>
      <xdr:row>30</xdr:row>
      <xdr:rowOff>238125</xdr:rowOff>
    </xdr:to>
    <xdr:sp>
      <xdr:nvSpPr>
        <xdr:cNvPr id="25" name="Oval 38"/>
        <xdr:cNvSpPr>
          <a:spLocks/>
        </xdr:cNvSpPr>
      </xdr:nvSpPr>
      <xdr:spPr>
        <a:xfrm>
          <a:off x="4591050" y="78486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57150</xdr:rowOff>
    </xdr:from>
    <xdr:to>
      <xdr:col>4</xdr:col>
      <xdr:colOff>57150</xdr:colOff>
      <xdr:row>30</xdr:row>
      <xdr:rowOff>104775</xdr:rowOff>
    </xdr:to>
    <xdr:sp>
      <xdr:nvSpPr>
        <xdr:cNvPr id="26" name="Oval 51"/>
        <xdr:cNvSpPr>
          <a:spLocks/>
        </xdr:cNvSpPr>
      </xdr:nvSpPr>
      <xdr:spPr>
        <a:xfrm>
          <a:off x="1724025" y="77152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190500</xdr:rowOff>
    </xdr:from>
    <xdr:to>
      <xdr:col>4</xdr:col>
      <xdr:colOff>57150</xdr:colOff>
      <xdr:row>30</xdr:row>
      <xdr:rowOff>238125</xdr:rowOff>
    </xdr:to>
    <xdr:sp>
      <xdr:nvSpPr>
        <xdr:cNvPr id="27" name="Oval 52"/>
        <xdr:cNvSpPr>
          <a:spLocks/>
        </xdr:cNvSpPr>
      </xdr:nvSpPr>
      <xdr:spPr>
        <a:xfrm>
          <a:off x="1724025" y="78486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257175</xdr:colOff>
      <xdr:row>30</xdr:row>
      <xdr:rowOff>57150</xdr:rowOff>
    </xdr:from>
    <xdr:to>
      <xdr:col>9</xdr:col>
      <xdr:colOff>295275</xdr:colOff>
      <xdr:row>30</xdr:row>
      <xdr:rowOff>104775</xdr:rowOff>
    </xdr:to>
    <xdr:sp>
      <xdr:nvSpPr>
        <xdr:cNvPr id="28" name="Oval 53"/>
        <xdr:cNvSpPr>
          <a:spLocks/>
        </xdr:cNvSpPr>
      </xdr:nvSpPr>
      <xdr:spPr>
        <a:xfrm>
          <a:off x="3724275" y="771525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114300</xdr:colOff>
      <xdr:row>30</xdr:row>
      <xdr:rowOff>47625</xdr:rowOff>
    </xdr:from>
    <xdr:to>
      <xdr:col>8</xdr:col>
      <xdr:colOff>152400</xdr:colOff>
      <xdr:row>30</xdr:row>
      <xdr:rowOff>95250</xdr:rowOff>
    </xdr:to>
    <xdr:sp>
      <xdr:nvSpPr>
        <xdr:cNvPr id="29" name="Oval 54"/>
        <xdr:cNvSpPr>
          <a:spLocks/>
        </xdr:cNvSpPr>
      </xdr:nvSpPr>
      <xdr:spPr>
        <a:xfrm>
          <a:off x="3228975" y="7705725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114300</xdr:colOff>
      <xdr:row>30</xdr:row>
      <xdr:rowOff>190500</xdr:rowOff>
    </xdr:from>
    <xdr:to>
      <xdr:col>8</xdr:col>
      <xdr:colOff>152400</xdr:colOff>
      <xdr:row>30</xdr:row>
      <xdr:rowOff>238125</xdr:rowOff>
    </xdr:to>
    <xdr:sp>
      <xdr:nvSpPr>
        <xdr:cNvPr id="30" name="Oval 55"/>
        <xdr:cNvSpPr>
          <a:spLocks/>
        </xdr:cNvSpPr>
      </xdr:nvSpPr>
      <xdr:spPr>
        <a:xfrm>
          <a:off x="3228975" y="78486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257175</xdr:colOff>
      <xdr:row>30</xdr:row>
      <xdr:rowOff>190500</xdr:rowOff>
    </xdr:from>
    <xdr:to>
      <xdr:col>9</xdr:col>
      <xdr:colOff>295275</xdr:colOff>
      <xdr:row>30</xdr:row>
      <xdr:rowOff>238125</xdr:rowOff>
    </xdr:to>
    <xdr:sp>
      <xdr:nvSpPr>
        <xdr:cNvPr id="31" name="Oval 56"/>
        <xdr:cNvSpPr>
          <a:spLocks/>
        </xdr:cNvSpPr>
      </xdr:nvSpPr>
      <xdr:spPr>
        <a:xfrm>
          <a:off x="3724275" y="7848600"/>
          <a:ext cx="381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33</xdr:row>
      <xdr:rowOff>171450</xdr:rowOff>
    </xdr:from>
    <xdr:to>
      <xdr:col>8</xdr:col>
      <xdr:colOff>342900</xdr:colOff>
      <xdr:row>33</xdr:row>
      <xdr:rowOff>171450</xdr:rowOff>
    </xdr:to>
    <xdr:sp>
      <xdr:nvSpPr>
        <xdr:cNvPr id="32" name="Line 58"/>
        <xdr:cNvSpPr>
          <a:spLocks/>
        </xdr:cNvSpPr>
      </xdr:nvSpPr>
      <xdr:spPr>
        <a:xfrm flipH="1">
          <a:off x="3095625" y="86010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142875</xdr:colOff>
      <xdr:row>30</xdr:row>
      <xdr:rowOff>238125</xdr:rowOff>
    </xdr:from>
    <xdr:to>
      <xdr:col>7</xdr:col>
      <xdr:colOff>276225</xdr:colOff>
      <xdr:row>33</xdr:row>
      <xdr:rowOff>171450</xdr:rowOff>
    </xdr:to>
    <xdr:sp>
      <xdr:nvSpPr>
        <xdr:cNvPr id="33" name="Line 59"/>
        <xdr:cNvSpPr>
          <a:spLocks/>
        </xdr:cNvSpPr>
      </xdr:nvSpPr>
      <xdr:spPr>
        <a:xfrm flipH="1" flipV="1">
          <a:off x="2971800" y="7896225"/>
          <a:ext cx="1333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476250</xdr:colOff>
      <xdr:row>33</xdr:row>
      <xdr:rowOff>161925</xdr:rowOff>
    </xdr:from>
    <xdr:to>
      <xdr:col>6</xdr:col>
      <xdr:colOff>9525</xdr:colOff>
      <xdr:row>33</xdr:row>
      <xdr:rowOff>161925</xdr:rowOff>
    </xdr:to>
    <xdr:sp>
      <xdr:nvSpPr>
        <xdr:cNvPr id="34" name="Line 60"/>
        <xdr:cNvSpPr>
          <a:spLocks/>
        </xdr:cNvSpPr>
      </xdr:nvSpPr>
      <xdr:spPr>
        <a:xfrm>
          <a:off x="2181225" y="85915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257175</xdr:rowOff>
    </xdr:from>
    <xdr:to>
      <xdr:col>6</xdr:col>
      <xdr:colOff>0</xdr:colOff>
      <xdr:row>33</xdr:row>
      <xdr:rowOff>161925</xdr:rowOff>
    </xdr:to>
    <xdr:sp>
      <xdr:nvSpPr>
        <xdr:cNvPr id="35" name="Line 61"/>
        <xdr:cNvSpPr>
          <a:spLocks/>
        </xdr:cNvSpPr>
      </xdr:nvSpPr>
      <xdr:spPr>
        <a:xfrm flipV="1">
          <a:off x="2581275" y="79152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152400</xdr:rowOff>
    </xdr:from>
    <xdr:to>
      <xdr:col>9</xdr:col>
      <xdr:colOff>371475</xdr:colOff>
      <xdr:row>27</xdr:row>
      <xdr:rowOff>152400</xdr:rowOff>
    </xdr:to>
    <xdr:sp>
      <xdr:nvSpPr>
        <xdr:cNvPr id="36" name="Line 62"/>
        <xdr:cNvSpPr>
          <a:spLocks/>
        </xdr:cNvSpPr>
      </xdr:nvSpPr>
      <xdr:spPr>
        <a:xfrm flipH="1">
          <a:off x="3467100" y="70389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19050</xdr:colOff>
      <xdr:row>27</xdr:row>
      <xdr:rowOff>152400</xdr:rowOff>
    </xdr:from>
    <xdr:to>
      <xdr:col>9</xdr:col>
      <xdr:colOff>0</xdr:colOff>
      <xdr:row>30</xdr:row>
      <xdr:rowOff>47625</xdr:rowOff>
    </xdr:to>
    <xdr:sp>
      <xdr:nvSpPr>
        <xdr:cNvPr id="37" name="Line 63"/>
        <xdr:cNvSpPr>
          <a:spLocks/>
        </xdr:cNvSpPr>
      </xdr:nvSpPr>
      <xdr:spPr>
        <a:xfrm flipH="1">
          <a:off x="3133725" y="7038975"/>
          <a:ext cx="3333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161925</xdr:rowOff>
    </xdr:from>
    <xdr:to>
      <xdr:col>9</xdr:col>
      <xdr:colOff>371475</xdr:colOff>
      <xdr:row>28</xdr:row>
      <xdr:rowOff>161925</xdr:rowOff>
    </xdr:to>
    <xdr:sp>
      <xdr:nvSpPr>
        <xdr:cNvPr id="38" name="Line 64"/>
        <xdr:cNvSpPr>
          <a:spLocks/>
        </xdr:cNvSpPr>
      </xdr:nvSpPr>
      <xdr:spPr>
        <a:xfrm flipH="1">
          <a:off x="3467100" y="73056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323850</xdr:colOff>
      <xdr:row>30</xdr:row>
      <xdr:rowOff>190500</xdr:rowOff>
    </xdr:from>
    <xdr:to>
      <xdr:col>9</xdr:col>
      <xdr:colOff>19050</xdr:colOff>
      <xdr:row>30</xdr:row>
      <xdr:rowOff>238125</xdr:rowOff>
    </xdr:to>
    <xdr:sp>
      <xdr:nvSpPr>
        <xdr:cNvPr id="39" name="Oval 65"/>
        <xdr:cNvSpPr>
          <a:spLocks/>
        </xdr:cNvSpPr>
      </xdr:nvSpPr>
      <xdr:spPr>
        <a:xfrm>
          <a:off x="3438525" y="7848600"/>
          <a:ext cx="4762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161925</xdr:rowOff>
    </xdr:from>
    <xdr:to>
      <xdr:col>9</xdr:col>
      <xdr:colOff>0</xdr:colOff>
      <xdr:row>30</xdr:row>
      <xdr:rowOff>47625</xdr:rowOff>
    </xdr:to>
    <xdr:sp>
      <xdr:nvSpPr>
        <xdr:cNvPr id="40" name="Line 66"/>
        <xdr:cNvSpPr>
          <a:spLocks/>
        </xdr:cNvSpPr>
      </xdr:nvSpPr>
      <xdr:spPr>
        <a:xfrm>
          <a:off x="3467100" y="73056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161925</xdr:rowOff>
    </xdr:from>
    <xdr:to>
      <xdr:col>5</xdr:col>
      <xdr:colOff>9525</xdr:colOff>
      <xdr:row>27</xdr:row>
      <xdr:rowOff>161925</xdr:rowOff>
    </xdr:to>
    <xdr:sp>
      <xdr:nvSpPr>
        <xdr:cNvPr id="41" name="Line 67"/>
        <xdr:cNvSpPr>
          <a:spLocks/>
        </xdr:cNvSpPr>
      </xdr:nvSpPr>
      <xdr:spPr>
        <a:xfrm>
          <a:off x="1714500" y="70485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304800</xdr:colOff>
      <xdr:row>27</xdr:row>
      <xdr:rowOff>161925</xdr:rowOff>
    </xdr:from>
    <xdr:to>
      <xdr:col>5</xdr:col>
      <xdr:colOff>9525</xdr:colOff>
      <xdr:row>30</xdr:row>
      <xdr:rowOff>47625</xdr:rowOff>
    </xdr:to>
    <xdr:sp>
      <xdr:nvSpPr>
        <xdr:cNvPr id="42" name="Line 68"/>
        <xdr:cNvSpPr>
          <a:spLocks/>
        </xdr:cNvSpPr>
      </xdr:nvSpPr>
      <xdr:spPr>
        <a:xfrm flipH="1">
          <a:off x="2009775" y="7048500"/>
          <a:ext cx="190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9525</xdr:colOff>
      <xdr:row>28</xdr:row>
      <xdr:rowOff>171450</xdr:rowOff>
    </xdr:from>
    <xdr:to>
      <xdr:col>4</xdr:col>
      <xdr:colOff>190500</xdr:colOff>
      <xdr:row>28</xdr:row>
      <xdr:rowOff>171450</xdr:rowOff>
    </xdr:to>
    <xdr:sp>
      <xdr:nvSpPr>
        <xdr:cNvPr id="43" name="Line 69"/>
        <xdr:cNvSpPr>
          <a:spLocks/>
        </xdr:cNvSpPr>
      </xdr:nvSpPr>
      <xdr:spPr>
        <a:xfrm>
          <a:off x="1714500" y="73152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47625</xdr:colOff>
      <xdr:row>28</xdr:row>
      <xdr:rowOff>171450</xdr:rowOff>
    </xdr:from>
    <xdr:to>
      <xdr:col>4</xdr:col>
      <xdr:colOff>200025</xdr:colOff>
      <xdr:row>30</xdr:row>
      <xdr:rowOff>47625</xdr:rowOff>
    </xdr:to>
    <xdr:sp>
      <xdr:nvSpPr>
        <xdr:cNvPr id="44" name="Line 70"/>
        <xdr:cNvSpPr>
          <a:spLocks/>
        </xdr:cNvSpPr>
      </xdr:nvSpPr>
      <xdr:spPr>
        <a:xfrm flipH="1">
          <a:off x="1752600" y="7315200"/>
          <a:ext cx="152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371475</xdr:colOff>
      <xdr:row>30</xdr:row>
      <xdr:rowOff>0</xdr:rowOff>
    </xdr:from>
    <xdr:to>
      <xdr:col>1</xdr:col>
      <xdr:colOff>542925</xdr:colOff>
      <xdr:row>30</xdr:row>
      <xdr:rowOff>0</xdr:rowOff>
    </xdr:to>
    <xdr:sp>
      <xdr:nvSpPr>
        <xdr:cNvPr id="45" name="Line 72"/>
        <xdr:cNvSpPr>
          <a:spLocks/>
        </xdr:cNvSpPr>
      </xdr:nvSpPr>
      <xdr:spPr>
        <a:xfrm>
          <a:off x="666750" y="76581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371475</xdr:colOff>
      <xdr:row>31</xdr:row>
      <xdr:rowOff>0</xdr:rowOff>
    </xdr:from>
    <xdr:to>
      <xdr:col>1</xdr:col>
      <xdr:colOff>542925</xdr:colOff>
      <xdr:row>31</xdr:row>
      <xdr:rowOff>0</xdr:rowOff>
    </xdr:to>
    <xdr:sp>
      <xdr:nvSpPr>
        <xdr:cNvPr id="46" name="Line 73"/>
        <xdr:cNvSpPr>
          <a:spLocks/>
        </xdr:cNvSpPr>
      </xdr:nvSpPr>
      <xdr:spPr>
        <a:xfrm>
          <a:off x="666750" y="79152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0</xdr:rowOff>
    </xdr:from>
    <xdr:to>
      <xdr:col>1</xdr:col>
      <xdr:colOff>466725</xdr:colOff>
      <xdr:row>31</xdr:row>
      <xdr:rowOff>0</xdr:rowOff>
    </xdr:to>
    <xdr:sp>
      <xdr:nvSpPr>
        <xdr:cNvPr id="47" name="Line 74"/>
        <xdr:cNvSpPr>
          <a:spLocks/>
        </xdr:cNvSpPr>
      </xdr:nvSpPr>
      <xdr:spPr>
        <a:xfrm>
          <a:off x="762000" y="76581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LaB-r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way "/>
      <sheetName val="2-way"/>
      <sheetName val="DATA"/>
      <sheetName val="Sheet3"/>
    </sheetNames>
    <sheetDataSet>
      <sheetData sheetId="0">
        <row r="11">
          <cell r="U11">
            <v>1</v>
          </cell>
        </row>
        <row r="12">
          <cell r="U12">
            <v>2</v>
          </cell>
        </row>
        <row r="13">
          <cell r="U13">
            <v>3</v>
          </cell>
        </row>
        <row r="14">
          <cell r="U14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9"/>
  <sheetViews>
    <sheetView workbookViewId="0" topLeftCell="A1">
      <selection activeCell="L5" sqref="L5:O5"/>
    </sheetView>
  </sheetViews>
  <sheetFormatPr defaultColWidth="9.140625" defaultRowHeight="23.25"/>
  <cols>
    <col min="1" max="1" width="4.28125" style="0" customWidth="1"/>
    <col min="2" max="2" width="8.8515625" style="0" customWidth="1"/>
    <col min="3" max="3" width="8.140625" style="0" customWidth="1"/>
    <col min="4" max="4" width="5.421875" style="0" customWidth="1"/>
    <col min="5" max="5" width="7.28125" style="0" customWidth="1"/>
    <col min="6" max="6" width="5.8515625" style="0" customWidth="1"/>
    <col min="7" max="7" width="3.7109375" style="0" customWidth="1"/>
    <col min="8" max="8" width="4.28125" style="0" customWidth="1"/>
    <col min="9" max="9" width="5.28125" style="0" customWidth="1"/>
    <col min="10" max="10" width="5.7109375" style="0" customWidth="1"/>
    <col min="11" max="11" width="7.28125" style="0" customWidth="1"/>
    <col min="12" max="12" width="6.8515625" style="0" customWidth="1"/>
    <col min="13" max="13" width="5.8515625" style="0" customWidth="1"/>
    <col min="14" max="14" width="6.140625" style="0" customWidth="1"/>
    <col min="15" max="15" width="5.57421875" style="0" customWidth="1"/>
    <col min="16" max="16" width="5.7109375" style="0" customWidth="1"/>
    <col min="17" max="17" width="6.421875" style="0" customWidth="1"/>
    <col min="18" max="18" width="9.57421875" style="0" customWidth="1"/>
  </cols>
  <sheetData>
    <row r="1" spans="1:16" ht="21.75" customHeight="1">
      <c r="A1" s="251" t="s">
        <v>58</v>
      </c>
      <c r="B1" s="251"/>
      <c r="C1" s="123" t="str">
        <f>""&amp;Sheet3!C4&amp;""</f>
        <v>โรงงาน พื้นที่ใช้สอยประมาณ 280 ตร.ม.</v>
      </c>
      <c r="D1" s="123"/>
      <c r="E1" s="123"/>
      <c r="F1" s="123"/>
      <c r="G1" s="123"/>
      <c r="H1" s="121"/>
      <c r="I1" s="121"/>
      <c r="J1" s="251" t="str">
        <f>""&amp;Sheet3!B6&amp;" "&amp;Sheet3!C6&amp;""</f>
        <v>เจ้าของ : ภาควิชาวิศวกรรมโยธา</v>
      </c>
      <c r="K1" s="251"/>
      <c r="L1" s="251"/>
      <c r="M1" s="251"/>
      <c r="N1" s="251"/>
      <c r="O1" s="251"/>
      <c r="P1" s="251"/>
    </row>
    <row r="2" spans="1:16" ht="19.5" customHeight="1" thickBot="1">
      <c r="A2" s="252" t="s">
        <v>59</v>
      </c>
      <c r="B2" s="252"/>
      <c r="C2" s="119" t="str">
        <f>""&amp;Sheet3!C5&amp;""</f>
        <v>มหาวิทยาลัยราชมงคล ธัญบุรี</v>
      </c>
      <c r="D2" s="119"/>
      <c r="E2" s="119"/>
      <c r="F2" s="119"/>
      <c r="G2" s="119"/>
      <c r="H2" s="119"/>
      <c r="I2" s="119"/>
      <c r="J2" s="119"/>
      <c r="K2" s="253"/>
      <c r="L2" s="253"/>
      <c r="M2" s="253"/>
      <c r="N2" s="253"/>
      <c r="O2" s="253"/>
      <c r="P2" s="119"/>
    </row>
    <row r="3" spans="1:16" ht="23.25">
      <c r="A3" s="241" t="s">
        <v>81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5" spans="2:15" ht="25.5">
      <c r="B5" s="122" t="s">
        <v>2</v>
      </c>
      <c r="C5" s="35">
        <v>700</v>
      </c>
      <c r="D5" s="31" t="s">
        <v>18</v>
      </c>
      <c r="F5" s="36"/>
      <c r="G5" s="31"/>
      <c r="L5" s="248" t="s">
        <v>69</v>
      </c>
      <c r="M5" s="249"/>
      <c r="N5" s="249"/>
      <c r="O5" s="250"/>
    </row>
    <row r="6" spans="2:15" ht="24.75">
      <c r="B6" s="122" t="s">
        <v>4</v>
      </c>
      <c r="C6" s="35">
        <v>240</v>
      </c>
      <c r="D6" s="31" t="s">
        <v>19</v>
      </c>
      <c r="F6" s="47"/>
      <c r="G6" s="47"/>
      <c r="L6" s="129" t="s">
        <v>65</v>
      </c>
      <c r="M6" s="16" t="s">
        <v>64</v>
      </c>
      <c r="N6" s="246">
        <f>IF(C6&lt;=280,0.85,IF(C6&gt;=650,0.65,0.85-0.05*(C6-280)/70))</f>
        <v>0.85</v>
      </c>
      <c r="O6" s="247"/>
    </row>
    <row r="7" spans="2:15" ht="24.75">
      <c r="B7" s="122" t="s">
        <v>3</v>
      </c>
      <c r="C7" s="35">
        <v>2400</v>
      </c>
      <c r="D7" s="31" t="s">
        <v>19</v>
      </c>
      <c r="L7" s="130" t="s">
        <v>71</v>
      </c>
      <c r="M7" s="16" t="s">
        <v>64</v>
      </c>
      <c r="N7" s="242">
        <f>(0.85*N6*C6/C7)*(6120/(6120+C7))</f>
        <v>0.05189788732394366</v>
      </c>
      <c r="O7" s="243"/>
    </row>
    <row r="8" spans="2:15" ht="23.25">
      <c r="B8" s="136" t="s">
        <v>5</v>
      </c>
      <c r="C8" s="37">
        <v>2.5</v>
      </c>
      <c r="D8" s="31" t="s">
        <v>15</v>
      </c>
      <c r="F8" s="34"/>
      <c r="G8" s="31"/>
      <c r="L8" s="17" t="s">
        <v>66</v>
      </c>
      <c r="M8" s="16" t="s">
        <v>64</v>
      </c>
      <c r="N8" s="244">
        <v>0.7</v>
      </c>
      <c r="O8" s="245"/>
    </row>
    <row r="9" spans="2:23" ht="24.75">
      <c r="B9" s="136" t="s">
        <v>6</v>
      </c>
      <c r="C9" s="37">
        <v>5</v>
      </c>
      <c r="D9" s="31" t="s">
        <v>15</v>
      </c>
      <c r="F9" s="33"/>
      <c r="L9" s="130" t="s">
        <v>44</v>
      </c>
      <c r="M9" s="16" t="s">
        <v>64</v>
      </c>
      <c r="N9" s="242">
        <f>N8*N7</f>
        <v>0.03632852112676056</v>
      </c>
      <c r="O9" s="243"/>
      <c r="W9" s="21"/>
    </row>
    <row r="10" spans="2:25" ht="24.75">
      <c r="B10" s="122" t="s">
        <v>77</v>
      </c>
      <c r="C10" s="57">
        <f>ROUND(C8/C9,1)</f>
        <v>0.5</v>
      </c>
      <c r="F10" s="39"/>
      <c r="G10" s="31"/>
      <c r="L10" s="130" t="s">
        <v>46</v>
      </c>
      <c r="M10" s="16" t="s">
        <v>64</v>
      </c>
      <c r="N10" s="242">
        <f>14/C7</f>
        <v>0.005833333333333334</v>
      </c>
      <c r="O10" s="243"/>
      <c r="U10" s="131"/>
      <c r="V10" s="131" t="s">
        <v>14</v>
      </c>
      <c r="W10" s="132"/>
      <c r="X10" s="131"/>
      <c r="Y10" s="131"/>
    </row>
    <row r="11" spans="2:25" ht="23.25">
      <c r="B11" s="122" t="s">
        <v>8</v>
      </c>
      <c r="C11" s="133">
        <v>2</v>
      </c>
      <c r="L11" s="46" t="s">
        <v>72</v>
      </c>
      <c r="M11" s="1" t="s">
        <v>64</v>
      </c>
      <c r="N11" s="128">
        <f>N9*C7*(1-(0.59*N9*C7/C6))</f>
        <v>68.50062861105931</v>
      </c>
      <c r="O11" s="31" t="s">
        <v>19</v>
      </c>
      <c r="U11" s="131">
        <v>1</v>
      </c>
      <c r="V11" s="131" t="s">
        <v>73</v>
      </c>
      <c r="W11" s="132"/>
      <c r="X11" s="131"/>
      <c r="Y11" s="131"/>
    </row>
    <row r="12" spans="2:25" ht="24.75">
      <c r="B12" s="122" t="s">
        <v>16</v>
      </c>
      <c r="C12" s="135">
        <v>15</v>
      </c>
      <c r="D12" s="31" t="s">
        <v>17</v>
      </c>
      <c r="E12" s="1" t="str">
        <f>IF(C12&gt;G12,"&gt;","&lt;")</f>
        <v>&gt;</v>
      </c>
      <c r="F12" s="116" t="s">
        <v>36</v>
      </c>
      <c r="G12" s="256">
        <f>IF(C11=1,(C8/10)*100,IF(C11=2,(C8/20)*100,IF(C11=3,(C8/24)*100,(C8/28)*100)))</f>
        <v>12.5</v>
      </c>
      <c r="H12" s="256"/>
      <c r="I12" t="s">
        <v>17</v>
      </c>
      <c r="J12" s="49" t="str">
        <f>IF(C12&gt;G12,"OK","check thickness")</f>
        <v>OK</v>
      </c>
      <c r="L12" s="50" t="s">
        <v>78</v>
      </c>
      <c r="M12" s="1" t="s">
        <v>64</v>
      </c>
      <c r="N12" s="127">
        <f>1.15*C5*C8*0.5</f>
        <v>1006.2499999999999</v>
      </c>
      <c r="O12" s="48" t="s">
        <v>27</v>
      </c>
      <c r="P12" s="32"/>
      <c r="U12" s="131">
        <v>2</v>
      </c>
      <c r="V12" s="131" t="s">
        <v>74</v>
      </c>
      <c r="W12" s="132"/>
      <c r="X12" s="131"/>
      <c r="Y12" s="131"/>
    </row>
    <row r="13" spans="2:25" ht="26.25">
      <c r="B13" s="122" t="s">
        <v>25</v>
      </c>
      <c r="C13" s="126">
        <f>C5*C8^2/8</f>
        <v>546.875</v>
      </c>
      <c r="D13" s="31" t="s">
        <v>26</v>
      </c>
      <c r="F13" s="36"/>
      <c r="G13" s="1"/>
      <c r="H13" s="45"/>
      <c r="I13" s="45"/>
      <c r="J13" s="56"/>
      <c r="L13" s="51" t="s">
        <v>68</v>
      </c>
      <c r="M13" s="1" t="s">
        <v>64</v>
      </c>
      <c r="N13" s="55">
        <f>0.85*0.53*(C6^0.5)*100*N15</f>
        <v>8095.774548244288</v>
      </c>
      <c r="O13" s="48" t="s">
        <v>27</v>
      </c>
      <c r="P13" s="49" t="str">
        <f>IF(N13&gt;=N12,"OK","Chk Thickness")</f>
        <v>OK</v>
      </c>
      <c r="U13" s="131">
        <v>3</v>
      </c>
      <c r="V13" s="131" t="s">
        <v>75</v>
      </c>
      <c r="W13" s="132"/>
      <c r="X13" s="131"/>
      <c r="Y13" s="131"/>
    </row>
    <row r="14" spans="2:25" ht="23.25">
      <c r="B14" s="122" t="s">
        <v>37</v>
      </c>
      <c r="C14" s="39">
        <v>2.5</v>
      </c>
      <c r="D14" s="31" t="s">
        <v>17</v>
      </c>
      <c r="H14" s="45"/>
      <c r="I14" s="45"/>
      <c r="L14" s="140" t="s">
        <v>79</v>
      </c>
      <c r="M14" s="1" t="s">
        <v>64</v>
      </c>
      <c r="N14" s="134">
        <f>(C13*100/(0.9*N11*100))^0.5</f>
        <v>2.978348419900558</v>
      </c>
      <c r="O14" t="s">
        <v>17</v>
      </c>
      <c r="S14" s="52"/>
      <c r="U14" s="131">
        <v>4</v>
      </c>
      <c r="V14" s="131" t="s">
        <v>76</v>
      </c>
      <c r="W14" s="132"/>
      <c r="X14" s="131"/>
      <c r="Y14" s="131"/>
    </row>
    <row r="15" spans="2:23" ht="24.75">
      <c r="B15" s="46" t="s">
        <v>23</v>
      </c>
      <c r="C15" s="38">
        <v>9</v>
      </c>
      <c r="D15" s="31" t="s">
        <v>70</v>
      </c>
      <c r="L15" s="140" t="s">
        <v>80</v>
      </c>
      <c r="M15" s="1" t="s">
        <v>64</v>
      </c>
      <c r="N15" s="125">
        <f>C12-C14-((C15/10))</f>
        <v>11.6</v>
      </c>
      <c r="O15" t="s">
        <v>17</v>
      </c>
      <c r="P15" s="49" t="str">
        <f>IF(N15&gt;N14,"OK","Check  Thickness")</f>
        <v>OK</v>
      </c>
      <c r="S15" s="30"/>
      <c r="W15" s="21"/>
    </row>
    <row r="16" ht="14.25" customHeight="1"/>
    <row r="17" spans="2:75" s="7" customFormat="1" ht="19.5" customHeight="1">
      <c r="B17" s="74" t="s">
        <v>54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84"/>
      <c r="P17" s="4"/>
      <c r="Q17" s="4"/>
      <c r="R17" s="4"/>
      <c r="S17" s="60"/>
      <c r="T17" s="4"/>
      <c r="U17" s="3"/>
      <c r="V17" s="3"/>
      <c r="W17" s="4"/>
      <c r="X17" s="4"/>
      <c r="Y17" s="4"/>
      <c r="Z17" s="4"/>
      <c r="AA17" s="5"/>
      <c r="AB17" s="3"/>
      <c r="AC17" s="3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23"/>
      <c r="AP17" s="23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24"/>
      <c r="BP17" s="6"/>
      <c r="BQ17" s="25"/>
      <c r="BR17" s="25"/>
      <c r="BS17" s="25"/>
      <c r="BT17" s="61"/>
      <c r="BU17" s="26"/>
      <c r="BV17" s="26"/>
      <c r="BW17" s="26"/>
    </row>
    <row r="18" spans="1:75" s="7" customFormat="1" ht="19.5" customHeight="1">
      <c r="A18" s="9"/>
      <c r="B18" s="63" t="s">
        <v>24</v>
      </c>
      <c r="C18" s="82">
        <f>C13*100/(0.9*100*N15^2)</f>
        <v>4.515746796142159</v>
      </c>
      <c r="D18" s="79" t="s">
        <v>42</v>
      </c>
      <c r="E18" s="65"/>
      <c r="F18" s="64"/>
      <c r="G18" s="75"/>
      <c r="H18" s="75"/>
      <c r="I18" s="3"/>
      <c r="J18" s="3"/>
      <c r="K18" s="66"/>
      <c r="L18" s="3"/>
      <c r="M18" s="3"/>
      <c r="N18" s="3"/>
      <c r="O18" s="67"/>
      <c r="R18" s="10"/>
      <c r="S18" s="60"/>
      <c r="T18" s="10"/>
      <c r="U18" s="10"/>
      <c r="V18" s="10"/>
      <c r="W18" s="10"/>
      <c r="X18" s="10"/>
      <c r="Y18" s="10"/>
      <c r="Z18" s="4"/>
      <c r="AA18" s="11"/>
      <c r="AB18" s="3"/>
      <c r="AC18" s="3"/>
      <c r="AD18" s="6"/>
      <c r="AE18" s="23"/>
      <c r="AF18" s="23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3"/>
      <c r="BP18" s="6"/>
      <c r="BQ18" s="25"/>
      <c r="BR18" s="25"/>
      <c r="BS18" s="25"/>
      <c r="BT18" s="61"/>
      <c r="BU18" s="26"/>
      <c r="BV18" s="26"/>
      <c r="BW18" s="26"/>
    </row>
    <row r="19" spans="2:75" s="7" customFormat="1" ht="19.5" customHeight="1">
      <c r="B19" s="73" t="s">
        <v>43</v>
      </c>
      <c r="C19" s="109">
        <f>(0.85*C6/C7)*(1-(1-2*C18/(0.85*C6)))</f>
        <v>0.003763122330118463</v>
      </c>
      <c r="D19" s="80" t="str">
        <f>IF(C19&lt;N9,"&lt;","&gt;")</f>
        <v>&lt;</v>
      </c>
      <c r="E19" s="73" t="s">
        <v>44</v>
      </c>
      <c r="F19" s="115" t="str">
        <f>IF(D19="&lt;","OK","Check Thk")</f>
        <v>OK</v>
      </c>
      <c r="H19" s="76" t="s">
        <v>45</v>
      </c>
      <c r="I19" s="81" t="str">
        <f>IF(C19&lt;N10,"&lt;","&gt;")</f>
        <v>&lt;</v>
      </c>
      <c r="J19" s="73" t="s">
        <v>46</v>
      </c>
      <c r="K19" s="69"/>
      <c r="L19" s="68"/>
      <c r="M19" s="68"/>
      <c r="N19" s="68"/>
      <c r="O19" s="67"/>
      <c r="P19" s="73"/>
      <c r="Q19" s="10"/>
      <c r="R19" s="40"/>
      <c r="S19" s="60"/>
      <c r="T19" s="60"/>
      <c r="U19" s="26"/>
      <c r="V19" s="27"/>
      <c r="W19" s="27"/>
      <c r="X19" s="27"/>
      <c r="Y19" s="10"/>
      <c r="Z19" s="4"/>
      <c r="AA19" s="11"/>
      <c r="AB19" s="3"/>
      <c r="AC19" s="3"/>
      <c r="AD19" s="6"/>
      <c r="AE19" s="23"/>
      <c r="AF19" s="23"/>
      <c r="AG19" s="6"/>
      <c r="AH19" s="6"/>
      <c r="AI19" s="6"/>
      <c r="AJ19" s="6"/>
      <c r="AK19" s="6"/>
      <c r="AL19" s="6"/>
      <c r="AM19" s="6"/>
      <c r="AN19" s="6"/>
      <c r="AO19" s="23"/>
      <c r="AP19" s="6"/>
      <c r="AQ19" s="6"/>
      <c r="AR19" s="6"/>
      <c r="AS19" s="6"/>
      <c r="AT19" s="6"/>
      <c r="AU19" s="6"/>
      <c r="AV19" s="6"/>
      <c r="AW19" s="3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3"/>
      <c r="BP19" s="6"/>
      <c r="BQ19" s="25"/>
      <c r="BR19" s="25"/>
      <c r="BS19" s="25"/>
      <c r="BT19" s="28"/>
      <c r="BU19" s="26"/>
      <c r="BV19" s="26"/>
      <c r="BW19" s="26"/>
    </row>
    <row r="20" spans="2:75" s="7" customFormat="1" ht="19.5" customHeight="1">
      <c r="B20" s="124" t="str">
        <f>IF(I19="&lt;","ρ ="," ")</f>
        <v>ρ =</v>
      </c>
      <c r="C20" s="114" t="str">
        <f>IF(I19="&lt;","1.33ρ"," ")</f>
        <v>1.33ρ</v>
      </c>
      <c r="D20" s="88" t="str">
        <f>IF(I19="&lt;","="," ")</f>
        <v>=</v>
      </c>
      <c r="E20" s="89">
        <f>IF(I19="&lt;",1.33*C19," ")</f>
        <v>0.005004952699057557</v>
      </c>
      <c r="F20" s="90" t="str">
        <f>IF(I19="&lt;",IF(E20&lt;N10,"&lt;","&gt;")," ")</f>
        <v>&lt;</v>
      </c>
      <c r="G20" s="91" t="str">
        <f>IF(I19="&lt;","ρmin "," ")</f>
        <v>ρmin </v>
      </c>
      <c r="H20" s="92"/>
      <c r="I20" s="85"/>
      <c r="J20" s="86"/>
      <c r="K20" s="87"/>
      <c r="L20" s="86"/>
      <c r="M20" s="108"/>
      <c r="N20" s="108"/>
      <c r="O20" s="67"/>
      <c r="P20" s="10"/>
      <c r="Q20" s="10"/>
      <c r="R20" s="40"/>
      <c r="S20" s="60"/>
      <c r="T20" s="60"/>
      <c r="U20" s="26"/>
      <c r="V20" s="29"/>
      <c r="W20" s="29"/>
      <c r="X20" s="29"/>
      <c r="Y20" s="10"/>
      <c r="Z20" s="4"/>
      <c r="AA20" s="11"/>
      <c r="AB20" s="3"/>
      <c r="AC20" s="3"/>
      <c r="AD20" s="6"/>
      <c r="AE20" s="23"/>
      <c r="AF20" s="23"/>
      <c r="AG20" s="6"/>
      <c r="AH20" s="6"/>
      <c r="AI20" s="6"/>
      <c r="AJ20" s="6"/>
      <c r="AK20" s="6"/>
      <c r="AL20" s="6"/>
      <c r="AM20" s="6"/>
      <c r="AN20" s="6"/>
      <c r="AO20" s="23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3"/>
      <c r="BP20" s="6"/>
      <c r="BQ20" s="25"/>
      <c r="BR20" s="25"/>
      <c r="BS20" s="25"/>
      <c r="BT20" s="28"/>
      <c r="BU20" s="26"/>
      <c r="BV20" s="26"/>
      <c r="BW20" s="26"/>
    </row>
    <row r="21" spans="2:72" s="7" customFormat="1" ht="19.5" customHeight="1">
      <c r="B21" s="91" t="str">
        <f>IF(I19="&lt;","ρ ="," ")</f>
        <v>ρ =</v>
      </c>
      <c r="C21" s="110">
        <f>IF(I19="&lt;",IF(F20="&lt;",E20,N10)," ")</f>
        <v>0.005004952699057557</v>
      </c>
      <c r="D21" s="93"/>
      <c r="E21" s="94"/>
      <c r="F21" s="94"/>
      <c r="G21" s="92"/>
      <c r="H21" s="92"/>
      <c r="I21" s="85"/>
      <c r="J21" s="86"/>
      <c r="K21" s="87"/>
      <c r="L21" s="86"/>
      <c r="M21" s="108"/>
      <c r="N21" s="108"/>
      <c r="O21" s="67"/>
      <c r="P21" s="10"/>
      <c r="Q21" s="10" t="s">
        <v>49</v>
      </c>
      <c r="R21" s="96" t="s">
        <v>50</v>
      </c>
      <c r="S21" s="97" t="s">
        <v>51</v>
      </c>
      <c r="T21" s="97" t="s">
        <v>53</v>
      </c>
      <c r="U21" s="26"/>
      <c r="V21" s="29"/>
      <c r="W21" s="29"/>
      <c r="X21" s="29"/>
      <c r="Y21" s="10"/>
      <c r="Z21" s="4"/>
      <c r="AA21" s="11"/>
      <c r="AB21" s="3"/>
      <c r="AC21" s="3"/>
      <c r="AD21" s="3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23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28"/>
      <c r="BP21" s="28"/>
      <c r="BQ21" s="28"/>
      <c r="BR21" s="28"/>
      <c r="BS21" s="28"/>
      <c r="BT21" s="28"/>
    </row>
    <row r="22" spans="1:66" s="7" customFormat="1" ht="20.25" customHeight="1">
      <c r="A22" s="8"/>
      <c r="B22" s="137" t="s">
        <v>57</v>
      </c>
      <c r="C22" s="138">
        <f>IF(C19&gt;N10,C19*100*N15,C21*100*N15)</f>
        <v>5.805745130906765</v>
      </c>
      <c r="D22" s="12" t="s">
        <v>47</v>
      </c>
      <c r="E22" s="41"/>
      <c r="F22" s="257" t="s">
        <v>48</v>
      </c>
      <c r="G22" s="257"/>
      <c r="H22" s="99" t="s">
        <v>20</v>
      </c>
      <c r="I22" s="99">
        <v>9</v>
      </c>
      <c r="J22" s="100" t="s">
        <v>22</v>
      </c>
      <c r="K22" s="101">
        <f>IF(R22&lt;S22,R22,S22)</f>
        <v>10</v>
      </c>
      <c r="L22" s="102" t="s">
        <v>17</v>
      </c>
      <c r="M22" s="41"/>
      <c r="N22" s="13"/>
      <c r="O22" s="54"/>
      <c r="P22" s="14"/>
      <c r="Q22" s="95">
        <f>PI()*(I22/10)^2/4</f>
        <v>0.6361725123519332</v>
      </c>
      <c r="R22" s="14">
        <f>INT((Q22/C22)*100)</f>
        <v>10</v>
      </c>
      <c r="S22" s="14">
        <f>3*C12</f>
        <v>45</v>
      </c>
      <c r="T22" s="14">
        <f>INT(100/K22)+1</f>
        <v>11</v>
      </c>
      <c r="U22" s="14"/>
      <c r="V22" s="14"/>
      <c r="W22" s="14"/>
      <c r="X22" s="14"/>
      <c r="Y22" s="14"/>
      <c r="Z22" s="4"/>
      <c r="AA22" s="60"/>
      <c r="AB22" s="3"/>
      <c r="AC22" s="3"/>
      <c r="AD22" s="3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</row>
    <row r="23" spans="1:66" s="7" customFormat="1" ht="19.5" customHeight="1">
      <c r="A23" s="8"/>
      <c r="B23" s="74" t="s">
        <v>52</v>
      </c>
      <c r="C23" s="139">
        <f>T22*Q22</f>
        <v>6.997897635871265</v>
      </c>
      <c r="D23" s="12" t="s">
        <v>47</v>
      </c>
      <c r="E23" s="98" t="str">
        <f>IF(C23&gt;C22,"OK","Change bar")</f>
        <v>OK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15"/>
      <c r="Q23" s="15"/>
      <c r="R23" s="15"/>
      <c r="S23" s="53"/>
      <c r="T23" s="15"/>
      <c r="U23" s="15"/>
      <c r="V23" s="15"/>
      <c r="W23" s="15"/>
      <c r="X23" s="15"/>
      <c r="Y23" s="15"/>
      <c r="Z23" s="14"/>
      <c r="AA23" s="60"/>
      <c r="AB23" s="3"/>
      <c r="AC23" s="3"/>
      <c r="AD23" s="3"/>
      <c r="AE23" s="6"/>
      <c r="AF23" s="6"/>
      <c r="AG23" s="6"/>
      <c r="AH23" s="6"/>
      <c r="AI23" s="6"/>
      <c r="AJ23" s="6"/>
      <c r="AK23" s="6"/>
      <c r="AL23" s="23"/>
      <c r="AM23" s="23"/>
      <c r="AN23" s="6"/>
      <c r="AO23" s="6"/>
      <c r="AP23" s="23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</row>
    <row r="24" spans="2:20" s="62" customFormat="1" ht="11.25" customHeight="1">
      <c r="B24" s="63"/>
      <c r="C24" s="64"/>
      <c r="D24" s="64"/>
      <c r="E24" s="65"/>
      <c r="F24" s="64"/>
      <c r="G24" s="75"/>
      <c r="H24" s="75"/>
      <c r="I24" s="3"/>
      <c r="J24" s="3"/>
      <c r="K24" s="66"/>
      <c r="L24" s="3"/>
      <c r="M24" s="3"/>
      <c r="N24" s="3"/>
      <c r="O24" s="67"/>
      <c r="P24" s="7"/>
      <c r="Q24" s="7"/>
      <c r="R24" s="10"/>
      <c r="S24" s="60"/>
      <c r="T24" s="10"/>
    </row>
    <row r="25" spans="2:21" s="62" customFormat="1" ht="19.5" customHeight="1">
      <c r="B25" s="74" t="s">
        <v>55</v>
      </c>
      <c r="C25" s="78"/>
      <c r="D25" s="78"/>
      <c r="E25" s="76"/>
      <c r="F25" s="83"/>
      <c r="G25" s="77"/>
      <c r="H25" s="77"/>
      <c r="I25" s="107"/>
      <c r="J25" s="108"/>
      <c r="K25" s="70"/>
      <c r="L25" s="108"/>
      <c r="M25" s="108"/>
      <c r="N25" s="108"/>
      <c r="O25" s="67"/>
      <c r="P25" s="10"/>
      <c r="Q25" s="10" t="s">
        <v>49</v>
      </c>
      <c r="R25" s="96" t="s">
        <v>50</v>
      </c>
      <c r="S25" s="97" t="s">
        <v>51</v>
      </c>
      <c r="T25" s="97" t="s">
        <v>53</v>
      </c>
      <c r="U25" s="26"/>
    </row>
    <row r="26" spans="2:21" s="62" customFormat="1" ht="19.5" customHeight="1">
      <c r="B26" s="117" t="s">
        <v>57</v>
      </c>
      <c r="C26" s="78">
        <f>0.002*100*N15</f>
        <v>2.32</v>
      </c>
      <c r="D26" s="12" t="s">
        <v>47</v>
      </c>
      <c r="E26" s="76"/>
      <c r="F26" s="258" t="s">
        <v>48</v>
      </c>
      <c r="G26" s="258"/>
      <c r="H26" s="103" t="s">
        <v>20</v>
      </c>
      <c r="I26" s="103">
        <v>6</v>
      </c>
      <c r="J26" s="104" t="s">
        <v>22</v>
      </c>
      <c r="K26" s="105">
        <f>IF(R26&lt;S26,R26,S26)</f>
        <v>12</v>
      </c>
      <c r="L26" s="106" t="s">
        <v>17</v>
      </c>
      <c r="M26" s="41"/>
      <c r="N26" s="13"/>
      <c r="O26" s="54"/>
      <c r="P26" s="14"/>
      <c r="Q26" s="95">
        <f>PI()*(I26/10)^2/4</f>
        <v>0.2827433388230814</v>
      </c>
      <c r="R26" s="14">
        <f>INT((Q26/C26)*100)</f>
        <v>12</v>
      </c>
      <c r="S26" s="14">
        <f>3*C12</f>
        <v>45</v>
      </c>
      <c r="T26" s="14">
        <f>INT(100/K26)+1</f>
        <v>9</v>
      </c>
      <c r="U26" s="26"/>
    </row>
    <row r="27" spans="2:21" s="62" customFormat="1" ht="16.5" customHeight="1">
      <c r="B27" s="118" t="s">
        <v>52</v>
      </c>
      <c r="C27" s="78">
        <f>T26*Q26</f>
        <v>2.5446900494077327</v>
      </c>
      <c r="D27" s="12" t="s">
        <v>47</v>
      </c>
      <c r="E27" s="98" t="str">
        <f>IF(C27&gt;C26,"OK","Change bar")</f>
        <v>OK</v>
      </c>
      <c r="F27" s="76"/>
      <c r="G27" s="77"/>
      <c r="H27" s="77"/>
      <c r="I27" s="38"/>
      <c r="J27" s="68"/>
      <c r="K27" s="72"/>
      <c r="L27" s="68"/>
      <c r="M27" s="68"/>
      <c r="N27" s="68"/>
      <c r="O27" s="71"/>
      <c r="P27" s="10"/>
      <c r="Q27" s="10"/>
      <c r="R27" s="40"/>
      <c r="S27" s="60"/>
      <c r="T27" s="53"/>
      <c r="U27" s="26"/>
    </row>
    <row r="28" spans="2:26" ht="9.75" customHeight="1">
      <c r="B28" s="254"/>
      <c r="C28" s="254"/>
      <c r="D28" s="254"/>
      <c r="K28" s="255" t="s">
        <v>56</v>
      </c>
      <c r="L28" s="255"/>
      <c r="M28" s="255"/>
      <c r="R28" s="111"/>
      <c r="S28" s="254"/>
      <c r="T28" s="254"/>
      <c r="U28" s="254"/>
      <c r="V28" s="111"/>
      <c r="W28" s="111"/>
      <c r="X28" s="254"/>
      <c r="Y28" s="254"/>
      <c r="Z28" s="254"/>
    </row>
    <row r="29" spans="2:26" ht="9" customHeight="1">
      <c r="B29" s="254"/>
      <c r="C29" s="254"/>
      <c r="D29" s="254"/>
      <c r="K29" s="255"/>
      <c r="L29" s="255"/>
      <c r="M29" s="255"/>
      <c r="R29" s="111"/>
      <c r="S29" s="254"/>
      <c r="T29" s="254"/>
      <c r="U29" s="254"/>
      <c r="V29" s="111"/>
      <c r="W29" s="111"/>
      <c r="X29" s="254"/>
      <c r="Y29" s="254"/>
      <c r="Z29" s="254"/>
    </row>
    <row r="30" spans="3:26" ht="15" customHeight="1"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R30" s="111"/>
      <c r="S30" s="254"/>
      <c r="T30" s="254"/>
      <c r="U30" s="254"/>
      <c r="V30" s="111"/>
      <c r="W30" s="111"/>
      <c r="X30" s="111"/>
      <c r="Y30" s="111"/>
      <c r="Z30" s="111"/>
    </row>
    <row r="31" spans="2:26" ht="23.25">
      <c r="B31" s="112" t="str">
        <f>""&amp;C12&amp;" cm."</f>
        <v>15 cm.</v>
      </c>
      <c r="C31" s="20"/>
      <c r="D31" s="42"/>
      <c r="E31" s="42"/>
      <c r="F31" s="42"/>
      <c r="G31" s="42"/>
      <c r="H31" s="42"/>
      <c r="I31" s="42"/>
      <c r="J31" s="42"/>
      <c r="K31" s="19"/>
      <c r="L31" s="42"/>
      <c r="M31" s="42"/>
      <c r="N31" s="42"/>
      <c r="R31" s="111"/>
      <c r="S31" s="254"/>
      <c r="T31" s="254"/>
      <c r="U31" s="254"/>
      <c r="V31" s="111"/>
      <c r="W31" s="111"/>
      <c r="X31" s="111"/>
      <c r="Y31" s="111"/>
      <c r="Z31" s="111"/>
    </row>
    <row r="32" spans="3:26" ht="17.25" customHeight="1">
      <c r="C32" s="44"/>
      <c r="K32" s="44"/>
      <c r="R32" s="111"/>
      <c r="S32" s="254"/>
      <c r="T32" s="254"/>
      <c r="U32" s="254"/>
      <c r="V32" s="254"/>
      <c r="W32" s="111"/>
      <c r="X32" s="111"/>
      <c r="Y32" s="111"/>
      <c r="Z32" s="111"/>
    </row>
    <row r="33" spans="3:26" ht="17.25" customHeight="1">
      <c r="C33" s="44"/>
      <c r="K33" s="44"/>
      <c r="R33" s="111"/>
      <c r="S33" s="254"/>
      <c r="T33" s="254"/>
      <c r="U33" s="254"/>
      <c r="V33" s="254"/>
      <c r="W33" s="111"/>
      <c r="X33" s="111"/>
      <c r="Y33" s="111"/>
      <c r="Z33" s="111"/>
    </row>
    <row r="34" spans="3:26" ht="19.5" customHeight="1">
      <c r="C34" s="262" t="str">
        <f>(""&amp;H22&amp;" "&amp;I22&amp;" "&amp;J22&amp;" "&amp;K22&amp;" "&amp;L22&amp;"")</f>
        <v>RB 9 @ 10 cm.</v>
      </c>
      <c r="D34" s="262"/>
      <c r="E34" s="262"/>
      <c r="G34" s="58"/>
      <c r="H34" s="58"/>
      <c r="I34" s="58"/>
      <c r="J34" s="260" t="str">
        <f>(""&amp;H26&amp;" "&amp;I26&amp;" "&amp;J26&amp;" "&amp;K26&amp;" "&amp;L26&amp;"")</f>
        <v>RB 6 @ 12 cm.</v>
      </c>
      <c r="K34" s="260"/>
      <c r="L34" s="260"/>
      <c r="M34" s="113"/>
      <c r="R34" s="111"/>
      <c r="S34" s="111"/>
      <c r="T34" s="111"/>
      <c r="U34" s="111"/>
      <c r="V34" s="111"/>
      <c r="W34" s="111"/>
      <c r="X34" s="111"/>
      <c r="Y34" s="111"/>
      <c r="Z34" s="111"/>
    </row>
    <row r="35" spans="3:14" ht="13.5" customHeight="1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3:14" ht="23.25">
      <c r="C36" s="19"/>
      <c r="D36" s="19"/>
      <c r="E36" s="261" t="s">
        <v>38</v>
      </c>
      <c r="F36" s="261"/>
      <c r="G36" s="261"/>
      <c r="H36" s="261"/>
      <c r="I36" s="261"/>
      <c r="J36" s="19"/>
      <c r="K36" s="19"/>
      <c r="L36" s="19"/>
      <c r="M36" s="19"/>
      <c r="N36" s="19"/>
    </row>
    <row r="39" spans="3:9" ht="23.25">
      <c r="C39" s="59"/>
      <c r="H39" s="259"/>
      <c r="I39" s="259"/>
    </row>
  </sheetData>
  <sheetProtection/>
  <mergeCells count="29">
    <mergeCell ref="J34:L34"/>
    <mergeCell ref="E36:I36"/>
    <mergeCell ref="C34:E34"/>
    <mergeCell ref="S30:U30"/>
    <mergeCell ref="S31:U31"/>
    <mergeCell ref="S32:V32"/>
    <mergeCell ref="S33:V33"/>
    <mergeCell ref="G12:H12"/>
    <mergeCell ref="F22:G22"/>
    <mergeCell ref="F26:G26"/>
    <mergeCell ref="H39:I39"/>
    <mergeCell ref="B28:D28"/>
    <mergeCell ref="S28:U28"/>
    <mergeCell ref="X28:Z28"/>
    <mergeCell ref="K28:M29"/>
    <mergeCell ref="S29:U29"/>
    <mergeCell ref="B29:D29"/>
    <mergeCell ref="X29:Z29"/>
    <mergeCell ref="A1:B1"/>
    <mergeCell ref="A2:B2"/>
    <mergeCell ref="K2:O2"/>
    <mergeCell ref="J1:P1"/>
    <mergeCell ref="A3:P3"/>
    <mergeCell ref="N10:O10"/>
    <mergeCell ref="N9:O9"/>
    <mergeCell ref="N8:O8"/>
    <mergeCell ref="N7:O7"/>
    <mergeCell ref="N6:O6"/>
    <mergeCell ref="L5:O5"/>
  </mergeCells>
  <dataValidations count="4">
    <dataValidation type="list" allowBlank="1" showInputMessage="1" showErrorMessage="1" sqref="C15 I21:I22 I25:I27">
      <formula1>bar</formula1>
    </dataValidation>
    <dataValidation type="list" allowBlank="1" showInputMessage="1" showErrorMessage="1" sqref="C11">
      <formula1>$U$11:$U$14</formula1>
    </dataValidation>
    <dataValidation type="list" allowBlank="1" showInputMessage="1" showErrorMessage="1" sqref="F10">
      <formula1>case</formula1>
    </dataValidation>
    <dataValidation type="list" allowBlank="1" showInputMessage="1" showErrorMessage="1" sqref="H22 H26">
      <formula1>type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39"/>
  <sheetViews>
    <sheetView tabSelected="1" zoomScalePageLayoutView="0" workbookViewId="0" topLeftCell="A13">
      <selection activeCell="Q17" sqref="Q17"/>
    </sheetView>
  </sheetViews>
  <sheetFormatPr defaultColWidth="9.140625" defaultRowHeight="23.25"/>
  <cols>
    <col min="1" max="1" width="4.421875" style="141" customWidth="1"/>
    <col min="2" max="2" width="8.8515625" style="141" customWidth="1"/>
    <col min="3" max="3" width="6.8515625" style="141" customWidth="1"/>
    <col min="4" max="4" width="5.421875" style="141" customWidth="1"/>
    <col min="5" max="5" width="7.28125" style="141" customWidth="1"/>
    <col min="6" max="6" width="5.8515625" style="141" customWidth="1"/>
    <col min="7" max="7" width="3.7109375" style="141" customWidth="1"/>
    <col min="8" max="8" width="4.28125" style="141" customWidth="1"/>
    <col min="9" max="9" width="5.28125" style="141" customWidth="1"/>
    <col min="10" max="10" width="5.7109375" style="141" customWidth="1"/>
    <col min="11" max="11" width="7.28125" style="141" customWidth="1"/>
    <col min="12" max="12" width="6.8515625" style="141" customWidth="1"/>
    <col min="13" max="13" width="5.8515625" style="141" customWidth="1"/>
    <col min="14" max="14" width="6.140625" style="141" customWidth="1"/>
    <col min="15" max="15" width="6.421875" style="141" customWidth="1"/>
    <col min="16" max="16" width="5.140625" style="141" customWidth="1"/>
    <col min="17" max="17" width="9.140625" style="141" customWidth="1"/>
    <col min="18" max="18" width="4.57421875" style="141" customWidth="1"/>
    <col min="19" max="19" width="3.140625" style="141" customWidth="1"/>
    <col min="20" max="16384" width="9.140625" style="141" customWidth="1"/>
  </cols>
  <sheetData>
    <row r="1" spans="2:16" ht="21.75" customHeight="1">
      <c r="B1" s="142" t="s">
        <v>58</v>
      </c>
      <c r="C1" s="236" t="str">
        <f>""&amp;Sheet3!C4&amp;""</f>
        <v>โรงงาน พื้นที่ใช้สอยประมาณ 280 ตร.ม.</v>
      </c>
      <c r="D1" s="236"/>
      <c r="E1" s="236"/>
      <c r="F1" s="236"/>
      <c r="G1" s="236"/>
      <c r="H1" s="142"/>
      <c r="I1" s="142"/>
      <c r="J1" s="284" t="str">
        <f>""&amp;Sheet3!B6&amp;" "&amp;Sheet3!C6&amp;""</f>
        <v>เจ้าของ : ภาควิชาวิศวกรรมโยธา</v>
      </c>
      <c r="K1" s="284"/>
      <c r="L1" s="284"/>
      <c r="M1" s="284"/>
      <c r="N1" s="284"/>
      <c r="O1" s="284"/>
      <c r="P1" s="143"/>
    </row>
    <row r="2" spans="1:16" ht="19.5" customHeight="1" thickBot="1">
      <c r="A2" s="144"/>
      <c r="B2" s="145" t="s">
        <v>59</v>
      </c>
      <c r="C2" s="285" t="str">
        <f>""&amp;Sheet3!C5&amp;""</f>
        <v>มหาวิทยาลัยราชมงคล ธัญบุรี</v>
      </c>
      <c r="D2" s="285"/>
      <c r="E2" s="285"/>
      <c r="F2" s="285"/>
      <c r="G2" s="285"/>
      <c r="H2" s="146"/>
      <c r="I2" s="146"/>
      <c r="J2" s="146"/>
      <c r="K2" s="283"/>
      <c r="L2" s="283"/>
      <c r="M2" s="283"/>
      <c r="N2" s="283"/>
      <c r="O2" s="283"/>
      <c r="P2" s="146"/>
    </row>
    <row r="3" spans="1:16" ht="21">
      <c r="A3" s="263" t="s">
        <v>82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</row>
    <row r="4" ht="9.75" customHeight="1"/>
    <row r="5" spans="2:15" ht="23.25">
      <c r="B5" s="147" t="s">
        <v>2</v>
      </c>
      <c r="C5" s="148">
        <v>1858</v>
      </c>
      <c r="D5" s="149" t="s">
        <v>85</v>
      </c>
      <c r="F5" s="150"/>
      <c r="G5" s="149"/>
      <c r="L5" s="264" t="s">
        <v>69</v>
      </c>
      <c r="M5" s="264"/>
      <c r="N5" s="264"/>
      <c r="O5" s="264"/>
    </row>
    <row r="6" spans="2:15" ht="21.75">
      <c r="B6" s="147" t="s">
        <v>4</v>
      </c>
      <c r="C6" s="148">
        <v>240</v>
      </c>
      <c r="D6" s="149" t="s">
        <v>19</v>
      </c>
      <c r="L6" s="151" t="s">
        <v>86</v>
      </c>
      <c r="M6" s="152" t="s">
        <v>64</v>
      </c>
      <c r="N6" s="265">
        <f>IF(C6&lt;=280,0.85,IF(C6&gt;=650,0.65,0.85-0.05*(C6-280)/70))</f>
        <v>0.85</v>
      </c>
      <c r="O6" s="265"/>
    </row>
    <row r="7" spans="2:15" ht="21.75">
      <c r="B7" s="147" t="s">
        <v>3</v>
      </c>
      <c r="C7" s="148">
        <v>3000</v>
      </c>
      <c r="D7" s="149" t="s">
        <v>19</v>
      </c>
      <c r="F7" s="149"/>
      <c r="G7" s="149"/>
      <c r="L7" s="151" t="s">
        <v>87</v>
      </c>
      <c r="M7" s="152" t="s">
        <v>64</v>
      </c>
      <c r="N7" s="266">
        <f>(0.85*N6*C6/C7)*(6120/(6120+C7))</f>
        <v>0.03878684210526315</v>
      </c>
      <c r="O7" s="266"/>
    </row>
    <row r="8" spans="2:15" ht="21">
      <c r="B8" s="141" t="s">
        <v>5</v>
      </c>
      <c r="C8" s="153">
        <v>5</v>
      </c>
      <c r="D8" s="149" t="s">
        <v>15</v>
      </c>
      <c r="F8" s="154"/>
      <c r="L8" s="155" t="s">
        <v>66</v>
      </c>
      <c r="M8" s="152" t="s">
        <v>64</v>
      </c>
      <c r="N8" s="288">
        <v>0.7</v>
      </c>
      <c r="O8" s="288"/>
    </row>
    <row r="9" spans="2:24" ht="21.75">
      <c r="B9" s="141" t="s">
        <v>6</v>
      </c>
      <c r="C9" s="153">
        <v>6</v>
      </c>
      <c r="D9" s="149" t="s">
        <v>15</v>
      </c>
      <c r="E9" s="141" t="s">
        <v>8</v>
      </c>
      <c r="F9" s="156">
        <v>2</v>
      </c>
      <c r="G9" s="149" t="str">
        <f>IF(F9=0,"พื้นไม่ต่อเนื่องทุกด้าน",IF(F9=1,"พื้นต่อเนื่องด้านเดียว",IF(F9=2,"พื้นต่อเนื่องสองด้าน",IF(F9=3,"พื้นต่อเนื่องสามด้าน","พื้นต่อเนื่องสี่ด้าน"))))</f>
        <v>พื้นต่อเนื่องสองด้าน</v>
      </c>
      <c r="L9" s="151" t="s">
        <v>88</v>
      </c>
      <c r="M9" s="152" t="s">
        <v>64</v>
      </c>
      <c r="N9" s="266">
        <f>N8*N7</f>
        <v>0.0271507894736842</v>
      </c>
      <c r="O9" s="266"/>
      <c r="P9" s="157"/>
      <c r="X9" s="158" t="s">
        <v>14</v>
      </c>
    </row>
    <row r="10" spans="2:24" ht="21.75">
      <c r="B10" s="147" t="s">
        <v>16</v>
      </c>
      <c r="C10" s="153">
        <v>15</v>
      </c>
      <c r="D10" s="141" t="s">
        <v>17</v>
      </c>
      <c r="E10" s="159" t="str">
        <f>IF(C10&gt;G10,"&gt;","&lt;")</f>
        <v>&gt;</v>
      </c>
      <c r="F10" s="160" t="s">
        <v>89</v>
      </c>
      <c r="G10" s="290">
        <f>((C8*2+C9*2)/180)*100</f>
        <v>12.222222222222221</v>
      </c>
      <c r="H10" s="290"/>
      <c r="I10" s="141" t="s">
        <v>17</v>
      </c>
      <c r="J10" s="161" t="str">
        <f>IF(C10&gt;G10,"OK","check thickness")</f>
        <v>OK</v>
      </c>
      <c r="L10" s="151" t="s">
        <v>90</v>
      </c>
      <c r="M10" s="152" t="s">
        <v>64</v>
      </c>
      <c r="N10" s="266">
        <f>14/C7</f>
        <v>0.004666666666666667</v>
      </c>
      <c r="O10" s="266"/>
      <c r="X10" s="158">
        <v>0</v>
      </c>
    </row>
    <row r="11" spans="2:24" ht="21">
      <c r="B11" s="147" t="s">
        <v>37</v>
      </c>
      <c r="C11" s="156">
        <v>3</v>
      </c>
      <c r="D11" s="141" t="s">
        <v>17</v>
      </c>
      <c r="E11" s="289" t="s">
        <v>63</v>
      </c>
      <c r="F11" s="289"/>
      <c r="G11" s="162">
        <v>12</v>
      </c>
      <c r="H11" s="159" t="s">
        <v>70</v>
      </c>
      <c r="I11" s="160"/>
      <c r="L11" s="163" t="s">
        <v>29</v>
      </c>
      <c r="M11" s="159" t="s">
        <v>64</v>
      </c>
      <c r="N11" s="164">
        <f>N9*C7*(1-(0.59*N9*C7/C6))</f>
        <v>65.142584630947</v>
      </c>
      <c r="O11" s="149" t="s">
        <v>19</v>
      </c>
      <c r="T11" s="141">
        <f>(0.85*C6/C7)</f>
        <v>0.068</v>
      </c>
      <c r="U11" s="141">
        <f>0.85*C6</f>
        <v>204</v>
      </c>
      <c r="X11" s="158">
        <v>1</v>
      </c>
    </row>
    <row r="12" spans="2:24" ht="21">
      <c r="B12" s="147" t="s">
        <v>7</v>
      </c>
      <c r="C12" s="165">
        <f>ROUND(C8/C9,1)</f>
        <v>0.8</v>
      </c>
      <c r="L12" s="166" t="s">
        <v>67</v>
      </c>
      <c r="M12" s="159" t="s">
        <v>64</v>
      </c>
      <c r="N12" s="167">
        <f>(C5*C8/4)*(2-C12)</f>
        <v>2787</v>
      </c>
      <c r="O12" s="141" t="s">
        <v>27</v>
      </c>
      <c r="P12" s="161"/>
      <c r="X12" s="158">
        <v>2</v>
      </c>
    </row>
    <row r="13" spans="2:24" ht="21">
      <c r="B13" s="147" t="s">
        <v>25</v>
      </c>
      <c r="C13" s="168">
        <f>MAX(E18:F20,E24:F26)</f>
        <v>2972.8</v>
      </c>
      <c r="D13" s="149" t="s">
        <v>26</v>
      </c>
      <c r="L13" s="147" t="s">
        <v>84</v>
      </c>
      <c r="M13" s="159" t="s">
        <v>64</v>
      </c>
      <c r="N13" s="169">
        <f>0.85*0.53*(C6^0.5)*100*N14</f>
        <v>7537.445269055027</v>
      </c>
      <c r="O13" s="141" t="s">
        <v>27</v>
      </c>
      <c r="P13" s="161" t="str">
        <f>IF(N13&gt;=N12,"OK","Chk Thickness")</f>
        <v>OK</v>
      </c>
      <c r="T13" s="170"/>
      <c r="X13" s="158">
        <v>3</v>
      </c>
    </row>
    <row r="14" spans="2:24" ht="21.75">
      <c r="B14" s="171" t="s">
        <v>91</v>
      </c>
      <c r="C14" s="172">
        <f>(C13*100/(0.9*N11*100))^0.5</f>
        <v>7.120805090657181</v>
      </c>
      <c r="D14" s="141" t="s">
        <v>17</v>
      </c>
      <c r="L14" s="171" t="s">
        <v>92</v>
      </c>
      <c r="M14" s="159" t="s">
        <v>64</v>
      </c>
      <c r="N14" s="173">
        <f>C10-C11-((G11/10))</f>
        <v>10.8</v>
      </c>
      <c r="O14" s="141" t="s">
        <v>17</v>
      </c>
      <c r="P14" s="161" t="str">
        <f>IF(N14&gt;C14,"OK","Check thickness")</f>
        <v>OK</v>
      </c>
      <c r="T14" s="157"/>
      <c r="X14" s="158">
        <v>4</v>
      </c>
    </row>
    <row r="15" ht="20.25">
      <c r="T15" s="141">
        <f>(22/7)*((G11/10)^2)/4</f>
        <v>1.1314285714285715</v>
      </c>
    </row>
    <row r="16" spans="2:76" s="174" customFormat="1" ht="19.5" customHeight="1">
      <c r="B16" s="274" t="s">
        <v>39</v>
      </c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6"/>
      <c r="P16" s="176"/>
      <c r="Q16" s="177"/>
      <c r="R16" s="178"/>
      <c r="S16" s="178"/>
      <c r="T16" s="179"/>
      <c r="U16" s="178"/>
      <c r="V16" s="180"/>
      <c r="W16" s="180"/>
      <c r="X16" s="178"/>
      <c r="Y16" s="178"/>
      <c r="Z16" s="178"/>
      <c r="AA16" s="178"/>
      <c r="AB16" s="181"/>
      <c r="AC16" s="180"/>
      <c r="AD16" s="180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3"/>
      <c r="AQ16" s="183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4"/>
      <c r="BQ16" s="182"/>
      <c r="BR16" s="185"/>
      <c r="BS16" s="185"/>
      <c r="BT16" s="185"/>
      <c r="BU16" s="179"/>
      <c r="BV16" s="186"/>
      <c r="BW16" s="186"/>
      <c r="BX16" s="186"/>
    </row>
    <row r="17" spans="1:76" s="174" customFormat="1" ht="19.5" customHeight="1">
      <c r="A17" s="187"/>
      <c r="B17" s="188"/>
      <c r="C17" s="189" t="s">
        <v>9</v>
      </c>
      <c r="D17" s="189"/>
      <c r="E17" s="190" t="s">
        <v>10</v>
      </c>
      <c r="F17" s="189"/>
      <c r="G17" s="277" t="s">
        <v>28</v>
      </c>
      <c r="H17" s="278"/>
      <c r="I17" s="191" t="s">
        <v>35</v>
      </c>
      <c r="J17" s="191" t="s">
        <v>29</v>
      </c>
      <c r="K17" s="152" t="s">
        <v>30</v>
      </c>
      <c r="L17" s="191" t="s">
        <v>31</v>
      </c>
      <c r="M17" s="191" t="s">
        <v>22</v>
      </c>
      <c r="N17" s="191" t="s">
        <v>32</v>
      </c>
      <c r="O17" s="192" t="s">
        <v>22</v>
      </c>
      <c r="P17" s="193"/>
      <c r="S17" s="194"/>
      <c r="T17" s="179" t="s">
        <v>33</v>
      </c>
      <c r="U17" s="194" t="s">
        <v>34</v>
      </c>
      <c r="V17" s="194"/>
      <c r="W17" s="194"/>
      <c r="X17" s="194"/>
      <c r="Y17" s="194"/>
      <c r="Z17" s="194"/>
      <c r="AA17" s="178"/>
      <c r="AB17" s="195"/>
      <c r="AC17" s="180"/>
      <c r="AD17" s="180"/>
      <c r="AE17" s="182"/>
      <c r="AF17" s="183"/>
      <c r="AG17" s="183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0"/>
      <c r="BQ17" s="182"/>
      <c r="BR17" s="185"/>
      <c r="BS17" s="185"/>
      <c r="BT17" s="185"/>
      <c r="BU17" s="179"/>
      <c r="BV17" s="186"/>
      <c r="BW17" s="186"/>
      <c r="BX17" s="186"/>
    </row>
    <row r="18" spans="2:76" s="174" customFormat="1" ht="19.5" customHeight="1">
      <c r="B18" s="196" t="s">
        <v>11</v>
      </c>
      <c r="C18" s="286">
        <f>VLOOKUP('2-way'!F9,DATA!B38:I52,IF(C12=DATA!D37,3,IF(C12=DATA!E37,4,IF(C12=DATA!F37,5,IF(C12=DATA!G37,6,IF(C12=DATA!H37,7,8))))))</f>
        <v>0.064</v>
      </c>
      <c r="D18" s="287"/>
      <c r="E18" s="279">
        <f>C18*C5*C8^2</f>
        <v>2972.8</v>
      </c>
      <c r="F18" s="280"/>
      <c r="G18" s="267">
        <f>N14</f>
        <v>10.8</v>
      </c>
      <c r="H18" s="268"/>
      <c r="I18" s="197">
        <v>12</v>
      </c>
      <c r="J18" s="198">
        <f>E18*100/(100*G18^2)</f>
        <v>25.48696844993141</v>
      </c>
      <c r="K18" s="199">
        <f>T11*(1-(1-2*J18/U11)^0.5)</f>
        <v>0.009105256910288595</v>
      </c>
      <c r="L18" s="198">
        <f>K18*100*G18</f>
        <v>9.833677463111684</v>
      </c>
      <c r="M18" s="200">
        <f>T18</f>
        <v>11</v>
      </c>
      <c r="N18" s="198">
        <f>2*L18/3</f>
        <v>6.555784975407789</v>
      </c>
      <c r="O18" s="201">
        <f>U18</f>
        <v>17</v>
      </c>
      <c r="P18" s="193"/>
      <c r="Q18" s="194"/>
      <c r="R18" s="194"/>
      <c r="S18" s="202"/>
      <c r="T18" s="179">
        <f>IF(C18=0,"None",INT(((22/7)*(I18/10)^2/4/L18)*100))</f>
        <v>11</v>
      </c>
      <c r="U18" s="179">
        <f>IF(C18=0,"None",INT(((22/7)*(I18/10)^2/4/N18)*100))</f>
        <v>17</v>
      </c>
      <c r="V18" s="203" t="str">
        <f>IF(I18&lt;12,"RB","DB")</f>
        <v>DB</v>
      </c>
      <c r="W18" s="193"/>
      <c r="X18" s="193"/>
      <c r="Y18" s="193"/>
      <c r="Z18" s="194"/>
      <c r="AA18" s="178"/>
      <c r="AB18" s="195"/>
      <c r="AC18" s="180"/>
      <c r="AD18" s="180"/>
      <c r="AE18" s="182"/>
      <c r="AF18" s="183"/>
      <c r="AG18" s="183"/>
      <c r="AH18" s="182"/>
      <c r="AI18" s="182"/>
      <c r="AJ18" s="182"/>
      <c r="AK18" s="182"/>
      <c r="AL18" s="182"/>
      <c r="AM18" s="182"/>
      <c r="AN18" s="182"/>
      <c r="AO18" s="182"/>
      <c r="AP18" s="183"/>
      <c r="AQ18" s="182"/>
      <c r="AR18" s="182"/>
      <c r="AS18" s="182"/>
      <c r="AT18" s="182"/>
      <c r="AU18" s="182"/>
      <c r="AV18" s="182"/>
      <c r="AW18" s="182"/>
      <c r="AX18" s="180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0"/>
      <c r="BQ18" s="182"/>
      <c r="BR18" s="185"/>
      <c r="BS18" s="185"/>
      <c r="BT18" s="185"/>
      <c r="BU18" s="203"/>
      <c r="BV18" s="186"/>
      <c r="BW18" s="186"/>
      <c r="BX18" s="186"/>
    </row>
    <row r="19" spans="2:76" s="174" customFormat="1" ht="19.5" customHeight="1">
      <c r="B19" s="196" t="s">
        <v>12</v>
      </c>
      <c r="C19" s="277">
        <f>VLOOKUP(F9,DATA!B55:I59,IF('2-way'!C12=DATA!D54,3,IF(C12=DATA!E54,4,IF(C12=DATA!F54,5,IF(C12=DATA!G54,6,IF(C12=DATA!H54,7,8))))))</f>
        <v>0.032</v>
      </c>
      <c r="D19" s="278"/>
      <c r="E19" s="279">
        <f>C19*C5*C8^2</f>
        <v>1486.4</v>
      </c>
      <c r="F19" s="280"/>
      <c r="G19" s="267">
        <f>N14</f>
        <v>10.8</v>
      </c>
      <c r="H19" s="268"/>
      <c r="I19" s="197">
        <v>12</v>
      </c>
      <c r="J19" s="198">
        <f>E19*100/(100*G19^2)</f>
        <v>12.743484224965705</v>
      </c>
      <c r="K19" s="204">
        <f>T11*(1-(1-2*J19/U11)^0.5)</f>
        <v>0.004389502581715693</v>
      </c>
      <c r="L19" s="198">
        <f>K19*100*G19</f>
        <v>4.740662788252949</v>
      </c>
      <c r="M19" s="205">
        <f>T19</f>
        <v>23</v>
      </c>
      <c r="N19" s="198">
        <f>2*L19/3</f>
        <v>3.160441858835299</v>
      </c>
      <c r="O19" s="206">
        <f>U19</f>
        <v>35</v>
      </c>
      <c r="P19" s="193"/>
      <c r="Q19" s="194"/>
      <c r="R19" s="194"/>
      <c r="S19" s="202"/>
      <c r="T19" s="179">
        <f>IF(C19=0,"None",INT(((22/7)*(I19/10)^2/4/L19)*100))</f>
        <v>23</v>
      </c>
      <c r="U19" s="179">
        <f>IF(C19=0,"None",INT(((22/7)*(I19/10)^2/4/N19)*100))</f>
        <v>35</v>
      </c>
      <c r="V19" s="203" t="str">
        <f>IF(I19&lt;12,"RB","DB")</f>
        <v>DB</v>
      </c>
      <c r="W19" s="207"/>
      <c r="X19" s="207"/>
      <c r="Y19" s="207"/>
      <c r="Z19" s="194"/>
      <c r="AA19" s="178"/>
      <c r="AB19" s="195"/>
      <c r="AC19" s="180"/>
      <c r="AD19" s="180"/>
      <c r="AE19" s="182"/>
      <c r="AF19" s="183"/>
      <c r="AG19" s="183"/>
      <c r="AH19" s="182"/>
      <c r="AI19" s="182"/>
      <c r="AJ19" s="182"/>
      <c r="AK19" s="182"/>
      <c r="AL19" s="182"/>
      <c r="AM19" s="182"/>
      <c r="AN19" s="182"/>
      <c r="AO19" s="182"/>
      <c r="AP19" s="183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0"/>
      <c r="BQ19" s="182"/>
      <c r="BR19" s="185"/>
      <c r="BS19" s="185"/>
      <c r="BT19" s="185"/>
      <c r="BU19" s="203"/>
      <c r="BV19" s="186"/>
      <c r="BW19" s="186"/>
      <c r="BX19" s="186"/>
    </row>
    <row r="20" spans="2:73" s="174" customFormat="1" ht="19.5" customHeight="1">
      <c r="B20" s="196" t="s">
        <v>13</v>
      </c>
      <c r="C20" s="281">
        <f>VLOOKUP(F9,DATA!B62:I66,IF('2-way'!C12=DATA!D54,3,IF(C12=DATA!E54,4,IF(C12=DATA!F54,5,IF(C12=DATA!G54,6,IF(C12=DATA!H54,7,8))))))</f>
        <v>0.048</v>
      </c>
      <c r="D20" s="282"/>
      <c r="E20" s="279">
        <f>C20*C5*C8^2</f>
        <v>2229.6</v>
      </c>
      <c r="F20" s="280"/>
      <c r="G20" s="267">
        <f>N14</f>
        <v>10.8</v>
      </c>
      <c r="H20" s="268"/>
      <c r="I20" s="197">
        <v>12</v>
      </c>
      <c r="J20" s="198">
        <f>E20*100/(100*G20^2)</f>
        <v>19.115226337448558</v>
      </c>
      <c r="K20" s="204">
        <f>T11*(1-(1-2*J20/U11)^0.5)</f>
        <v>0.006702014121976796</v>
      </c>
      <c r="L20" s="198">
        <f>K20*100*G20</f>
        <v>7.2381752517349405</v>
      </c>
      <c r="M20" s="208">
        <f>T20</f>
        <v>15</v>
      </c>
      <c r="N20" s="198">
        <f>2*L20/3</f>
        <v>4.825450167823294</v>
      </c>
      <c r="O20" s="209">
        <f>U20</f>
        <v>23</v>
      </c>
      <c r="P20" s="193"/>
      <c r="Q20" s="194"/>
      <c r="R20" s="194"/>
      <c r="S20" s="202"/>
      <c r="T20" s="179">
        <f>IF(C20=0,"None",INT(((22/7)*(I20/10)^2/4/L20)*100))</f>
        <v>15</v>
      </c>
      <c r="U20" s="179">
        <f>IF(C20=0,"None",INT(((22/7)*(I20/10)^2/4/N20)*100))</f>
        <v>23</v>
      </c>
      <c r="V20" s="203" t="str">
        <f>IF(I20&lt;12,"RB","DB")</f>
        <v>DB</v>
      </c>
      <c r="W20" s="207"/>
      <c r="X20" s="207"/>
      <c r="Y20" s="207"/>
      <c r="Z20" s="194"/>
      <c r="AA20" s="178"/>
      <c r="AB20" s="195"/>
      <c r="AC20" s="180"/>
      <c r="AD20" s="180"/>
      <c r="AE20" s="180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3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203"/>
      <c r="BQ20" s="203"/>
      <c r="BR20" s="203"/>
      <c r="BS20" s="203"/>
      <c r="BT20" s="203"/>
      <c r="BU20" s="203"/>
    </row>
    <row r="21" spans="1:67" s="174" customFormat="1" ht="15.75" customHeight="1">
      <c r="A21" s="210"/>
      <c r="B21" s="211"/>
      <c r="C21" s="212"/>
      <c r="D21" s="213"/>
      <c r="E21" s="213"/>
      <c r="F21" s="214"/>
      <c r="G21" s="215"/>
      <c r="H21" s="216"/>
      <c r="I21" s="216"/>
      <c r="J21" s="212"/>
      <c r="K21" s="213"/>
      <c r="L21" s="217"/>
      <c r="M21" s="217"/>
      <c r="N21" s="214"/>
      <c r="O21" s="218"/>
      <c r="P21" s="218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178"/>
      <c r="AB21" s="179"/>
      <c r="AC21" s="180"/>
      <c r="AD21" s="180"/>
      <c r="AE21" s="180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</row>
    <row r="22" spans="1:67" s="174" customFormat="1" ht="19.5" customHeight="1">
      <c r="A22" s="210"/>
      <c r="B22" s="274" t="s">
        <v>40</v>
      </c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6"/>
      <c r="P22" s="220"/>
      <c r="Q22" s="221"/>
      <c r="R22" s="221"/>
      <c r="S22" s="221"/>
      <c r="T22" s="222"/>
      <c r="U22" s="221"/>
      <c r="V22" s="221"/>
      <c r="W22" s="221"/>
      <c r="X22" s="221"/>
      <c r="Y22" s="221"/>
      <c r="Z22" s="221"/>
      <c r="AA22" s="219"/>
      <c r="AB22" s="179"/>
      <c r="AC22" s="180"/>
      <c r="AD22" s="180"/>
      <c r="AE22" s="180"/>
      <c r="AF22" s="182"/>
      <c r="AG22" s="182"/>
      <c r="AH22" s="182"/>
      <c r="AI22" s="182"/>
      <c r="AJ22" s="182"/>
      <c r="AK22" s="182"/>
      <c r="AL22" s="182"/>
      <c r="AM22" s="183"/>
      <c r="AN22" s="183"/>
      <c r="AO22" s="182"/>
      <c r="AP22" s="182"/>
      <c r="AQ22" s="183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</row>
    <row r="23" spans="2:73" ht="19.5" customHeight="1">
      <c r="B23" s="188"/>
      <c r="C23" s="189" t="s">
        <v>9</v>
      </c>
      <c r="D23" s="189"/>
      <c r="E23" s="190" t="s">
        <v>10</v>
      </c>
      <c r="F23" s="189"/>
      <c r="G23" s="277" t="s">
        <v>28</v>
      </c>
      <c r="H23" s="278"/>
      <c r="I23" s="191" t="s">
        <v>35</v>
      </c>
      <c r="J23" s="191" t="s">
        <v>29</v>
      </c>
      <c r="K23" s="152" t="s">
        <v>30</v>
      </c>
      <c r="L23" s="191" t="s">
        <v>31</v>
      </c>
      <c r="M23" s="191" t="s">
        <v>22</v>
      </c>
      <c r="N23" s="191" t="s">
        <v>32</v>
      </c>
      <c r="O23" s="192" t="s">
        <v>22</v>
      </c>
      <c r="P23" s="193"/>
      <c r="Q23" s="174"/>
      <c r="R23" s="174"/>
      <c r="S23" s="194"/>
      <c r="T23" s="179" t="s">
        <v>33</v>
      </c>
      <c r="U23" s="194" t="s">
        <v>34</v>
      </c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</row>
    <row r="24" spans="2:22" ht="19.5" customHeight="1">
      <c r="B24" s="196" t="s">
        <v>11</v>
      </c>
      <c r="C24" s="281">
        <f>VLOOKUP(B24,DATA!L6:Q8,IF('2-way'!F9=DATA!M5,2,IF('2-way'!F9=DATA!N5,3,IF('2-way'!F9=DATA!O5,4,IF('2-way'!F9=DATA!P5,5,IF('2-way'!F9=DATA!Q5,6))))))</f>
        <v>0.049</v>
      </c>
      <c r="D24" s="282"/>
      <c r="E24" s="279">
        <f>C24*C5*C8^2</f>
        <v>2276.05</v>
      </c>
      <c r="F24" s="280"/>
      <c r="G24" s="267">
        <f>G18-(G11/10)</f>
        <v>9.600000000000001</v>
      </c>
      <c r="H24" s="268"/>
      <c r="I24" s="197">
        <v>12</v>
      </c>
      <c r="J24" s="198">
        <f>E24/G24^2</f>
        <v>24.69672309027777</v>
      </c>
      <c r="K24" s="199">
        <f>T11*(1-(1-2*J24/U11)^0.5)</f>
        <v>0.008801898510953853</v>
      </c>
      <c r="L24" s="198">
        <f>K24*100*G24</f>
        <v>8.4498225705157</v>
      </c>
      <c r="M24" s="223">
        <f>T24</f>
        <v>13</v>
      </c>
      <c r="N24" s="198">
        <f>2*L24/3</f>
        <v>5.6332150470104665</v>
      </c>
      <c r="O24" s="224">
        <f>U24</f>
        <v>20</v>
      </c>
      <c r="P24" s="225"/>
      <c r="Q24" s="194"/>
      <c r="R24" s="194"/>
      <c r="S24" s="202"/>
      <c r="T24" s="179">
        <f>IF(C24=0,"None",INT((((22/7)*(I24/10)^2/4/L24)*100)))</f>
        <v>13</v>
      </c>
      <c r="U24" s="222">
        <f>IF(C24=0,"None",INT((((22/7)*(I24/10)^2/4/N24)*100)))</f>
        <v>20</v>
      </c>
      <c r="V24" s="203" t="str">
        <f>IF(I24&lt;12,"RB","DB")</f>
        <v>DB</v>
      </c>
    </row>
    <row r="25" spans="2:22" ht="19.5" customHeight="1">
      <c r="B25" s="196" t="s">
        <v>12</v>
      </c>
      <c r="C25" s="281">
        <f>VLOOKUP(B25,DATA!L6:Q8,IF('2-way'!F9=DATA!M5,2,IF('2-way'!F9=DATA!N5,3,IF('2-way'!F9=DATA!O5,4,IF('2-way'!F9=DATA!P5,5,IF('2-way'!F9=DATA!Q5,6))))))</f>
        <v>0.025</v>
      </c>
      <c r="D25" s="282"/>
      <c r="E25" s="279">
        <f>C25*C5*C8^2</f>
        <v>1161.25</v>
      </c>
      <c r="F25" s="280"/>
      <c r="G25" s="267">
        <f>G19-(G11/10)</f>
        <v>9.600000000000001</v>
      </c>
      <c r="H25" s="268"/>
      <c r="I25" s="197">
        <v>12</v>
      </c>
      <c r="J25" s="198">
        <f>E25/G25^2</f>
        <v>12.600368923611107</v>
      </c>
      <c r="K25" s="204">
        <f>T11*(1-(1-2*J25/U11)^0.5)</f>
        <v>0.0043385259716446495</v>
      </c>
      <c r="L25" s="198">
        <f>K25*100*G25</f>
        <v>4.164984932778864</v>
      </c>
      <c r="M25" s="226">
        <f>T25</f>
        <v>27</v>
      </c>
      <c r="N25" s="198">
        <f>2*L25/3</f>
        <v>2.776656621852576</v>
      </c>
      <c r="O25" s="227">
        <f>U25</f>
        <v>40</v>
      </c>
      <c r="P25" s="225"/>
      <c r="Q25" s="194"/>
      <c r="R25" s="194"/>
      <c r="S25" s="202"/>
      <c r="T25" s="179">
        <f>IF(C25=0,"None",INT((((22/7)*(I25/10)^2/4/L25)*100)))</f>
        <v>27</v>
      </c>
      <c r="U25" s="222">
        <f>IF(C25=0,"None",INT((((22/7)*(I25/10)^2/4/N25)*100)))</f>
        <v>40</v>
      </c>
      <c r="V25" s="203" t="str">
        <f>IF(I25&lt;12,"RB","DB")</f>
        <v>DB</v>
      </c>
    </row>
    <row r="26" spans="2:22" ht="19.5" customHeight="1">
      <c r="B26" s="196" t="s">
        <v>13</v>
      </c>
      <c r="C26" s="281">
        <f>VLOOKUP(B26,DATA!L6:Q8,IF('2-way'!F9=DATA!M5,2,IF('2-way'!F9=DATA!N5,3,IF('2-way'!F9=DATA!O5,4,IF('2-way'!F9=DATA!P5,5,IF('2-way'!F9=DATA!Q5,6))))))</f>
        <v>0.037</v>
      </c>
      <c r="D26" s="282"/>
      <c r="E26" s="279">
        <f>C26*C5*C8^2</f>
        <v>1718.6499999999999</v>
      </c>
      <c r="F26" s="280"/>
      <c r="G26" s="267">
        <f>G20-(G11/10)</f>
        <v>9.600000000000001</v>
      </c>
      <c r="H26" s="268"/>
      <c r="I26" s="197">
        <v>12</v>
      </c>
      <c r="J26" s="198">
        <f>E26/G26^2</f>
        <v>18.64854600694444</v>
      </c>
      <c r="K26" s="204">
        <f>T11*(1-(1-2*J26/U11)^0.5)</f>
        <v>0.006529688078836092</v>
      </c>
      <c r="L26" s="198">
        <f>K26*100*G26</f>
        <v>6.26850055568265</v>
      </c>
      <c r="M26" s="228">
        <f>T26</f>
        <v>18</v>
      </c>
      <c r="N26" s="198">
        <f>2*L26/3</f>
        <v>4.1790003704551</v>
      </c>
      <c r="O26" s="229">
        <f>U26</f>
        <v>27</v>
      </c>
      <c r="P26" s="225"/>
      <c r="Q26" s="194"/>
      <c r="R26" s="194"/>
      <c r="S26" s="202"/>
      <c r="T26" s="179">
        <f>IF(C26=0,"None",INT((((22/7)*(I26/10)^2/4/L26)*100)))</f>
        <v>18</v>
      </c>
      <c r="U26" s="222">
        <f>IF(C26=0,"None",INT((((22/7)*(I26/10)^2/4/N26)*100)))</f>
        <v>27</v>
      </c>
      <c r="V26" s="203" t="str">
        <f>IF(I26&lt;12,"RB","DB")</f>
        <v>DB</v>
      </c>
    </row>
    <row r="28" spans="2:27" ht="20.25">
      <c r="B28" s="269" t="str">
        <f>T30</f>
        <v>DB 12 @ 35 cm.</v>
      </c>
      <c r="C28" s="269"/>
      <c r="D28" s="269"/>
      <c r="K28" s="238" t="str">
        <f>T28</f>
        <v>DB 12 @ 17 cm.</v>
      </c>
      <c r="L28" s="238"/>
      <c r="M28" s="238"/>
      <c r="T28" s="238" t="str">
        <f>IF(C18=0,"none",""&amp;V18&amp;" "&amp;I18&amp;" "&amp;M17&amp;" "&amp;O18&amp;" cm.")</f>
        <v>DB 12 @ 17 cm.</v>
      </c>
      <c r="U28" s="238"/>
      <c r="V28" s="238"/>
      <c r="Y28" s="269"/>
      <c r="Z28" s="269"/>
      <c r="AA28" s="269"/>
    </row>
    <row r="29" spans="2:27" ht="20.25">
      <c r="B29" s="272" t="str">
        <f>T31</f>
        <v>DB 12 @ 40 cm.</v>
      </c>
      <c r="C29" s="272"/>
      <c r="D29" s="272"/>
      <c r="K29" s="239" t="str">
        <f>T29</f>
        <v>DB 12 @ 20 cm.</v>
      </c>
      <c r="L29" s="239"/>
      <c r="M29" s="239"/>
      <c r="T29" s="239" t="str">
        <f>IF(C24=0,"none",""&amp;V24&amp;" "&amp;I24&amp;" "&amp;M23&amp;" "&amp;O24&amp;" cm.")</f>
        <v>DB 12 @ 20 cm.</v>
      </c>
      <c r="U29" s="239"/>
      <c r="V29" s="239"/>
      <c r="Y29" s="237"/>
      <c r="Z29" s="237"/>
      <c r="AA29" s="237"/>
    </row>
    <row r="30" spans="3:22" ht="20.25"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T30" s="269" t="str">
        <f>IF(C19=0,"none",""&amp;V19&amp;" "&amp;I19&amp;" "&amp;O17&amp;" "&amp;O19&amp;" cm.")</f>
        <v>DB 12 @ 35 cm.</v>
      </c>
      <c r="U30" s="269"/>
      <c r="V30" s="269"/>
    </row>
    <row r="31" spans="2:22" ht="20.25">
      <c r="B31" s="231" t="str">
        <f>(""&amp;C10&amp;" cm.")</f>
        <v>15 cm.</v>
      </c>
      <c r="C31" s="232"/>
      <c r="D31" s="175"/>
      <c r="E31" s="175"/>
      <c r="F31" s="175"/>
      <c r="G31" s="175"/>
      <c r="H31" s="175"/>
      <c r="I31" s="175"/>
      <c r="J31" s="175"/>
      <c r="K31" s="176"/>
      <c r="L31" s="175"/>
      <c r="M31" s="175"/>
      <c r="N31" s="175"/>
      <c r="T31" s="272" t="str">
        <f>IF(C25=0,"none",""&amp;V25&amp;" "&amp;I25&amp;" "&amp;O23&amp;" "&amp;O25&amp;" cm.")</f>
        <v>DB 12 @ 40 cm.</v>
      </c>
      <c r="U31" s="272"/>
      <c r="V31" s="272"/>
    </row>
    <row r="32" spans="3:23" ht="20.25">
      <c r="C32" s="233"/>
      <c r="K32" s="233"/>
      <c r="T32" s="270" t="str">
        <f>IF(C20=0,"none",""&amp;V20&amp;" "&amp;I20&amp;" "&amp;O17&amp;" "&amp;M20&amp;" cm.")</f>
        <v>DB 12 @ 15 cm.</v>
      </c>
      <c r="U32" s="270"/>
      <c r="V32" s="270"/>
      <c r="W32" s="270"/>
    </row>
    <row r="33" spans="3:23" ht="20.25">
      <c r="C33" s="233"/>
      <c r="K33" s="233"/>
      <c r="T33" s="271" t="str">
        <f>IF(C26=0,"none",""&amp;V26&amp;" "&amp;I26&amp;" "&amp;M23&amp;" "&amp;M26&amp;" cm.")</f>
        <v>DB 12 @ 18 cm.</v>
      </c>
      <c r="U33" s="271"/>
      <c r="V33" s="271"/>
      <c r="W33" s="271"/>
    </row>
    <row r="34" spans="2:13" ht="20.25">
      <c r="B34" s="270" t="str">
        <f>T32</f>
        <v>DB 12 @ 15 cm.</v>
      </c>
      <c r="C34" s="270"/>
      <c r="D34" s="270"/>
      <c r="E34" s="270"/>
      <c r="G34" s="234"/>
      <c r="H34" s="234"/>
      <c r="I34" s="234"/>
      <c r="J34" s="271" t="str">
        <f>T33</f>
        <v>DB 12 @ 18 cm.</v>
      </c>
      <c r="K34" s="271"/>
      <c r="L34" s="271"/>
      <c r="M34" s="271"/>
    </row>
    <row r="35" spans="3:14" ht="20.25"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</row>
    <row r="36" spans="3:14" ht="20.25">
      <c r="C36" s="176"/>
      <c r="D36" s="176"/>
      <c r="E36" s="273" t="s">
        <v>38</v>
      </c>
      <c r="F36" s="273"/>
      <c r="G36" s="273"/>
      <c r="H36" s="273"/>
      <c r="I36" s="273"/>
      <c r="J36" s="176"/>
      <c r="K36" s="176"/>
      <c r="L36" s="176"/>
      <c r="M36" s="176"/>
      <c r="N36" s="176"/>
    </row>
    <row r="38" ht="20.25">
      <c r="B38" s="141" t="s">
        <v>41</v>
      </c>
    </row>
    <row r="39" spans="2:10" ht="23.25">
      <c r="B39" s="141" t="s">
        <v>93</v>
      </c>
      <c r="C39" s="235">
        <f>MAX(E26,E20)</f>
        <v>2229.6</v>
      </c>
      <c r="D39" s="141" t="s">
        <v>26</v>
      </c>
      <c r="F39" s="141" t="s">
        <v>94</v>
      </c>
      <c r="H39" s="240">
        <f>MAX(L20,L26)</f>
        <v>7.2381752517349405</v>
      </c>
      <c r="I39" s="240"/>
      <c r="J39" s="141" t="s">
        <v>95</v>
      </c>
    </row>
  </sheetData>
  <sheetProtection/>
  <mergeCells count="50">
    <mergeCell ref="J1:O1"/>
    <mergeCell ref="C2:G2"/>
    <mergeCell ref="C20:D20"/>
    <mergeCell ref="C19:D19"/>
    <mergeCell ref="C18:D18"/>
    <mergeCell ref="E19:F19"/>
    <mergeCell ref="E18:F18"/>
    <mergeCell ref="G18:H18"/>
    <mergeCell ref="B16:O16"/>
    <mergeCell ref="N10:O10"/>
    <mergeCell ref="B29:D29"/>
    <mergeCell ref="K28:M28"/>
    <mergeCell ref="K29:M29"/>
    <mergeCell ref="K2:O2"/>
    <mergeCell ref="N9:O9"/>
    <mergeCell ref="N8:O8"/>
    <mergeCell ref="E11:F11"/>
    <mergeCell ref="G10:H10"/>
    <mergeCell ref="G17:H17"/>
    <mergeCell ref="G19:H19"/>
    <mergeCell ref="E20:F20"/>
    <mergeCell ref="C26:D26"/>
    <mergeCell ref="C25:D25"/>
    <mergeCell ref="C24:D24"/>
    <mergeCell ref="E26:F26"/>
    <mergeCell ref="G25:H25"/>
    <mergeCell ref="G23:H23"/>
    <mergeCell ref="E25:F25"/>
    <mergeCell ref="H39:I39"/>
    <mergeCell ref="T32:W32"/>
    <mergeCell ref="T33:W33"/>
    <mergeCell ref="T30:V30"/>
    <mergeCell ref="T31:V31"/>
    <mergeCell ref="J34:M34"/>
    <mergeCell ref="E36:I36"/>
    <mergeCell ref="B34:E34"/>
    <mergeCell ref="G20:H20"/>
    <mergeCell ref="G26:H26"/>
    <mergeCell ref="Y28:AA28"/>
    <mergeCell ref="Y29:AA29"/>
    <mergeCell ref="T28:V28"/>
    <mergeCell ref="T29:V29"/>
    <mergeCell ref="B22:O22"/>
    <mergeCell ref="E24:F24"/>
    <mergeCell ref="G24:H24"/>
    <mergeCell ref="B28:D28"/>
    <mergeCell ref="A3:P3"/>
    <mergeCell ref="L5:O5"/>
    <mergeCell ref="N6:O6"/>
    <mergeCell ref="N7:O7"/>
  </mergeCells>
  <dataValidations count="2">
    <dataValidation type="list" allowBlank="1" showInputMessage="1" showErrorMessage="1" sqref="G11 I18:I20 I24:I26">
      <formula1>bar</formula1>
    </dataValidation>
    <dataValidation type="list" allowBlank="1" showInputMessage="1" showErrorMessage="1" sqref="F9">
      <formula1>case</formula1>
    </dataValidation>
  </dataValidations>
  <printOptions/>
  <pageMargins left="0.5511811023622047" right="0.5511811023622047" top="0.3937007874015748" bottom="0.3937007874015748" header="0.5118110236220472" footer="0.3149606299212598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R66"/>
  <sheetViews>
    <sheetView zoomScalePageLayoutView="0" workbookViewId="0" topLeftCell="D1">
      <selection activeCell="M19" sqref="M19"/>
    </sheetView>
  </sheetViews>
  <sheetFormatPr defaultColWidth="9.140625" defaultRowHeight="23.25"/>
  <cols>
    <col min="11" max="11" width="5.57421875" style="0" customWidth="1"/>
  </cols>
  <sheetData>
    <row r="2" spans="3:10" ht="23.25">
      <c r="C2" s="2"/>
      <c r="J2" s="2"/>
    </row>
    <row r="3" spans="3:10" ht="23.25">
      <c r="C3" s="2"/>
      <c r="D3" s="293" t="s">
        <v>0</v>
      </c>
      <c r="E3" s="293"/>
      <c r="F3" s="293"/>
      <c r="G3" s="293"/>
      <c r="H3" s="293"/>
      <c r="I3" s="293"/>
      <c r="J3" s="2"/>
    </row>
    <row r="4" spans="3:17" ht="23.25">
      <c r="C4" s="2"/>
      <c r="D4" s="292">
        <v>1</v>
      </c>
      <c r="E4" s="292"/>
      <c r="F4" s="292"/>
      <c r="G4" s="292"/>
      <c r="H4" s="292"/>
      <c r="I4" s="292"/>
      <c r="J4" s="1"/>
      <c r="L4" s="292" t="s">
        <v>1</v>
      </c>
      <c r="M4" s="292"/>
      <c r="N4" s="292"/>
      <c r="O4" s="292"/>
      <c r="P4" s="292"/>
      <c r="Q4" s="292"/>
    </row>
    <row r="5" spans="3:18" ht="23.25">
      <c r="C5" s="2"/>
      <c r="D5" s="18" t="s">
        <v>14</v>
      </c>
      <c r="E5" s="18">
        <v>0</v>
      </c>
      <c r="F5" s="18">
        <v>1</v>
      </c>
      <c r="G5" s="18">
        <v>2</v>
      </c>
      <c r="H5" s="18">
        <v>3</v>
      </c>
      <c r="I5" s="18">
        <v>4</v>
      </c>
      <c r="J5" s="1"/>
      <c r="L5" s="18" t="s">
        <v>14</v>
      </c>
      <c r="M5" s="18">
        <v>0</v>
      </c>
      <c r="N5" s="18">
        <v>1</v>
      </c>
      <c r="O5" s="18">
        <v>2</v>
      </c>
      <c r="P5" s="18">
        <v>3</v>
      </c>
      <c r="Q5" s="18">
        <v>4</v>
      </c>
      <c r="R5" s="1"/>
    </row>
    <row r="6" spans="3:18" ht="23.25">
      <c r="C6" s="2"/>
      <c r="D6" s="18" t="s">
        <v>11</v>
      </c>
      <c r="E6" s="16">
        <v>0</v>
      </c>
      <c r="F6" s="16">
        <v>0.058</v>
      </c>
      <c r="G6" s="16">
        <v>0.049</v>
      </c>
      <c r="H6" s="16">
        <v>0.041</v>
      </c>
      <c r="I6" s="16">
        <v>0.033</v>
      </c>
      <c r="J6" s="1"/>
      <c r="L6" s="18" t="s">
        <v>11</v>
      </c>
      <c r="M6" s="16">
        <v>0</v>
      </c>
      <c r="N6" s="16">
        <v>0.058</v>
      </c>
      <c r="O6" s="16">
        <v>0.049</v>
      </c>
      <c r="P6" s="16">
        <v>0.041</v>
      </c>
      <c r="Q6" s="16">
        <v>0.033</v>
      </c>
      <c r="R6" s="1"/>
    </row>
    <row r="7" spans="3:18" ht="23.25">
      <c r="C7" s="2"/>
      <c r="D7" s="18" t="s">
        <v>12</v>
      </c>
      <c r="E7" s="16">
        <v>0.033</v>
      </c>
      <c r="F7" s="16">
        <v>0.029</v>
      </c>
      <c r="G7" s="16">
        <v>0.025</v>
      </c>
      <c r="H7" s="16">
        <v>0.021</v>
      </c>
      <c r="I7" s="16">
        <v>0</v>
      </c>
      <c r="J7" s="1"/>
      <c r="L7" s="18" t="s">
        <v>12</v>
      </c>
      <c r="M7" s="16">
        <v>0.033</v>
      </c>
      <c r="N7" s="16">
        <v>0.029</v>
      </c>
      <c r="O7" s="16">
        <v>0.025</v>
      </c>
      <c r="P7" s="16">
        <v>0.021</v>
      </c>
      <c r="Q7" s="16">
        <v>0</v>
      </c>
      <c r="R7" s="1"/>
    </row>
    <row r="8" spans="3:18" ht="23.25">
      <c r="C8" s="2"/>
      <c r="D8" s="18" t="s">
        <v>13</v>
      </c>
      <c r="E8" s="16">
        <v>0.05</v>
      </c>
      <c r="F8" s="16">
        <v>0.044</v>
      </c>
      <c r="G8" s="16">
        <v>0.037</v>
      </c>
      <c r="H8" s="16">
        <v>0.031</v>
      </c>
      <c r="I8" s="16">
        <v>0.025</v>
      </c>
      <c r="J8" s="1"/>
      <c r="L8" s="18" t="s">
        <v>13</v>
      </c>
      <c r="M8" s="16">
        <v>0.05</v>
      </c>
      <c r="N8" s="16">
        <v>0.044</v>
      </c>
      <c r="O8" s="16">
        <v>0.037</v>
      </c>
      <c r="P8" s="16">
        <v>0.031</v>
      </c>
      <c r="Q8" s="16">
        <v>0.025</v>
      </c>
      <c r="R8" s="1"/>
    </row>
    <row r="9" spans="3:18" ht="23.25">
      <c r="C9" s="2"/>
      <c r="D9" s="292">
        <v>0.9</v>
      </c>
      <c r="E9" s="292"/>
      <c r="F9" s="292"/>
      <c r="G9" s="292"/>
      <c r="H9" s="292"/>
      <c r="I9" s="292"/>
      <c r="J9" s="1"/>
      <c r="L9" s="22"/>
      <c r="M9" s="22"/>
      <c r="N9" s="22"/>
      <c r="O9" s="22"/>
      <c r="P9" s="22"/>
      <c r="Q9" s="22"/>
      <c r="R9" s="1"/>
    </row>
    <row r="10" spans="3:18" ht="23.25">
      <c r="C10" s="2"/>
      <c r="D10" s="18" t="s">
        <v>14</v>
      </c>
      <c r="E10" s="18">
        <v>0</v>
      </c>
      <c r="F10" s="18">
        <v>1</v>
      </c>
      <c r="G10" s="18">
        <v>2</v>
      </c>
      <c r="H10" s="18">
        <v>3</v>
      </c>
      <c r="I10" s="18">
        <v>4</v>
      </c>
      <c r="J10" s="1"/>
      <c r="L10" s="21"/>
      <c r="M10" s="21" t="s">
        <v>20</v>
      </c>
      <c r="N10" s="21">
        <v>6</v>
      </c>
      <c r="O10" s="21"/>
      <c r="P10" s="21"/>
      <c r="Q10" s="21"/>
      <c r="R10" s="1"/>
    </row>
    <row r="11" spans="3:18" ht="23.25">
      <c r="C11" s="2"/>
      <c r="D11" s="18" t="s">
        <v>11</v>
      </c>
      <c r="E11" s="16">
        <v>0</v>
      </c>
      <c r="F11" s="16">
        <v>0.066</v>
      </c>
      <c r="G11" s="16">
        <v>0.057</v>
      </c>
      <c r="H11" s="16">
        <v>0.048</v>
      </c>
      <c r="I11" s="16">
        <v>0.04</v>
      </c>
      <c r="J11" s="1"/>
      <c r="L11" s="21"/>
      <c r="M11" s="21" t="s">
        <v>21</v>
      </c>
      <c r="N11" s="21">
        <v>9</v>
      </c>
      <c r="O11" s="21"/>
      <c r="P11" s="21"/>
      <c r="Q11" s="21"/>
      <c r="R11" s="1"/>
    </row>
    <row r="12" spans="3:18" ht="23.25">
      <c r="C12" s="2"/>
      <c r="D12" s="18" t="s">
        <v>12</v>
      </c>
      <c r="E12" s="16">
        <v>0.038</v>
      </c>
      <c r="F12" s="16">
        <v>0.033</v>
      </c>
      <c r="G12" s="16">
        <v>0.028</v>
      </c>
      <c r="H12" s="16">
        <v>0.024</v>
      </c>
      <c r="I12" s="16">
        <v>0</v>
      </c>
      <c r="J12" s="1"/>
      <c r="L12" s="21"/>
      <c r="M12" s="21"/>
      <c r="N12" s="21">
        <v>12</v>
      </c>
      <c r="O12" s="21"/>
      <c r="P12" s="21"/>
      <c r="Q12" s="21"/>
      <c r="R12" s="1"/>
    </row>
    <row r="13" spans="3:18" ht="23.25">
      <c r="C13" s="2"/>
      <c r="D13" s="18" t="s">
        <v>13</v>
      </c>
      <c r="E13" s="16">
        <v>0.057</v>
      </c>
      <c r="F13" s="16">
        <v>0.05</v>
      </c>
      <c r="G13" s="16">
        <v>0.043</v>
      </c>
      <c r="H13" s="16">
        <v>0.036</v>
      </c>
      <c r="I13" s="16">
        <v>0.03</v>
      </c>
      <c r="J13" s="1"/>
      <c r="L13" s="21"/>
      <c r="M13" s="21"/>
      <c r="N13" s="21">
        <v>15</v>
      </c>
      <c r="O13" s="21"/>
      <c r="P13" s="21"/>
      <c r="Q13" s="21"/>
      <c r="R13" s="1"/>
    </row>
    <row r="14" spans="3:18" ht="23.25">
      <c r="C14" s="2"/>
      <c r="D14" s="292">
        <v>0.8</v>
      </c>
      <c r="E14" s="292"/>
      <c r="F14" s="292"/>
      <c r="G14" s="292"/>
      <c r="H14" s="292"/>
      <c r="I14" s="292"/>
      <c r="J14" s="1"/>
      <c r="L14" s="1"/>
      <c r="M14" s="1"/>
      <c r="N14" s="1">
        <v>16</v>
      </c>
      <c r="O14" s="1"/>
      <c r="P14" s="1"/>
      <c r="Q14" s="1"/>
      <c r="R14" s="1"/>
    </row>
    <row r="15" spans="3:18" ht="23.25">
      <c r="C15" s="2"/>
      <c r="D15" s="18" t="s">
        <v>14</v>
      </c>
      <c r="E15" s="18">
        <v>0</v>
      </c>
      <c r="F15" s="18">
        <v>1</v>
      </c>
      <c r="G15" s="18">
        <v>2</v>
      </c>
      <c r="H15" s="18">
        <v>3</v>
      </c>
      <c r="I15" s="18">
        <v>4</v>
      </c>
      <c r="J15" s="1"/>
      <c r="L15" s="1"/>
      <c r="M15" s="1"/>
      <c r="N15" s="1">
        <v>19</v>
      </c>
      <c r="O15" s="1"/>
      <c r="P15" s="1"/>
      <c r="Q15" s="1"/>
      <c r="R15" s="1"/>
    </row>
    <row r="16" spans="3:18" ht="23.25">
      <c r="C16" s="2"/>
      <c r="D16" s="18" t="s">
        <v>11</v>
      </c>
      <c r="E16" s="16">
        <v>0</v>
      </c>
      <c r="F16" s="16">
        <v>0.074</v>
      </c>
      <c r="G16" s="16">
        <v>0.064</v>
      </c>
      <c r="H16" s="16">
        <v>0.055</v>
      </c>
      <c r="I16" s="16">
        <v>0.048</v>
      </c>
      <c r="J16" s="1"/>
      <c r="L16" s="1"/>
      <c r="M16" s="1"/>
      <c r="N16" s="1">
        <v>20</v>
      </c>
      <c r="O16" s="1"/>
      <c r="P16" s="1"/>
      <c r="Q16" s="1"/>
      <c r="R16" s="1"/>
    </row>
    <row r="17" spans="3:18" ht="23.25">
      <c r="C17" s="2"/>
      <c r="D17" s="18" t="s">
        <v>12</v>
      </c>
      <c r="E17" s="16">
        <v>0.043</v>
      </c>
      <c r="F17" s="16">
        <v>0.037</v>
      </c>
      <c r="G17" s="16">
        <v>0.032</v>
      </c>
      <c r="H17" s="16">
        <v>0.027</v>
      </c>
      <c r="I17" s="16">
        <v>0</v>
      </c>
      <c r="J17" s="1"/>
      <c r="L17" s="1"/>
      <c r="M17" s="1"/>
      <c r="N17" s="1">
        <v>25</v>
      </c>
      <c r="O17" s="1"/>
      <c r="P17" s="1"/>
      <c r="Q17" s="1"/>
      <c r="R17" s="1"/>
    </row>
    <row r="18" spans="4:14" ht="23.25">
      <c r="D18" s="18" t="s">
        <v>13</v>
      </c>
      <c r="E18" s="16">
        <v>0.064</v>
      </c>
      <c r="F18" s="16">
        <v>0.056</v>
      </c>
      <c r="G18" s="16">
        <v>0.048</v>
      </c>
      <c r="H18" s="16">
        <v>0.041</v>
      </c>
      <c r="I18" s="16">
        <v>0.036</v>
      </c>
      <c r="N18" s="1">
        <v>28</v>
      </c>
    </row>
    <row r="19" spans="4:14" ht="23.25">
      <c r="D19" s="292">
        <v>0.7</v>
      </c>
      <c r="E19" s="292"/>
      <c r="F19" s="292"/>
      <c r="G19" s="292"/>
      <c r="H19" s="292"/>
      <c r="I19" s="292"/>
      <c r="N19" s="1">
        <v>32</v>
      </c>
    </row>
    <row r="20" spans="4:14" ht="23.25">
      <c r="D20" s="18" t="s">
        <v>14</v>
      </c>
      <c r="E20" s="18">
        <v>0</v>
      </c>
      <c r="F20" s="18">
        <v>1</v>
      </c>
      <c r="G20" s="18">
        <v>2</v>
      </c>
      <c r="H20" s="18">
        <v>3</v>
      </c>
      <c r="I20" s="18">
        <v>4</v>
      </c>
      <c r="N20" s="1">
        <v>40</v>
      </c>
    </row>
    <row r="21" spans="4:9" ht="23.25">
      <c r="D21" s="18" t="s">
        <v>11</v>
      </c>
      <c r="E21" s="16">
        <v>0</v>
      </c>
      <c r="F21" s="16">
        <v>0.082</v>
      </c>
      <c r="G21" s="16">
        <v>0.071</v>
      </c>
      <c r="H21" s="16">
        <v>0.062</v>
      </c>
      <c r="I21" s="16">
        <v>0.055</v>
      </c>
    </row>
    <row r="22" spans="4:9" ht="23.25">
      <c r="D22" s="18" t="s">
        <v>12</v>
      </c>
      <c r="E22" s="16">
        <v>0.047</v>
      </c>
      <c r="F22" s="16">
        <v>0.041</v>
      </c>
      <c r="G22" s="16">
        <v>0.036</v>
      </c>
      <c r="H22" s="16">
        <v>0.031</v>
      </c>
      <c r="I22" s="16">
        <v>0</v>
      </c>
    </row>
    <row r="23" spans="4:9" ht="23.25">
      <c r="D23" s="18" t="s">
        <v>13</v>
      </c>
      <c r="E23" s="16">
        <v>0.072</v>
      </c>
      <c r="F23" s="16">
        <v>0.062</v>
      </c>
      <c r="G23" s="16">
        <v>0.054</v>
      </c>
      <c r="H23" s="16">
        <v>0.047</v>
      </c>
      <c r="I23" s="16">
        <v>0.041</v>
      </c>
    </row>
    <row r="24" spans="4:9" ht="23.25">
      <c r="D24" s="292">
        <v>0.6</v>
      </c>
      <c r="E24" s="292"/>
      <c r="F24" s="292"/>
      <c r="G24" s="292"/>
      <c r="H24" s="292"/>
      <c r="I24" s="292"/>
    </row>
    <row r="25" spans="4:9" ht="23.25">
      <c r="D25" s="18" t="s">
        <v>14</v>
      </c>
      <c r="E25" s="18">
        <v>0</v>
      </c>
      <c r="F25" s="18">
        <v>1</v>
      </c>
      <c r="G25" s="18">
        <v>2</v>
      </c>
      <c r="H25" s="18">
        <v>3</v>
      </c>
      <c r="I25" s="18">
        <v>4</v>
      </c>
    </row>
    <row r="26" spans="4:9" ht="23.25">
      <c r="D26" s="18" t="s">
        <v>11</v>
      </c>
      <c r="E26" s="16">
        <v>0</v>
      </c>
      <c r="F26" s="16">
        <v>0.09</v>
      </c>
      <c r="G26" s="16">
        <v>0.078</v>
      </c>
      <c r="H26" s="16">
        <v>0.069</v>
      </c>
      <c r="I26" s="16">
        <v>0.036</v>
      </c>
    </row>
    <row r="27" spans="4:9" ht="23.25">
      <c r="D27" s="18" t="s">
        <v>12</v>
      </c>
      <c r="E27" s="16">
        <v>0.053</v>
      </c>
      <c r="F27" s="16">
        <v>0.045</v>
      </c>
      <c r="G27" s="16">
        <v>0.039</v>
      </c>
      <c r="H27" s="16">
        <v>0.035</v>
      </c>
      <c r="I27" s="16">
        <v>0</v>
      </c>
    </row>
    <row r="28" spans="4:9" ht="23.25">
      <c r="D28" s="18" t="s">
        <v>13</v>
      </c>
      <c r="E28" s="16">
        <v>0.08</v>
      </c>
      <c r="F28" s="16">
        <v>0.068</v>
      </c>
      <c r="G28" s="16">
        <v>0.059</v>
      </c>
      <c r="H28" s="16">
        <v>0.052</v>
      </c>
      <c r="I28" s="16">
        <v>0.047</v>
      </c>
    </row>
    <row r="29" spans="4:9" ht="23.25">
      <c r="D29" s="292">
        <v>0.5</v>
      </c>
      <c r="E29" s="292"/>
      <c r="F29" s="292"/>
      <c r="G29" s="292"/>
      <c r="H29" s="292"/>
      <c r="I29" s="292"/>
    </row>
    <row r="30" spans="4:9" ht="23.25">
      <c r="D30" s="18" t="s">
        <v>14</v>
      </c>
      <c r="E30" s="18">
        <v>0</v>
      </c>
      <c r="F30" s="18">
        <v>1</v>
      </c>
      <c r="G30" s="18">
        <v>2</v>
      </c>
      <c r="H30" s="18">
        <v>3</v>
      </c>
      <c r="I30" s="18">
        <v>4</v>
      </c>
    </row>
    <row r="31" spans="4:9" ht="23.25">
      <c r="D31" s="18" t="s">
        <v>11</v>
      </c>
      <c r="E31" s="16">
        <v>0</v>
      </c>
      <c r="F31" s="16">
        <v>0.058</v>
      </c>
      <c r="G31" s="16">
        <v>0.049</v>
      </c>
      <c r="H31" s="16">
        <v>0.041</v>
      </c>
      <c r="I31" s="16">
        <v>0.033</v>
      </c>
    </row>
    <row r="32" spans="4:9" ht="23.25">
      <c r="D32" s="18" t="s">
        <v>12</v>
      </c>
      <c r="E32" s="16">
        <v>0.033</v>
      </c>
      <c r="F32" s="16">
        <v>0.029</v>
      </c>
      <c r="G32" s="16">
        <v>0.025</v>
      </c>
      <c r="H32" s="16">
        <v>0.021</v>
      </c>
      <c r="I32" s="16">
        <v>0</v>
      </c>
    </row>
    <row r="33" spans="4:9" ht="23.25">
      <c r="D33" s="18" t="s">
        <v>13</v>
      </c>
      <c r="E33" s="16">
        <v>0.05</v>
      </c>
      <c r="F33" s="16">
        <v>0.044</v>
      </c>
      <c r="G33" s="16">
        <v>0.037</v>
      </c>
      <c r="H33" s="16">
        <v>0.031</v>
      </c>
      <c r="I33" s="16">
        <v>0.025</v>
      </c>
    </row>
    <row r="37" spans="2:9" ht="23.25">
      <c r="B37" s="16" t="s">
        <v>14</v>
      </c>
      <c r="C37" s="18"/>
      <c r="D37" s="18">
        <v>1</v>
      </c>
      <c r="E37" s="18">
        <v>0.9</v>
      </c>
      <c r="F37" s="18">
        <v>0.8</v>
      </c>
      <c r="G37" s="18">
        <v>0.7</v>
      </c>
      <c r="H37" s="18">
        <v>0.6</v>
      </c>
      <c r="I37" s="18">
        <v>0.5</v>
      </c>
    </row>
    <row r="38" spans="2:9" ht="23.25">
      <c r="B38" s="291">
        <v>0</v>
      </c>
      <c r="C38" s="18" t="s">
        <v>11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</row>
    <row r="39" spans="2:9" ht="23.25">
      <c r="B39" s="291"/>
      <c r="C39" s="18" t="s">
        <v>12</v>
      </c>
      <c r="D39" s="17">
        <v>0.033</v>
      </c>
      <c r="E39" s="17">
        <v>0.038</v>
      </c>
      <c r="F39" s="17">
        <v>0.043</v>
      </c>
      <c r="G39" s="17">
        <v>0.047</v>
      </c>
      <c r="H39" s="17">
        <v>0.053</v>
      </c>
      <c r="I39" s="17">
        <v>0.055</v>
      </c>
    </row>
    <row r="40" spans="2:9" ht="23.25">
      <c r="B40" s="291"/>
      <c r="C40" s="18" t="s">
        <v>13</v>
      </c>
      <c r="D40" s="17">
        <v>0.05</v>
      </c>
      <c r="E40" s="17">
        <v>0.057</v>
      </c>
      <c r="F40" s="17">
        <v>0.064</v>
      </c>
      <c r="G40" s="17">
        <v>0.072</v>
      </c>
      <c r="H40" s="17">
        <v>0.08</v>
      </c>
      <c r="I40" s="17">
        <v>0.083</v>
      </c>
    </row>
    <row r="41" spans="2:9" ht="23.25">
      <c r="B41" s="291">
        <v>1</v>
      </c>
      <c r="C41" s="18" t="s">
        <v>11</v>
      </c>
      <c r="D41" s="17">
        <v>0.058</v>
      </c>
      <c r="E41" s="17">
        <v>0.066</v>
      </c>
      <c r="F41" s="17">
        <v>0.074</v>
      </c>
      <c r="G41" s="17">
        <v>0.082</v>
      </c>
      <c r="H41" s="17">
        <v>0.09</v>
      </c>
      <c r="I41" s="17">
        <v>0.098</v>
      </c>
    </row>
    <row r="42" spans="2:9" ht="23.25">
      <c r="B42" s="291"/>
      <c r="C42" s="18" t="s">
        <v>12</v>
      </c>
      <c r="D42" s="17">
        <v>0.029</v>
      </c>
      <c r="E42" s="17">
        <v>0.033</v>
      </c>
      <c r="F42" s="17">
        <v>0.037</v>
      </c>
      <c r="G42" s="17">
        <v>0.041</v>
      </c>
      <c r="H42" s="17">
        <v>0.045</v>
      </c>
      <c r="I42" s="17">
        <v>0.049</v>
      </c>
    </row>
    <row r="43" spans="2:9" ht="23.25">
      <c r="B43" s="291"/>
      <c r="C43" s="18" t="s">
        <v>13</v>
      </c>
      <c r="D43" s="17">
        <v>0.044</v>
      </c>
      <c r="E43" s="17">
        <v>0.05</v>
      </c>
      <c r="F43" s="17">
        <v>0.056</v>
      </c>
      <c r="G43" s="17">
        <v>0.062</v>
      </c>
      <c r="H43" s="17">
        <v>0.068</v>
      </c>
      <c r="I43" s="17">
        <v>0.074</v>
      </c>
    </row>
    <row r="44" spans="2:9" ht="23.25">
      <c r="B44" s="291">
        <v>2</v>
      </c>
      <c r="C44" s="18" t="s">
        <v>11</v>
      </c>
      <c r="D44" s="17">
        <v>0.037</v>
      </c>
      <c r="E44" s="17">
        <v>0.057</v>
      </c>
      <c r="F44" s="17">
        <v>0.064</v>
      </c>
      <c r="G44" s="17">
        <v>0.071</v>
      </c>
      <c r="H44" s="17">
        <v>0.078</v>
      </c>
      <c r="I44" s="17">
        <v>0.09</v>
      </c>
    </row>
    <row r="45" spans="2:9" ht="23.25">
      <c r="B45" s="291"/>
      <c r="C45" s="18" t="s">
        <v>12</v>
      </c>
      <c r="D45" s="17">
        <v>0.025</v>
      </c>
      <c r="E45" s="17">
        <v>0.028</v>
      </c>
      <c r="F45" s="17">
        <v>0.032</v>
      </c>
      <c r="G45" s="17">
        <v>0.036</v>
      </c>
      <c r="H45" s="17">
        <v>0.039</v>
      </c>
      <c r="I45" s="17">
        <v>0.045</v>
      </c>
    </row>
    <row r="46" spans="2:9" ht="23.25">
      <c r="B46" s="291"/>
      <c r="C46" s="18" t="s">
        <v>13</v>
      </c>
      <c r="D46" s="17">
        <v>0.049</v>
      </c>
      <c r="E46" s="17">
        <v>0.043</v>
      </c>
      <c r="F46" s="17">
        <v>0.048</v>
      </c>
      <c r="G46" s="17">
        <v>0.054</v>
      </c>
      <c r="H46" s="17">
        <v>0.059</v>
      </c>
      <c r="I46" s="17">
        <v>0.068</v>
      </c>
    </row>
    <row r="47" spans="2:9" ht="23.25">
      <c r="B47" s="291">
        <v>3</v>
      </c>
      <c r="C47" s="18" t="s">
        <v>11</v>
      </c>
      <c r="D47" s="17">
        <v>0.041</v>
      </c>
      <c r="E47" s="17">
        <v>0.048</v>
      </c>
      <c r="F47" s="17">
        <v>0.062</v>
      </c>
      <c r="G47" s="17">
        <v>0.062</v>
      </c>
      <c r="H47" s="17">
        <v>0.069</v>
      </c>
      <c r="I47" s="17">
        <v>0.085</v>
      </c>
    </row>
    <row r="48" spans="2:9" ht="23.25">
      <c r="B48" s="291"/>
      <c r="C48" s="18" t="s">
        <v>12</v>
      </c>
      <c r="D48" s="17">
        <v>0.021</v>
      </c>
      <c r="E48" s="17">
        <v>0.024</v>
      </c>
      <c r="F48" s="17">
        <v>0.027</v>
      </c>
      <c r="G48" s="17">
        <v>0.31</v>
      </c>
      <c r="H48" s="17">
        <v>0.035</v>
      </c>
      <c r="I48" s="17">
        <v>0.042</v>
      </c>
    </row>
    <row r="49" spans="2:9" ht="23.25">
      <c r="B49" s="291"/>
      <c r="C49" s="18" t="s">
        <v>13</v>
      </c>
      <c r="D49" s="17">
        <v>0.031</v>
      </c>
      <c r="E49" s="17">
        <v>0.036</v>
      </c>
      <c r="F49" s="17">
        <v>0.041</v>
      </c>
      <c r="G49" s="17">
        <v>0.047</v>
      </c>
      <c r="H49" s="17">
        <v>0.052</v>
      </c>
      <c r="I49" s="17">
        <v>0.064</v>
      </c>
    </row>
    <row r="50" spans="2:9" ht="23.25">
      <c r="B50" s="291">
        <v>4</v>
      </c>
      <c r="C50" s="18" t="s">
        <v>11</v>
      </c>
      <c r="D50" s="17">
        <v>0.033</v>
      </c>
      <c r="E50" s="17">
        <v>0.04</v>
      </c>
      <c r="F50" s="17">
        <v>0.048</v>
      </c>
      <c r="G50" s="17">
        <v>0.063</v>
      </c>
      <c r="H50" s="17">
        <v>0.063</v>
      </c>
      <c r="I50" s="17">
        <v>0.083</v>
      </c>
    </row>
    <row r="51" spans="2:9" ht="23.25">
      <c r="B51" s="291"/>
      <c r="C51" s="18" t="s">
        <v>12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2:9" ht="23.25">
      <c r="B52" s="291"/>
      <c r="C52" s="18" t="s">
        <v>13</v>
      </c>
      <c r="D52" s="17">
        <v>0.025</v>
      </c>
      <c r="E52" s="17">
        <v>0.03</v>
      </c>
      <c r="F52" s="17">
        <v>0.036</v>
      </c>
      <c r="G52" s="17">
        <v>0.047</v>
      </c>
      <c r="H52" s="17">
        <v>0.047</v>
      </c>
      <c r="I52" s="17">
        <v>0.062</v>
      </c>
    </row>
    <row r="54" spans="2:9" ht="23.25">
      <c r="B54" s="16" t="s">
        <v>14</v>
      </c>
      <c r="C54" s="18"/>
      <c r="D54" s="18">
        <v>1</v>
      </c>
      <c r="E54" s="18">
        <v>0.9</v>
      </c>
      <c r="F54" s="18">
        <v>0.8</v>
      </c>
      <c r="G54" s="18">
        <v>0.7</v>
      </c>
      <c r="H54" s="18">
        <v>0.6</v>
      </c>
      <c r="I54" s="18">
        <v>0.5</v>
      </c>
    </row>
    <row r="55" spans="2:9" ht="23.25">
      <c r="B55" s="16">
        <v>0</v>
      </c>
      <c r="C55" s="18" t="s">
        <v>12</v>
      </c>
      <c r="D55" s="17">
        <v>0.033</v>
      </c>
      <c r="E55" s="17">
        <v>0.038</v>
      </c>
      <c r="F55" s="17">
        <v>0.043</v>
      </c>
      <c r="G55" s="17">
        <v>0.047</v>
      </c>
      <c r="H55" s="17">
        <v>0.053</v>
      </c>
      <c r="I55" s="17">
        <v>0.055</v>
      </c>
    </row>
    <row r="56" spans="2:9" ht="23.25">
      <c r="B56" s="16">
        <v>1</v>
      </c>
      <c r="C56" s="18" t="s">
        <v>12</v>
      </c>
      <c r="D56" s="17">
        <v>0.029</v>
      </c>
      <c r="E56" s="17">
        <v>0.033</v>
      </c>
      <c r="F56" s="17">
        <v>0.037</v>
      </c>
      <c r="G56" s="17">
        <v>0.041</v>
      </c>
      <c r="H56" s="17">
        <v>0.045</v>
      </c>
      <c r="I56" s="17">
        <v>0.049</v>
      </c>
    </row>
    <row r="57" spans="2:9" ht="23.25">
      <c r="B57" s="16">
        <v>2</v>
      </c>
      <c r="C57" s="18" t="s">
        <v>12</v>
      </c>
      <c r="D57" s="17">
        <v>0.025</v>
      </c>
      <c r="E57" s="17">
        <v>0.028</v>
      </c>
      <c r="F57" s="17">
        <v>0.032</v>
      </c>
      <c r="G57" s="17">
        <v>0.036</v>
      </c>
      <c r="H57" s="17">
        <v>0.039</v>
      </c>
      <c r="I57" s="17">
        <v>0.045</v>
      </c>
    </row>
    <row r="58" spans="2:9" ht="23.25">
      <c r="B58" s="16">
        <v>3</v>
      </c>
      <c r="C58" s="18" t="s">
        <v>12</v>
      </c>
      <c r="D58" s="17">
        <v>0.021</v>
      </c>
      <c r="E58" s="17">
        <v>0.024</v>
      </c>
      <c r="F58" s="17">
        <v>0.027</v>
      </c>
      <c r="G58" s="17">
        <v>0.31</v>
      </c>
      <c r="H58" s="17">
        <v>0.035</v>
      </c>
      <c r="I58" s="17">
        <v>0.042</v>
      </c>
    </row>
    <row r="59" spans="2:9" ht="23.25">
      <c r="B59" s="16">
        <v>4</v>
      </c>
      <c r="C59" s="18" t="s">
        <v>12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</row>
    <row r="61" spans="2:9" ht="23.25">
      <c r="B61" s="16" t="s">
        <v>14</v>
      </c>
      <c r="C61" s="18"/>
      <c r="D61" s="18">
        <v>1</v>
      </c>
      <c r="E61" s="18">
        <v>0.9</v>
      </c>
      <c r="F61" s="18">
        <v>0.8</v>
      </c>
      <c r="G61" s="18">
        <v>0.7</v>
      </c>
      <c r="H61" s="18">
        <v>0.6</v>
      </c>
      <c r="I61" s="18">
        <v>0.5</v>
      </c>
    </row>
    <row r="62" spans="2:9" ht="23.25">
      <c r="B62" s="16">
        <v>0</v>
      </c>
      <c r="C62" s="18" t="s">
        <v>13</v>
      </c>
      <c r="D62" s="17">
        <v>0.05</v>
      </c>
      <c r="E62" s="17">
        <v>0.057</v>
      </c>
      <c r="F62" s="17">
        <v>0.064</v>
      </c>
      <c r="G62" s="17">
        <v>0.072</v>
      </c>
      <c r="H62" s="17">
        <v>0.08</v>
      </c>
      <c r="I62" s="17">
        <v>0.083</v>
      </c>
    </row>
    <row r="63" spans="2:9" ht="23.25">
      <c r="B63" s="16">
        <v>1</v>
      </c>
      <c r="C63" s="18" t="s">
        <v>13</v>
      </c>
      <c r="D63" s="17">
        <v>0.044</v>
      </c>
      <c r="E63" s="17">
        <v>0.05</v>
      </c>
      <c r="F63" s="17">
        <v>0.056</v>
      </c>
      <c r="G63" s="17">
        <v>0.062</v>
      </c>
      <c r="H63" s="17">
        <v>0.068</v>
      </c>
      <c r="I63" s="17">
        <v>0.074</v>
      </c>
    </row>
    <row r="64" spans="2:9" ht="23.25">
      <c r="B64" s="16">
        <v>2</v>
      </c>
      <c r="C64" s="18" t="s">
        <v>13</v>
      </c>
      <c r="D64" s="17">
        <v>0.049</v>
      </c>
      <c r="E64" s="17">
        <v>0.043</v>
      </c>
      <c r="F64" s="17">
        <v>0.048</v>
      </c>
      <c r="G64" s="17">
        <v>0.054</v>
      </c>
      <c r="H64" s="17">
        <v>0.059</v>
      </c>
      <c r="I64" s="17">
        <v>0.068</v>
      </c>
    </row>
    <row r="65" spans="2:9" ht="23.25">
      <c r="B65" s="16">
        <v>3</v>
      </c>
      <c r="C65" s="18" t="s">
        <v>13</v>
      </c>
      <c r="D65" s="17">
        <v>0.031</v>
      </c>
      <c r="E65" s="17">
        <v>0.036</v>
      </c>
      <c r="F65" s="17">
        <v>0.041</v>
      </c>
      <c r="G65" s="17">
        <v>0.047</v>
      </c>
      <c r="H65" s="17">
        <v>0.052</v>
      </c>
      <c r="I65" s="17">
        <v>0.064</v>
      </c>
    </row>
    <row r="66" spans="2:9" ht="23.25">
      <c r="B66" s="16">
        <v>4</v>
      </c>
      <c r="C66" s="18" t="s">
        <v>13</v>
      </c>
      <c r="D66" s="17">
        <v>0.025</v>
      </c>
      <c r="E66" s="17">
        <v>0.03</v>
      </c>
      <c r="F66" s="17">
        <v>0.036</v>
      </c>
      <c r="G66" s="17">
        <v>0.047</v>
      </c>
      <c r="H66" s="17">
        <v>0.047</v>
      </c>
      <c r="I66" s="17">
        <v>0.062</v>
      </c>
    </row>
  </sheetData>
  <sheetProtection/>
  <mergeCells count="13">
    <mergeCell ref="D3:I3"/>
    <mergeCell ref="L4:Q4"/>
    <mergeCell ref="D4:I4"/>
    <mergeCell ref="D9:I9"/>
    <mergeCell ref="B41:B43"/>
    <mergeCell ref="B44:B46"/>
    <mergeCell ref="B47:B49"/>
    <mergeCell ref="B50:B52"/>
    <mergeCell ref="B38:B40"/>
    <mergeCell ref="D14:I14"/>
    <mergeCell ref="D19:I19"/>
    <mergeCell ref="D24:I24"/>
    <mergeCell ref="D29:I2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F6"/>
  <sheetViews>
    <sheetView zoomScalePageLayoutView="0" workbookViewId="0" topLeftCell="A1">
      <selection activeCell="C6" sqref="C6:F6"/>
    </sheetView>
  </sheetViews>
  <sheetFormatPr defaultColWidth="9.140625" defaultRowHeight="23.25"/>
  <sheetData>
    <row r="4" spans="2:6" ht="23.25">
      <c r="B4" s="120" t="s">
        <v>58</v>
      </c>
      <c r="C4" s="294" t="s">
        <v>83</v>
      </c>
      <c r="D4" s="294"/>
      <c r="E4" s="294"/>
      <c r="F4" s="294"/>
    </row>
    <row r="5" spans="2:6" ht="23.25">
      <c r="B5" s="120" t="s">
        <v>59</v>
      </c>
      <c r="C5" s="294" t="s">
        <v>61</v>
      </c>
      <c r="D5" s="294"/>
      <c r="E5" s="294"/>
      <c r="F5" s="294"/>
    </row>
    <row r="6" spans="2:6" ht="23.25">
      <c r="B6" s="120" t="s">
        <v>60</v>
      </c>
      <c r="C6" s="295" t="s">
        <v>62</v>
      </c>
      <c r="D6" s="295"/>
      <c r="E6" s="295"/>
      <c r="F6" s="295"/>
    </row>
  </sheetData>
  <sheetProtection/>
  <mergeCells count="3">
    <mergeCell ref="C4:F4"/>
    <mergeCell ref="C5:F5"/>
    <mergeCell ref="C6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tatchai</dc:creator>
  <cp:keywords/>
  <dc:description/>
  <cp:lastModifiedBy>ideapad</cp:lastModifiedBy>
  <cp:lastPrinted>2009-10-11T05:59:07Z</cp:lastPrinted>
  <dcterms:created xsi:type="dcterms:W3CDTF">2008-11-21T01:24:37Z</dcterms:created>
  <dcterms:modified xsi:type="dcterms:W3CDTF">2009-10-11T05:59:12Z</dcterms:modified>
  <cp:category/>
  <cp:version/>
  <cp:contentType/>
  <cp:contentStatus/>
</cp:coreProperties>
</file>