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521" windowWidth="10590" windowHeight="11640" tabRatio="814" activeTab="1"/>
  </bookViews>
  <sheets>
    <sheet name="Cover" sheetId="1" r:id="rId1"/>
    <sheet name="Purlin" sheetId="2" r:id="rId2"/>
    <sheet name="Rafter1" sheetId="3" r:id="rId3"/>
    <sheet name="Rafter 2" sheetId="4" r:id="rId4"/>
    <sheet name="Stud Beam" sheetId="5" r:id="rId5"/>
    <sheet name="Steel Beam" sheetId="6" r:id="rId6"/>
    <sheet name="Steel Table" sheetId="7" r:id="rId7"/>
  </sheets>
  <definedNames>
    <definedName name="Cosθ" localSheetId="3">'Rafter 2'!$CB$16</definedName>
    <definedName name="Cosθ" localSheetId="2">'Rafter1'!$CB$16</definedName>
    <definedName name="Cosθ" localSheetId="4">'Stud Beam'!$CB$16</definedName>
    <definedName name="Cosθ">'Purlin'!$CB$16</definedName>
    <definedName name="Fb" localSheetId="3">'Rafter 2'!$N$10</definedName>
    <definedName name="Fb" localSheetId="2">'Rafter1'!$N$10</definedName>
    <definedName name="Fb" localSheetId="4">'Stud Beam'!$N$10</definedName>
    <definedName name="Fb">'Purlin'!$N$10</definedName>
    <definedName name="fy" localSheetId="3">'Rafter 2'!$N$9</definedName>
    <definedName name="fy" localSheetId="2">'Rafter1'!$N$9</definedName>
    <definedName name="fy" localSheetId="4">'Stud Beam'!$N$9</definedName>
    <definedName name="fy">'Purlin'!$N$9</definedName>
    <definedName name="Ix" localSheetId="3">'Rafter 2'!$CB$23</definedName>
    <definedName name="Ix" localSheetId="2">'Rafter1'!$CB$23</definedName>
    <definedName name="Ix" localSheetId="4">'Stud Beam'!$CB$23</definedName>
    <definedName name="Ix">'Purlin'!$CB$23</definedName>
    <definedName name="Iy" localSheetId="3">'Rafter 2'!$CB$24</definedName>
    <definedName name="Iy" localSheetId="2">'Rafter1'!$CB$24</definedName>
    <definedName name="Iy" localSheetId="4">'Stud Beam'!$CB$24</definedName>
    <definedName name="Iy">'Purlin'!$CB$24</definedName>
    <definedName name="L" localSheetId="3">'Rafter 2'!$N$52</definedName>
    <definedName name="L" localSheetId="2">'Rafter1'!$N$52</definedName>
    <definedName name="L" localSheetId="4">'Stud Beam'!#REF!</definedName>
    <definedName name="L">'Purlin'!$N$26</definedName>
    <definedName name="LL" localSheetId="3">'Rafter 2'!$N$14</definedName>
    <definedName name="LL" localSheetId="2">'Rafter1'!$N$14</definedName>
    <definedName name="LL" localSheetId="4">'Stud Beam'!$N$16</definedName>
    <definedName name="LL">'Purlin'!$N$14</definedName>
    <definedName name="Mmax" localSheetId="3">'Rafter 2'!$CB$20</definedName>
    <definedName name="Mmax" localSheetId="2">'Rafter1'!$CB$20</definedName>
    <definedName name="Mmax" localSheetId="4">'Stud Beam'!$CB$20</definedName>
    <definedName name="Mmax">'Purlin'!$CB$20</definedName>
    <definedName name="Mx" localSheetId="3">'Rafter 2'!$N$55</definedName>
    <definedName name="Mx" localSheetId="2">'Rafter1'!$N$55</definedName>
    <definedName name="Mx" localSheetId="4">'Stud Beam'!#REF!</definedName>
    <definedName name="Mx">'Purlin'!$N$29</definedName>
    <definedName name="My" localSheetId="3">'Rafter 2'!$N$56</definedName>
    <definedName name="My" localSheetId="2">'Rafter1'!$N$56</definedName>
    <definedName name="My" localSheetId="4">'Stud Beam'!#REF!</definedName>
    <definedName name="My">'Purlin'!$N$30</definedName>
    <definedName name="P" localSheetId="3">'Rafter 2'!$N$17</definedName>
    <definedName name="P" localSheetId="2">'Rafter1'!$N$17</definedName>
    <definedName name="P" localSheetId="4">'Stud Beam'!$N$19</definedName>
    <definedName name="P">'Purlin'!$N$17</definedName>
    <definedName name="_xlnm.Print_Area" localSheetId="0">'Cover'!$A$1:$N$34</definedName>
    <definedName name="_xlnm.Print_Area" localSheetId="1">'Purlin'!$A$1:$AB$50</definedName>
    <definedName name="_xlnm.Print_Area" localSheetId="3">'Rafter 2'!$A$1:$AB$50</definedName>
    <definedName name="_xlnm.Print_Area" localSheetId="2">'Rafter1'!$A$1:$AB$50</definedName>
    <definedName name="_xlnm.Print_Area" localSheetId="5">'Steel Beam'!$A$1:$AB$52</definedName>
    <definedName name="_xlnm.Print_Area" localSheetId="4">'Stud Beam'!$A$1:$AB$50</definedName>
    <definedName name="Sinθ" localSheetId="3">'Rafter 2'!$CB$13</definedName>
    <definedName name="Sinθ" localSheetId="2">'Rafter1'!$CB$13</definedName>
    <definedName name="Sinθ" localSheetId="4">'Stud Beam'!$CB$13</definedName>
    <definedName name="Sinθ">'Purlin'!$CB$13</definedName>
    <definedName name="sx" localSheetId="3">'Rafter 2'!$CB$25</definedName>
    <definedName name="sx" localSheetId="2">'Rafter1'!$CB$25</definedName>
    <definedName name="sx" localSheetId="4">'Stud Beam'!$CB$25</definedName>
    <definedName name="sx">'Purlin'!$CB$25</definedName>
    <definedName name="Sy" localSheetId="3">'Rafter 2'!$CB$26</definedName>
    <definedName name="Sy" localSheetId="2">'Rafter1'!$CB$26</definedName>
    <definedName name="Sy" localSheetId="4">'Stud Beam'!$CB$26</definedName>
    <definedName name="Sy">'Purlin'!$CB$26</definedName>
    <definedName name="W" localSheetId="3">'Rafter 2'!$N$24</definedName>
    <definedName name="W" localSheetId="2">'Rafter1'!$N$24</definedName>
    <definedName name="W" localSheetId="4">'Stud Beam'!#REF!</definedName>
    <definedName name="W">'Purlin'!$N$23</definedName>
    <definedName name="Wo" localSheetId="3">'Rafter 2'!$CB$15</definedName>
    <definedName name="Wo" localSheetId="2">'Rafter1'!$CB$15</definedName>
    <definedName name="Wo" localSheetId="4">'Stud Beam'!$CB$15</definedName>
    <definedName name="Wo">'Purlin'!$CB$15</definedName>
    <definedName name="Wx" localSheetId="3">'Rafter 2'!$N$53</definedName>
    <definedName name="Wx" localSheetId="2">'Rafter1'!$N$53</definedName>
    <definedName name="Wx" localSheetId="4">'Stud Beam'!#REF!</definedName>
    <definedName name="Wx">'Purlin'!$N$27</definedName>
    <definedName name="Wy" localSheetId="3">'Rafter 2'!$N$54</definedName>
    <definedName name="Wy" localSheetId="2">'Rafter1'!$N$54</definedName>
    <definedName name="Wy" localSheetId="4">'Stud Beam'!#REF!</definedName>
    <definedName name="Wy">'Purlin'!$N$28</definedName>
    <definedName name="X" localSheetId="3">'Rafter 2'!$X$14</definedName>
    <definedName name="X" localSheetId="2">'Rafter1'!$X$14</definedName>
    <definedName name="X" localSheetId="4">'Stud Beam'!$X$15</definedName>
    <definedName name="X">'Purlin'!$X$14</definedName>
    <definedName name="Y" localSheetId="3">'Rafter 2'!$X$15</definedName>
    <definedName name="Y" localSheetId="2">'Rafter1'!$X$15</definedName>
    <definedName name="Y" localSheetId="4">'Stud Beam'!$X$16</definedName>
    <definedName name="Y">'Purlin'!$X$15</definedName>
    <definedName name="Z_F8B6E384_DA78_4E66_BE93_85AD65B250CC_.wvu.PrintArea" localSheetId="0" hidden="1">'Cover'!$A$1:$N$34</definedName>
    <definedName name="θ" localSheetId="3">'Rafter 2'!$N$16</definedName>
    <definedName name="θ" localSheetId="2">'Rafter1'!$N$16</definedName>
    <definedName name="θ" localSheetId="4">'Stud Beam'!#REF!</definedName>
    <definedName name="θ">'Purlin'!$N$16</definedName>
  </definedNames>
  <calcPr fullCalcOnLoad="1"/>
</workbook>
</file>

<file path=xl/comments2.xml><?xml version="1.0" encoding="utf-8"?>
<comments xmlns="http://schemas.openxmlformats.org/spreadsheetml/2006/main">
  <authors>
    <author>TOM</author>
  </authors>
  <commentList>
    <comment ref="N15" authorId="0">
      <text>
        <r>
          <rPr>
            <b/>
            <sz val="8"/>
            <rFont val="Tahoma"/>
            <family val="2"/>
          </rPr>
          <t>น้ำหนักวัสดุมุงหลังคา</t>
        </r>
        <r>
          <rPr>
            <sz val="8"/>
            <rFont val="Tahoma"/>
            <family val="0"/>
          </rPr>
          <t xml:space="preserve">
1.สังกะสี                              =  5  kg./sqm.
2.Metal Sheet                     =   5 kg./sqm.
3.กระเบื้องลูกฟูกลอนเล็ก    =  12 kg./sqm.
4.กระเบื้องราง                     =  12 kg./sqm.
5.กระเบื้องลอนคู่                 =  14 kg./sqm.
6.กระเบื้องลูกฟูกลอตใหญ่   =  17 kg./sqm.
7.กระเบื้องซีแพคโมเนีย       =  50 kg./sqm. 
</t>
        </r>
      </text>
    </comment>
    <comment ref="N17" authorId="0">
      <text>
        <r>
          <rPr>
            <b/>
            <sz val="8"/>
            <rFont val="Tahoma"/>
            <family val="2"/>
          </rPr>
          <t>แรงลมตามเทศบัญญัติ :</t>
        </r>
        <r>
          <rPr>
            <sz val="8"/>
            <rFont val="Tahoma"/>
            <family val="0"/>
          </rPr>
          <t xml:space="preserve">
1. ความสูงของอาคาร  1-10  ม.   =  50  kg./sq.m.
2. ความสูงของอาคาร 10-20 ม.   =  80  kg./sq.m.
3. ความสูงของอาคาร 20-40 ม.   = 120 kg./sq.m.
4. ความสูงของอาคาร   &gt;40  ม.   = 160 kg./sq.m.</t>
        </r>
      </text>
    </comment>
  </commentList>
</comments>
</file>

<file path=xl/comments3.xml><?xml version="1.0" encoding="utf-8"?>
<comments xmlns="http://schemas.openxmlformats.org/spreadsheetml/2006/main">
  <authors>
    <author>TOM</author>
  </authors>
  <commentList>
    <comment ref="N15" authorId="0">
      <text>
        <r>
          <rPr>
            <b/>
            <sz val="8"/>
            <rFont val="Tahoma"/>
            <family val="2"/>
          </rPr>
          <t>น้ำหนักวัสดุมุงหลังคา</t>
        </r>
        <r>
          <rPr>
            <sz val="8"/>
            <rFont val="Tahoma"/>
            <family val="0"/>
          </rPr>
          <t xml:space="preserve">
1.สังกะสี                              =  5  kg./sqm.
2.Metal Sheet                     =   5-17 kg./sqm.
3.กระเบื้องลูกฟูกลอนเล็ก    =  12 kg./sqm.
4.กระเบื้องราง                     =  12 kg./sqm.
5.กระเบื้องลอนคู่                 =  14 kg./sqm.
6.กระเบื้องลูกฟูกลอตใหญ่   =  17 kg./sqm.
7.กระเบื้องซีแพคโมเนีย       =  50 kg./sqm. 
</t>
        </r>
      </text>
    </comment>
    <comment ref="N17" authorId="0">
      <text>
        <r>
          <rPr>
            <b/>
            <sz val="8"/>
            <rFont val="Tahoma"/>
            <family val="2"/>
          </rPr>
          <t>แรงลมตามเทศบัญญัติ :</t>
        </r>
        <r>
          <rPr>
            <sz val="8"/>
            <rFont val="Tahoma"/>
            <family val="0"/>
          </rPr>
          <t xml:space="preserve">
1. ความสูงของอาคาร  1-10  ม.   =  50  kg./sq.m.
2. ความสูงของอาคาร 10-20 ม.   =  80  kg./sq.m.
3. ความสูงของอาคาร 20-40 ม.   = 120 kg./sq.m.
4. ความสูงของอาคาร   &gt;40  ม.   = 160 kg./sq.m.</t>
        </r>
      </text>
    </comment>
  </commentList>
</comments>
</file>

<file path=xl/comments4.xml><?xml version="1.0" encoding="utf-8"?>
<comments xmlns="http://schemas.openxmlformats.org/spreadsheetml/2006/main">
  <authors>
    <author>TOM</author>
  </authors>
  <commentList>
    <comment ref="N15" authorId="0">
      <text>
        <r>
          <rPr>
            <b/>
            <sz val="8"/>
            <rFont val="Tahoma"/>
            <family val="2"/>
          </rPr>
          <t>น้ำหนักวัสดุมุงหลังคา</t>
        </r>
        <r>
          <rPr>
            <sz val="8"/>
            <rFont val="Tahoma"/>
            <family val="0"/>
          </rPr>
          <t xml:space="preserve">
1.สังกะสี                              =  5  kg./sqm.
2.Metal Sheet                     =   5-17 kg./sqm.
3.กระเบื้องลูกฟูกลอนเล็ก    =  12 kg./sqm.
4.กระเบื้องราง                     =  12 kg./sqm.
5.กระเบื้องลอนคู่                 =  14 kg./sqm.
6.กระเบื้องลูกฟูกลอตใหญ่   =  17 kg./sqm.
7.กระเบื้องซีแพคโมเนีย       =  50 kg./sqm. 
</t>
        </r>
      </text>
    </comment>
    <comment ref="N17" authorId="0">
      <text>
        <r>
          <rPr>
            <b/>
            <sz val="8"/>
            <rFont val="Tahoma"/>
            <family val="2"/>
          </rPr>
          <t>แรงลมตามเทศบัญญัติ :</t>
        </r>
        <r>
          <rPr>
            <sz val="8"/>
            <rFont val="Tahoma"/>
            <family val="0"/>
          </rPr>
          <t xml:space="preserve">
1. ความสูงของอาคาร  1-10  ม.   =  50  kg./sq.m.
2. ความสูงของอาคาร 10-20 ม.   =  80  kg./sq.m.
3. ความสูงของอาคาร 20-40 ม.   = 120 kg./sq.m.
4. ความสูงของอาคาร   &gt;40  ม.   = 160 kg./sq.m.</t>
        </r>
      </text>
    </comment>
  </commentList>
</comments>
</file>

<file path=xl/comments5.xml><?xml version="1.0" encoding="utf-8"?>
<comments xmlns="http://schemas.openxmlformats.org/spreadsheetml/2006/main">
  <authors>
    <author>TOM</author>
  </authors>
  <commentList>
    <comment ref="N17" authorId="0">
      <text>
        <r>
          <rPr>
            <b/>
            <sz val="8"/>
            <rFont val="Tahoma"/>
            <family val="2"/>
          </rPr>
          <t>น้ำหนักวัสดุมุงหลังคา</t>
        </r>
        <r>
          <rPr>
            <sz val="8"/>
            <rFont val="Tahoma"/>
            <family val="0"/>
          </rPr>
          <t xml:space="preserve">
1.สังกะสี                              =  5  kg./sqm.
2.Metal Sheet                     =   5-17 kg./sqm.
3.กระเบื้องลูกฟูกลอนเล็ก    =  12 kg./sqm.
4.กระเบื้องราง                     =  12 kg./sqm.
5.กระเบื้องลอนคู่                 =  14 kg./sqm.
6.กระเบื้องลูกฟูกลอตใหญ่   =  17 kg./sqm.
7.กระเบื้องซีแพคโมเนีย       =  50 kg./sqm. 
</t>
        </r>
      </text>
    </comment>
  </commentList>
</comments>
</file>

<file path=xl/sharedStrings.xml><?xml version="1.0" encoding="utf-8"?>
<sst xmlns="http://schemas.openxmlformats.org/spreadsheetml/2006/main" count="1592" uniqueCount="540">
  <si>
    <t>=</t>
  </si>
  <si>
    <t>-</t>
  </si>
  <si>
    <t>Developed by</t>
  </si>
  <si>
    <t>จตุพล สายัณหวัฒน์ (MUTT 2008)</t>
  </si>
  <si>
    <t>ชื่อเจ้าของโครงการ :</t>
  </si>
  <si>
    <t>ที่อยู่โครงการ :</t>
  </si>
  <si>
    <t>วิศวกรผู้ออกแบบ :</t>
  </si>
  <si>
    <t>ทฤษฏีในการออกแบบ :</t>
  </si>
  <si>
    <t>วิศวกรรมสถานแห่งประเทศไทย (ว.ส.ท.) สำหรับอาคารคอนกรีตเสริมเหล็ก (วิธีกำลังวัสดุ)</t>
  </si>
  <si>
    <t>วิศวกรรมสถานแห่งประเทศไทย (ว.ส.ท.) สำหรับอาคารเหล็กรูปพรรณ</t>
  </si>
  <si>
    <t>Amarican concrete institute (ACI 318-99)</t>
  </si>
  <si>
    <t xml:space="preserve">          มาตรฐานอ้างอิงในการออกแบบ</t>
  </si>
  <si>
    <t xml:space="preserve">          หน่วยที่ใช้ออกแบบ</t>
  </si>
  <si>
    <t>หน่วยความยาว</t>
  </si>
  <si>
    <t>หน่วยน้ำหนัก</t>
  </si>
  <si>
    <t>หน่วยแรง</t>
  </si>
  <si>
    <t>แรงดัด</t>
  </si>
  <si>
    <t>แรงบิด</t>
  </si>
  <si>
    <t>แรงเฉือน</t>
  </si>
  <si>
    <t>อุณหภูมิ</t>
  </si>
  <si>
    <t>เมตร (m.)</t>
  </si>
  <si>
    <t>กิโลกรัม (kg.) , ตัน (Ton.)</t>
  </si>
  <si>
    <t>กิโลกรัมต่อตารางเมตร (ksc.)</t>
  </si>
  <si>
    <t>กิโลกรัมเมตร (kg.-m.)</t>
  </si>
  <si>
    <t>กิโลกรัม (kg.)</t>
  </si>
  <si>
    <t>องศาเซลเซียส</t>
  </si>
  <si>
    <t>******* หากในรายการคำนวณไม่ได้ระบุหน่วย  ให้ใช้หน่วย Metric *******</t>
  </si>
  <si>
    <r>
      <t xml:space="preserve">ป้อนข้อมูลอักษร </t>
    </r>
    <r>
      <rPr>
        <sz val="10"/>
        <color indexed="12"/>
        <rFont val="Comic Sans MS"/>
        <family val="4"/>
      </rPr>
      <t>สีฟ้า</t>
    </r>
  </si>
  <si>
    <t>รายการคำนวณและออกแบบ</t>
  </si>
  <si>
    <t>หน่วยแรงใช้งาน</t>
  </si>
  <si>
    <t>กำหนดให้</t>
  </si>
  <si>
    <t>การออกแบบหน้าตัดแปเหล็ก</t>
  </si>
  <si>
    <r>
      <t xml:space="preserve">หน่วยแรงดึงคลากของเหล็ก , </t>
    </r>
    <r>
      <rPr>
        <sz val="9"/>
        <rFont val="Comic Sans MS"/>
        <family val="4"/>
      </rPr>
      <t>Fy (ksc.)</t>
    </r>
  </si>
  <si>
    <r>
      <t xml:space="preserve">หน่วยแรงดัดที่ยอมให้ , </t>
    </r>
    <r>
      <rPr>
        <sz val="9"/>
        <rFont val="Comic Sans MS"/>
        <family val="4"/>
      </rPr>
      <t>Fb (ksc.)</t>
    </r>
  </si>
  <si>
    <r>
      <t xml:space="preserve">โมดุลัสยืดหยุ่นของเหล็ก , </t>
    </r>
    <r>
      <rPr>
        <sz val="9"/>
        <rFont val="Comic Sans MS"/>
        <family val="4"/>
      </rPr>
      <t>Es (ksc.)</t>
    </r>
  </si>
  <si>
    <r>
      <t xml:space="preserve">น้ำหนักบรรทุกจร , </t>
    </r>
    <r>
      <rPr>
        <sz val="9"/>
        <rFont val="Comic Sans MS"/>
        <family val="4"/>
      </rPr>
      <t>(kg./m.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)</t>
    </r>
  </si>
  <si>
    <r>
      <t xml:space="preserve">น้ำหน้กวัสดุมุงหลังคา , </t>
    </r>
    <r>
      <rPr>
        <sz val="9"/>
        <rFont val="Comic Sans MS"/>
        <family val="4"/>
      </rPr>
      <t>(kg./m.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)</t>
    </r>
  </si>
  <si>
    <r>
      <t xml:space="preserve">ความลาดเอียงของหลังคา , </t>
    </r>
    <r>
      <rPr>
        <sz val="9"/>
        <rFont val="Comic Sans MS"/>
        <family val="4"/>
      </rPr>
      <t>θ (Degree)</t>
    </r>
  </si>
  <si>
    <r>
      <t xml:space="preserve">หน่วยแรงลมที่ขนานกับพื้นดิน , </t>
    </r>
    <r>
      <rPr>
        <sz val="9"/>
        <rFont val="Comic Sans MS"/>
        <family val="4"/>
      </rPr>
      <t>P (kg./m.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)</t>
    </r>
  </si>
  <si>
    <r>
      <t xml:space="preserve">น้ำหนักรวม , </t>
    </r>
    <r>
      <rPr>
        <sz val="9"/>
        <rFont val="Comic Sans MS"/>
        <family val="4"/>
      </rPr>
      <t>(kg./m.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)</t>
    </r>
  </si>
  <si>
    <r>
      <t xml:space="preserve">ระยะห่างของแป , </t>
    </r>
    <r>
      <rPr>
        <sz val="9"/>
        <rFont val="Comic Sans MS"/>
        <family val="4"/>
      </rPr>
      <t>(m.)</t>
    </r>
  </si>
  <si>
    <r>
      <t>แรงลมที่กระทำตั้งฉากกับโครงหลังคา ,</t>
    </r>
    <r>
      <rPr>
        <sz val="9"/>
        <rFont val="Comic Sans MS"/>
        <family val="4"/>
      </rPr>
      <t>Wo (kg./m.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)</t>
    </r>
  </si>
  <si>
    <t>หาน้ำหนักรวมที่กระทำกับแปทั้งหมด :</t>
  </si>
  <si>
    <r>
      <t xml:space="preserve">น้ำหนักลงแป , </t>
    </r>
    <r>
      <rPr>
        <sz val="9"/>
        <rFont val="Comic Sans MS"/>
        <family val="4"/>
      </rPr>
      <t>(kg./m.)</t>
    </r>
  </si>
  <si>
    <t>หาโมเมนต์ที่กระทำกับแปเหล็ก</t>
  </si>
  <si>
    <r>
      <t xml:space="preserve">รวมน้ำหนักลงแปทั้งหมด , </t>
    </r>
    <r>
      <rPr>
        <sz val="9"/>
        <rFont val="Comic Sans MS"/>
        <family val="4"/>
      </rPr>
      <t>W (kg./m.)</t>
    </r>
  </si>
  <si>
    <r>
      <t xml:space="preserve">ความยาวของแปเหล็ก , L </t>
    </r>
    <r>
      <rPr>
        <sz val="9"/>
        <rFont val="Comic Sans MS"/>
        <family val="4"/>
      </rPr>
      <t>(m.)</t>
    </r>
  </si>
  <si>
    <t>Mmax</t>
  </si>
  <si>
    <r>
      <t>น้ำหนักทางแกน</t>
    </r>
    <r>
      <rPr>
        <sz val="9"/>
        <rFont val="Comic Sans MS"/>
        <family val="4"/>
      </rPr>
      <t xml:space="preserve"> x , Wx = Wsinθ , (kg./m.)</t>
    </r>
  </si>
  <si>
    <r>
      <t>น้ำหนักทางแกน y</t>
    </r>
    <r>
      <rPr>
        <sz val="9"/>
        <rFont val="Comic Sans MS"/>
        <family val="4"/>
      </rPr>
      <t xml:space="preserve"> , Wy = Wcosθ , (kg./m.)</t>
    </r>
  </si>
  <si>
    <t>หาความลาดเอียงของหลังคา :</t>
  </si>
  <si>
    <r>
      <t>θ = tan</t>
    </r>
    <r>
      <rPr>
        <vertAlign val="superscript"/>
        <sz val="9"/>
        <rFont val="Comic Sans MS"/>
        <family val="4"/>
      </rPr>
      <t>-1</t>
    </r>
    <r>
      <rPr>
        <sz val="9"/>
        <rFont val="Comic Sans MS"/>
        <family val="4"/>
      </rPr>
      <t xml:space="preserve"> (X/Y)</t>
    </r>
  </si>
  <si>
    <t>X , (m.)</t>
  </si>
  <si>
    <t>Y , (m.)</t>
  </si>
  <si>
    <t>องศา</t>
  </si>
  <si>
    <t>Sinθ</t>
  </si>
  <si>
    <t>Cosθ</t>
  </si>
  <si>
    <r>
      <t>โมเมนต์ดัดรอบแกน x</t>
    </r>
    <r>
      <rPr>
        <sz val="9"/>
        <rFont val="Comic Sans MS"/>
        <family val="4"/>
      </rPr>
      <t xml:space="preserve"> , Mx = WyL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/8 , (kg.-m.)</t>
    </r>
  </si>
  <si>
    <r>
      <t>โมเมนต์ดัดรอบแกน y</t>
    </r>
    <r>
      <rPr>
        <sz val="9"/>
        <rFont val="Comic Sans MS"/>
        <family val="4"/>
      </rPr>
      <t xml:space="preserve"> , My = WxL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/8 , (kg.-m.)</t>
    </r>
  </si>
  <si>
    <t>ค่าโมดูลัสหน้าตัดที่ต้องการได้ Sx=Mx/Fb , cm.^3</t>
  </si>
  <si>
    <t>ค่าโมดูลัสหน้าตัดที่ต้องการได้ Sy=My/Fb , cm.^3</t>
  </si>
  <si>
    <t>ขนาด</t>
  </si>
  <si>
    <t>[-60x30x10x2.3 mm.</t>
  </si>
  <si>
    <t>[-75x45x15x2.3 mm.</t>
  </si>
  <si>
    <t>[-100x50x20x2.3 mm.</t>
  </si>
  <si>
    <t>[-100x50x20x3.2 mm.</t>
  </si>
  <si>
    <t>[-125x50x20x2.3 mm.</t>
  </si>
  <si>
    <t>[-125x50x20x3.2 mm.</t>
  </si>
  <si>
    <t>[-150x50x20x2.3 mm.</t>
  </si>
  <si>
    <t>[-150x50x20x3.2 mm.</t>
  </si>
  <si>
    <t>[-150x65x20x2.3 mm.</t>
  </si>
  <si>
    <t>[-150x55x20x3.2 mm.</t>
  </si>
  <si>
    <t>น้ำหนัก</t>
  </si>
  <si>
    <t>mm.</t>
  </si>
  <si>
    <t>kg./m.</t>
  </si>
  <si>
    <t>พท. หน้าตัด</t>
  </si>
  <si>
    <r>
      <t>cm.</t>
    </r>
    <r>
      <rPr>
        <vertAlign val="superscript"/>
        <sz val="9"/>
        <rFont val="Comic Sans MS"/>
        <family val="4"/>
      </rPr>
      <t>2</t>
    </r>
  </si>
  <si>
    <t>ความหนา</t>
  </si>
  <si>
    <t>โมเมนต์อินเนอร์เซีย</t>
  </si>
  <si>
    <t>Ix (cm.4)</t>
  </si>
  <si>
    <t>Iy (cm.4)</t>
  </si>
  <si>
    <t>รัสมีไจเรชัน</t>
  </si>
  <si>
    <t xml:space="preserve">rx (cm.) </t>
  </si>
  <si>
    <t>ry (cm.)</t>
  </si>
  <si>
    <t>มอดุลัสหน้าตัด</t>
  </si>
  <si>
    <t>Sx (cm.3)</t>
  </si>
  <si>
    <t>Sy (cm.3)</t>
  </si>
  <si>
    <t>Ix</t>
  </si>
  <si>
    <t>Iy</t>
  </si>
  <si>
    <t>Sx</t>
  </si>
  <si>
    <t>Sy</t>
  </si>
  <si>
    <t>W</t>
  </si>
  <si>
    <r>
      <t xml:space="preserve">น้ำหนักแป , </t>
    </r>
    <r>
      <rPr>
        <sz val="9"/>
        <rFont val="Comic Sans MS"/>
        <family val="4"/>
      </rPr>
      <t>(kg./m.)</t>
    </r>
  </si>
  <si>
    <r>
      <t>cm.</t>
    </r>
    <r>
      <rPr>
        <vertAlign val="superscript"/>
        <sz val="9"/>
        <rFont val="Comic Sans MS"/>
        <family val="4"/>
      </rPr>
      <t>3</t>
    </r>
  </si>
  <si>
    <r>
      <t>cm.</t>
    </r>
    <r>
      <rPr>
        <vertAlign val="superscript"/>
        <sz val="9"/>
        <rFont val="Comic Sans MS"/>
        <family val="4"/>
      </rPr>
      <t>4</t>
    </r>
  </si>
  <si>
    <t>เลือกใช้เหล็กแป</t>
  </si>
  <si>
    <t>ตรวจสอบหน้าตัดเหล็กแปที่เลือกใช้ :</t>
  </si>
  <si>
    <t>เมื่อ  fb = (Mx/Sx)+(My/Sy) &lt;= Fb</t>
  </si>
  <si>
    <t>Mx</t>
  </si>
  <si>
    <t>My</t>
  </si>
  <si>
    <t>+</t>
  </si>
  <si>
    <t>Fb</t>
  </si>
  <si>
    <t>ตรวจสอบการโก่ง :</t>
  </si>
  <si>
    <r>
      <t xml:space="preserve">การโก่งตัวที่ยอมให้ , </t>
    </r>
    <r>
      <rPr>
        <sz val="9"/>
        <rFont val="Comic Sans MS"/>
        <family val="4"/>
      </rPr>
      <t>∆all = L/360</t>
    </r>
  </si>
  <si>
    <t>cm.</t>
  </si>
  <si>
    <r>
      <t xml:space="preserve">การโก่งตัวที่เกิดขึ้น , </t>
    </r>
    <r>
      <rPr>
        <sz val="9"/>
        <rFont val="Comic Sans MS"/>
        <family val="4"/>
      </rPr>
      <t>∆max = (5WL</t>
    </r>
    <r>
      <rPr>
        <vertAlign val="superscript"/>
        <sz val="9"/>
        <rFont val="Comic Sans MS"/>
        <family val="4"/>
      </rPr>
      <t>4</t>
    </r>
    <r>
      <rPr>
        <sz val="9"/>
        <rFont val="Comic Sans MS"/>
        <family val="4"/>
      </rPr>
      <t>)/(384EI)</t>
    </r>
  </si>
  <si>
    <t>เพราะฉะนั้น</t>
  </si>
  <si>
    <t>∆max</t>
  </si>
  <si>
    <t>∆all</t>
  </si>
  <si>
    <t>Project :</t>
  </si>
  <si>
    <t>Owner :</t>
  </si>
  <si>
    <t>Location :</t>
  </si>
  <si>
    <t>Date :</t>
  </si>
  <si>
    <t>Select Section</t>
  </si>
  <si>
    <t>Engineer :</t>
  </si>
  <si>
    <t>License :</t>
  </si>
  <si>
    <t>[-150x75x20x4.0 mm.</t>
  </si>
  <si>
    <t>[-200x75x20x3.2 mm.</t>
  </si>
  <si>
    <t>[-200x72x20x4.0 mm.</t>
  </si>
  <si>
    <t>[-250x75x25x4.5 mm.</t>
  </si>
  <si>
    <t>L</t>
  </si>
  <si>
    <t>m.</t>
  </si>
  <si>
    <t>Vmax</t>
  </si>
  <si>
    <t>kg.</t>
  </si>
  <si>
    <t>P</t>
  </si>
  <si>
    <t>ป้อนข้อมูลอักษร สีฟ้า</t>
  </si>
  <si>
    <t>TIS 1227 OR JIS G3101 OR ASTM A-36</t>
  </si>
  <si>
    <t>SS 400</t>
  </si>
  <si>
    <t>SS 490</t>
  </si>
  <si>
    <t>SS 540</t>
  </si>
  <si>
    <t>SM 400</t>
  </si>
  <si>
    <t>SM 490</t>
  </si>
  <si>
    <t>SM 520</t>
  </si>
  <si>
    <t>SM 570</t>
  </si>
  <si>
    <t>Wide Flange Shapes</t>
  </si>
  <si>
    <t>Dimension (mm.)</t>
  </si>
  <si>
    <t>HxB</t>
  </si>
  <si>
    <t>t1</t>
  </si>
  <si>
    <t>t2</t>
  </si>
  <si>
    <t>r</t>
  </si>
  <si>
    <t>Section</t>
  </si>
  <si>
    <t>(kg/m.)</t>
  </si>
  <si>
    <t>Weight</t>
  </si>
  <si>
    <t>Moment of Inertia</t>
  </si>
  <si>
    <t>Radius of Gyration</t>
  </si>
  <si>
    <t>rx (cm.)</t>
  </si>
  <si>
    <t>Section Modulus</t>
  </si>
  <si>
    <t>100x50</t>
  </si>
  <si>
    <t>100x100</t>
  </si>
  <si>
    <t>125X125</t>
  </si>
  <si>
    <t>150X75</t>
  </si>
  <si>
    <t>150X150</t>
  </si>
  <si>
    <t>175X175</t>
  </si>
  <si>
    <t>200X200</t>
  </si>
  <si>
    <t>250X250</t>
  </si>
  <si>
    <t>300X150</t>
  </si>
  <si>
    <t>300X300</t>
  </si>
  <si>
    <t>350X175</t>
  </si>
  <si>
    <t>350X350</t>
  </si>
  <si>
    <t>400X200</t>
  </si>
  <si>
    <t>400X300</t>
  </si>
  <si>
    <t>400X400</t>
  </si>
  <si>
    <t>450X200</t>
  </si>
  <si>
    <t>450X300</t>
  </si>
  <si>
    <t>500X200</t>
  </si>
  <si>
    <t>500X300</t>
  </si>
  <si>
    <t>600X200</t>
  </si>
  <si>
    <t>Area (cm.²)</t>
  </si>
  <si>
    <t>Sx (cm.³)</t>
  </si>
  <si>
    <t>Sy (cm.³)</t>
  </si>
  <si>
    <t>600X300</t>
  </si>
  <si>
    <t>I-Beam Shapes</t>
  </si>
  <si>
    <t>r1</t>
  </si>
  <si>
    <t>r2</t>
  </si>
  <si>
    <t>100x75</t>
  </si>
  <si>
    <t>125x75</t>
  </si>
  <si>
    <t>150x75</t>
  </si>
  <si>
    <t>150x125</t>
  </si>
  <si>
    <t>180x100</t>
  </si>
  <si>
    <t>200x100</t>
  </si>
  <si>
    <t>200x150</t>
  </si>
  <si>
    <t>250x125</t>
  </si>
  <si>
    <t>300x150</t>
  </si>
  <si>
    <t>350x150</t>
  </si>
  <si>
    <t>400x150</t>
  </si>
  <si>
    <t>450x175</t>
  </si>
  <si>
    <t>600x190</t>
  </si>
  <si>
    <t>150x100</t>
  </si>
  <si>
    <t>C-Channels Shapes</t>
  </si>
  <si>
    <t>75x40</t>
  </si>
  <si>
    <t>125x65</t>
  </si>
  <si>
    <t>180x75</t>
  </si>
  <si>
    <t>200x80</t>
  </si>
  <si>
    <t>200x90</t>
  </si>
  <si>
    <t>230x90</t>
  </si>
  <si>
    <t>250x90</t>
  </si>
  <si>
    <t>300x90</t>
  </si>
  <si>
    <t>380x100</t>
  </si>
  <si>
    <t>Center of Gravity</t>
  </si>
  <si>
    <t>Cx (cm.)</t>
  </si>
  <si>
    <t>Cy (cm.)</t>
  </si>
  <si>
    <t>Thickness</t>
  </si>
  <si>
    <t>(mm.)</t>
  </si>
  <si>
    <t>t</t>
  </si>
  <si>
    <t>area</t>
  </si>
  <si>
    <t>Unit</t>
  </si>
  <si>
    <t xml:space="preserve">Moment </t>
  </si>
  <si>
    <t>of Inertia</t>
  </si>
  <si>
    <t>Sx=Sy</t>
  </si>
  <si>
    <t>Radius</t>
  </si>
  <si>
    <t xml:space="preserve"> of Gyration (cm.)</t>
  </si>
  <si>
    <t>rx = ry</t>
  </si>
  <si>
    <t>25x25</t>
  </si>
  <si>
    <t>32x32</t>
  </si>
  <si>
    <t>38x38</t>
  </si>
  <si>
    <t>50x50</t>
  </si>
  <si>
    <t>75x75</t>
  </si>
  <si>
    <t>150x150</t>
  </si>
  <si>
    <t>Square Tube Shapes</t>
  </si>
  <si>
    <t>125x125</t>
  </si>
  <si>
    <t>300x200</t>
  </si>
  <si>
    <t>350x250</t>
  </si>
  <si>
    <t>700x300</t>
  </si>
  <si>
    <t>800x300</t>
  </si>
  <si>
    <t>900x300</t>
  </si>
  <si>
    <t>Section  Modulus</t>
  </si>
  <si>
    <t xml:space="preserve">Ix </t>
  </si>
  <si>
    <t>(cm.)</t>
  </si>
  <si>
    <t xml:space="preserve">Radius of Gyration </t>
  </si>
  <si>
    <t>rx</t>
  </si>
  <si>
    <t>ry</t>
  </si>
  <si>
    <t>50x25</t>
  </si>
  <si>
    <t>75x38</t>
  </si>
  <si>
    <t>75x45</t>
  </si>
  <si>
    <t>150x50</t>
  </si>
  <si>
    <t>Side Length</t>
  </si>
  <si>
    <t>DxD</t>
  </si>
  <si>
    <t>in.</t>
  </si>
  <si>
    <t>1x1</t>
  </si>
  <si>
    <r>
      <t>1</t>
    </r>
    <r>
      <rPr>
        <sz val="9"/>
        <rFont val="Arial"/>
        <family val="0"/>
      </rPr>
      <t xml:space="preserve">¼ </t>
    </r>
    <r>
      <rPr>
        <sz val="9"/>
        <rFont val="Comic Sans MS"/>
        <family val="4"/>
      </rPr>
      <t>x 1</t>
    </r>
    <r>
      <rPr>
        <sz val="9"/>
        <rFont val="Arial"/>
        <family val="0"/>
      </rPr>
      <t>¼</t>
    </r>
  </si>
  <si>
    <r>
      <t>1</t>
    </r>
    <r>
      <rPr>
        <sz val="9"/>
        <rFont val="Arial"/>
        <family val="0"/>
      </rPr>
      <t>½</t>
    </r>
    <r>
      <rPr>
        <sz val="9"/>
        <rFont val="Comic Sans MS"/>
        <family val="4"/>
      </rPr>
      <t xml:space="preserve"> x 1</t>
    </r>
    <r>
      <rPr>
        <sz val="9"/>
        <rFont val="Arial"/>
        <family val="0"/>
      </rPr>
      <t>½</t>
    </r>
  </si>
  <si>
    <t>2x2</t>
  </si>
  <si>
    <t>3x3</t>
  </si>
  <si>
    <t>4x4</t>
  </si>
  <si>
    <t>5x5</t>
  </si>
  <si>
    <t>6x6</t>
  </si>
  <si>
    <t>2x1</t>
  </si>
  <si>
    <r>
      <t>3 x 1</t>
    </r>
    <r>
      <rPr>
        <sz val="9"/>
        <rFont val="Arial"/>
        <family val="0"/>
      </rPr>
      <t>¼</t>
    </r>
  </si>
  <si>
    <t>3 x 1¾</t>
  </si>
  <si>
    <t>4x2</t>
  </si>
  <si>
    <t>5x3</t>
  </si>
  <si>
    <t>6x2</t>
  </si>
  <si>
    <t>8x4</t>
  </si>
  <si>
    <t>RectangularTube Shapes</t>
  </si>
  <si>
    <t>Nominal</t>
  </si>
  <si>
    <t>dimension</t>
  </si>
  <si>
    <t>DN</t>
  </si>
  <si>
    <t>Outside</t>
  </si>
  <si>
    <t>Diameter</t>
  </si>
  <si>
    <t>D</t>
  </si>
  <si>
    <t>T</t>
  </si>
  <si>
    <t>Calculate</t>
  </si>
  <si>
    <t>Cross Section</t>
  </si>
  <si>
    <t>Area</t>
  </si>
  <si>
    <t>A</t>
  </si>
  <si>
    <t>Geometrical</t>
  </si>
  <si>
    <t>I</t>
  </si>
  <si>
    <r>
      <t>cm.</t>
    </r>
    <r>
      <rPr>
        <vertAlign val="superscript"/>
        <sz val="9"/>
        <rFont val="Comic Sans MS"/>
        <family val="4"/>
      </rPr>
      <t>4</t>
    </r>
  </si>
  <si>
    <t>Modulus of</t>
  </si>
  <si>
    <t>Radius of</t>
  </si>
  <si>
    <t>Gyration</t>
  </si>
  <si>
    <t>S</t>
  </si>
  <si>
    <t>½</t>
  </si>
  <si>
    <t>¾</t>
  </si>
  <si>
    <r>
      <t xml:space="preserve">1 </t>
    </r>
    <r>
      <rPr>
        <sz val="11"/>
        <rFont val="Arial"/>
        <family val="2"/>
      </rPr>
      <t>¼</t>
    </r>
  </si>
  <si>
    <r>
      <t xml:space="preserve">1 </t>
    </r>
    <r>
      <rPr>
        <sz val="11"/>
        <rFont val="Arial"/>
        <family val="2"/>
      </rPr>
      <t>½</t>
    </r>
  </si>
  <si>
    <r>
      <t xml:space="preserve">2 </t>
    </r>
    <r>
      <rPr>
        <sz val="11"/>
        <rFont val="Arial"/>
        <family val="2"/>
      </rPr>
      <t>½</t>
    </r>
  </si>
  <si>
    <r>
      <t xml:space="preserve">3 </t>
    </r>
    <r>
      <rPr>
        <sz val="11"/>
        <rFont val="Arial"/>
        <family val="2"/>
      </rPr>
      <t>½</t>
    </r>
  </si>
  <si>
    <t>Steel Pipe</t>
  </si>
  <si>
    <t>Dimension  (mm.)</t>
  </si>
  <si>
    <t>A x B x C</t>
  </si>
  <si>
    <t xml:space="preserve"> (cm.²)</t>
  </si>
  <si>
    <t>(kg./m.)</t>
  </si>
  <si>
    <t>Center of</t>
  </si>
  <si>
    <t>Gravity  (cm.)</t>
  </si>
  <si>
    <t>Cx</t>
  </si>
  <si>
    <t>Cy</t>
  </si>
  <si>
    <t>Moment ot Inertia</t>
  </si>
  <si>
    <t>60x30x10</t>
  </si>
  <si>
    <t>75x35x15</t>
  </si>
  <si>
    <t>75x45x15</t>
  </si>
  <si>
    <t>90x45x20</t>
  </si>
  <si>
    <t>100x50x20</t>
  </si>
  <si>
    <t>125x50x20</t>
  </si>
  <si>
    <t>150x50x20</t>
  </si>
  <si>
    <t>150x65x20</t>
  </si>
  <si>
    <t>150x75x20</t>
  </si>
  <si>
    <t>200x75x20</t>
  </si>
  <si>
    <t>250x75x25</t>
  </si>
  <si>
    <t>70x40x25</t>
  </si>
  <si>
    <t>120x40x20</t>
  </si>
  <si>
    <t>120x60x25</t>
  </si>
  <si>
    <t>150x75x25</t>
  </si>
  <si>
    <t>200x75x25</t>
  </si>
  <si>
    <t>Light Lip Channel</t>
  </si>
  <si>
    <t>Wf</t>
  </si>
  <si>
    <t>Wide Flange</t>
  </si>
  <si>
    <t>I-Beam</t>
  </si>
  <si>
    <t>C-Channels</t>
  </si>
  <si>
    <t>Rectangular Tube</t>
  </si>
  <si>
    <t>Light Lip Channels</t>
  </si>
  <si>
    <t>Square Tube</t>
  </si>
  <si>
    <t>Rectangulur Tube</t>
  </si>
  <si>
    <t>Use Steel</t>
  </si>
  <si>
    <t>fy</t>
  </si>
  <si>
    <t>E</t>
  </si>
  <si>
    <t>0.6fy</t>
  </si>
  <si>
    <t>Use Section</t>
  </si>
  <si>
    <t>Vertical</t>
  </si>
  <si>
    <t>Horizontal</t>
  </si>
  <si>
    <t>ตรวจสอบความเพียงพอของค้ำยันที่ปีกคานรับแรงอัด</t>
  </si>
  <si>
    <t>Lp</t>
  </si>
  <si>
    <t>Lp = ช่วงความยาวไร้การรองรับระหว่างการค้ำยัน</t>
  </si>
  <si>
    <t>B</t>
  </si>
  <si>
    <t>H or D</t>
  </si>
  <si>
    <t>C</t>
  </si>
  <si>
    <r>
      <t>L&lt;140000/(d/Af)</t>
    </r>
    <r>
      <rPr>
        <sz val="9"/>
        <rFont val="Arial"/>
        <family val="0"/>
      </rPr>
      <t>√</t>
    </r>
    <r>
      <rPr>
        <sz val="9"/>
        <rFont val="Comic Sans MS"/>
        <family val="4"/>
      </rPr>
      <t>fy</t>
    </r>
  </si>
  <si>
    <t>Af</t>
  </si>
  <si>
    <t>d</t>
  </si>
  <si>
    <r>
      <t>√</t>
    </r>
    <r>
      <rPr>
        <sz val="9"/>
        <rFont val="Comic Sans MS"/>
        <family val="4"/>
      </rPr>
      <t>Fy</t>
    </r>
  </si>
  <si>
    <t>Check</t>
  </si>
  <si>
    <t>แสดงว่าคานมีค้ำยันเพียงพอ</t>
  </si>
  <si>
    <t>แสดงว่าคานมีค้ำยันไม่เพียงพอ</t>
  </si>
  <si>
    <r>
      <t>Lp &lt; (636*bf/(</t>
    </r>
    <r>
      <rPr>
        <sz val="9"/>
        <rFont val="Arial"/>
        <family val="0"/>
      </rPr>
      <t>√Fy)</t>
    </r>
  </si>
  <si>
    <r>
      <t>(636*bf/(</t>
    </r>
    <r>
      <rPr>
        <sz val="9"/>
        <rFont val="Arial"/>
        <family val="0"/>
      </rPr>
      <t>√Fy)</t>
    </r>
  </si>
  <si>
    <t>เมื่อ  (636*bf/(√Fy)</t>
  </si>
  <si>
    <t>ตรวจสอบประเภทของหน้าตัดคานที่เกิดแรงอัด</t>
  </si>
  <si>
    <r>
      <t>544/</t>
    </r>
    <r>
      <rPr>
        <sz val="9"/>
        <rFont val="Arial"/>
        <family val="0"/>
      </rPr>
      <t>√</t>
    </r>
    <r>
      <rPr>
        <sz val="9"/>
        <rFont val="Comic Sans MS"/>
        <family val="4"/>
      </rPr>
      <t>Fy</t>
    </r>
  </si>
  <si>
    <r>
      <t>795/</t>
    </r>
    <r>
      <rPr>
        <sz val="9"/>
        <rFont val="Arial"/>
        <family val="0"/>
      </rPr>
      <t>√</t>
    </r>
    <r>
      <rPr>
        <sz val="9"/>
        <rFont val="Comic Sans MS"/>
        <family val="4"/>
      </rPr>
      <t>Fy</t>
    </r>
  </si>
  <si>
    <t>สำหรับ WF , I , [</t>
  </si>
  <si>
    <t>สำหรับ Tube</t>
  </si>
  <si>
    <r>
      <t>1590/</t>
    </r>
    <r>
      <rPr>
        <sz val="9"/>
        <rFont val="Arial"/>
        <family val="0"/>
      </rPr>
      <t>√</t>
    </r>
    <r>
      <rPr>
        <sz val="9"/>
        <rFont val="Comic Sans MS"/>
        <family val="4"/>
      </rPr>
      <t>Fy</t>
    </r>
  </si>
  <si>
    <r>
      <t>1980/</t>
    </r>
    <r>
      <rPr>
        <sz val="9"/>
        <rFont val="Arial"/>
        <family val="0"/>
      </rPr>
      <t>√</t>
    </r>
    <r>
      <rPr>
        <sz val="9"/>
        <rFont val="Comic Sans MS"/>
        <family val="4"/>
      </rPr>
      <t>Fy</t>
    </r>
  </si>
  <si>
    <t>สำหรับ Pipe</t>
  </si>
  <si>
    <t>D/t</t>
  </si>
  <si>
    <r>
      <t>231000/</t>
    </r>
    <r>
      <rPr>
        <sz val="9"/>
        <rFont val="Arial"/>
        <family val="0"/>
      </rPr>
      <t>√</t>
    </r>
    <r>
      <rPr>
        <sz val="9"/>
        <rFont val="Comic Sans MS"/>
        <family val="4"/>
      </rPr>
      <t>Fy</t>
    </r>
  </si>
  <si>
    <t>Compact</t>
  </si>
  <si>
    <t>Non-Compact</t>
  </si>
  <si>
    <t>Partially Compact</t>
  </si>
  <si>
    <t>&lt;</t>
  </si>
  <si>
    <t>≤</t>
  </si>
  <si>
    <t>&gt;</t>
  </si>
  <si>
    <t>bf/2tf</t>
  </si>
  <si>
    <t>1/3Aw</t>
  </si>
  <si>
    <t>rt</t>
  </si>
  <si>
    <t>Lb/rt</t>
  </si>
  <si>
    <t>ตรวจสอบการโก่งตัวของคานทางด้านข้าง</t>
  </si>
  <si>
    <t>Simply</t>
  </si>
  <si>
    <t>Cantilever</t>
  </si>
  <si>
    <t>Other</t>
  </si>
  <si>
    <t>Case of Beam</t>
  </si>
  <si>
    <t>Cb</t>
  </si>
  <si>
    <r>
      <t>√</t>
    </r>
    <r>
      <rPr>
        <sz val="9"/>
        <rFont val="Comic Sans MS"/>
        <family val="4"/>
      </rPr>
      <t>(7173x10</t>
    </r>
    <r>
      <rPr>
        <sz val="9"/>
        <rFont val="Arial"/>
        <family val="0"/>
      </rPr>
      <t>³*Cb)/Fy)</t>
    </r>
  </si>
  <si>
    <r>
      <t>√</t>
    </r>
    <r>
      <rPr>
        <sz val="9"/>
        <rFont val="Comic Sans MS"/>
        <family val="4"/>
      </rPr>
      <t>(3585x10</t>
    </r>
    <r>
      <rPr>
        <vertAlign val="superscript"/>
        <sz val="9"/>
        <rFont val="Comic Sans MS"/>
        <family val="4"/>
      </rPr>
      <t>4</t>
    </r>
    <r>
      <rPr>
        <sz val="9"/>
        <rFont val="Comic Sans MS"/>
        <family val="4"/>
      </rPr>
      <t>*Cb)/Fy)</t>
    </r>
  </si>
  <si>
    <r>
      <t>(</t>
    </r>
    <r>
      <rPr>
        <sz val="12"/>
        <rFont val="Arial"/>
        <family val="2"/>
      </rPr>
      <t>⅔ -(</t>
    </r>
    <r>
      <rPr>
        <sz val="9"/>
        <rFont val="Comic Sans MS"/>
        <family val="4"/>
      </rPr>
      <t>Fy(Lb/rt)</t>
    </r>
    <r>
      <rPr>
        <sz val="12"/>
        <rFont val="Arial"/>
        <family val="2"/>
      </rPr>
      <t>²/</t>
    </r>
    <r>
      <rPr>
        <sz val="9"/>
        <rFont val="Comic Sans MS"/>
        <family val="4"/>
      </rPr>
      <t>(10760x10</t>
    </r>
    <r>
      <rPr>
        <vertAlign val="superscript"/>
        <sz val="9"/>
        <rFont val="Comic Sans MS"/>
        <family val="4"/>
      </rPr>
      <t>4</t>
    </r>
    <r>
      <rPr>
        <sz val="9"/>
        <rFont val="Comic Sans MS"/>
        <family val="4"/>
      </rPr>
      <t>Cb))</t>
    </r>
  </si>
  <si>
    <r>
      <t>(1195x10</t>
    </r>
    <r>
      <rPr>
        <vertAlign val="superscript"/>
        <sz val="9"/>
        <rFont val="Comic Sans MS"/>
        <family val="4"/>
      </rPr>
      <t>4</t>
    </r>
    <r>
      <rPr>
        <sz val="9"/>
        <rFont val="Comic Sans MS"/>
        <family val="4"/>
      </rPr>
      <t>*Cb)/(Lb/rt)</t>
    </r>
    <r>
      <rPr>
        <sz val="11"/>
        <rFont val="Comic Sans MS"/>
        <family val="4"/>
      </rPr>
      <t>²</t>
    </r>
  </si>
  <si>
    <t>(843600*Cb)/((Lb*d)/Af)</t>
  </si>
  <si>
    <t>Use Fb</t>
  </si>
  <si>
    <t>มาตรฐานอุตสาหกรรมเหล็กโครงสร้างรูปพรรณ</t>
  </si>
  <si>
    <t>ชั้นคุณภาพเหล็กรูปพรรณ</t>
  </si>
  <si>
    <r>
      <t xml:space="preserve">หน่วยแรงดึงคลากของเหล็ก , </t>
    </r>
    <r>
      <rPr>
        <sz val="9"/>
        <rFont val="Comic Sans MS"/>
        <family val="4"/>
      </rPr>
      <t>fy (ksc.)</t>
    </r>
  </si>
  <si>
    <r>
      <t xml:space="preserve">โมดูลัสยืดหยุ่นของเหล็ก , </t>
    </r>
    <r>
      <rPr>
        <sz val="9"/>
        <rFont val="Comic Sans MS"/>
        <family val="4"/>
      </rPr>
      <t>Es (ksc.)</t>
    </r>
  </si>
  <si>
    <r>
      <t>โมเมนต์สูงสุด</t>
    </r>
    <r>
      <rPr>
        <sz val="9"/>
        <rFont val="Comic Sans MS"/>
        <family val="4"/>
      </rPr>
      <t xml:space="preserve"> , Mmax (kg.-m.)</t>
    </r>
  </si>
  <si>
    <r>
      <t>แรงเฉือนสูงสุด</t>
    </r>
    <r>
      <rPr>
        <sz val="9"/>
        <rFont val="Comic Sans MS"/>
        <family val="4"/>
      </rPr>
      <t xml:space="preserve"> , Vmax (kg.)</t>
    </r>
  </si>
  <si>
    <r>
      <t>สมมุติหน่วยแรงดัดที่ยอมให้</t>
    </r>
    <r>
      <rPr>
        <sz val="9"/>
        <rFont val="Comic Sans MS"/>
        <family val="4"/>
      </rPr>
      <t xml:space="preserve">, Fb = 0.6fy (ksc.) </t>
    </r>
  </si>
  <si>
    <t>พ.ท.หน้าตัด</t>
  </si>
  <si>
    <t>การออกแบบโครงสร้างคานเหล็กรูปพรรณ</t>
  </si>
  <si>
    <t>เลือกหน้าตัดเหล็กรูปพรรณ</t>
  </si>
  <si>
    <t>ตรวจสอบ</t>
  </si>
  <si>
    <t>เนื่องจากคานมีค้ำยันเพียงพอจึงไม่ต้องตรวจสอบการโก่งตัวทางด้านข้าง</t>
  </si>
  <si>
    <t>\</t>
  </si>
  <si>
    <r>
      <t xml:space="preserve">เลือกใช้ค่า </t>
    </r>
    <r>
      <rPr>
        <sz val="9"/>
        <rFont val="Comic Sans MS"/>
        <family val="4"/>
      </rPr>
      <t>Fb (ksc.)</t>
    </r>
  </si>
  <si>
    <t>ตรวจสอบค่าโมดูลัสหน้าตัดที่ต้องการ</t>
  </si>
  <si>
    <r>
      <t>ค่าโมดูลัสหน้าตัดที่ต้องการ</t>
    </r>
    <r>
      <rPr>
        <sz val="9"/>
        <rFont val="Comic Sans MS"/>
        <family val="4"/>
      </rPr>
      <t xml:space="preserve"> , S (cm.</t>
    </r>
    <r>
      <rPr>
        <vertAlign val="superscript"/>
        <sz val="9"/>
        <rFont val="Comic Sans MS"/>
        <family val="4"/>
      </rPr>
      <t>3</t>
    </r>
    <r>
      <rPr>
        <sz val="9"/>
        <rFont val="Comic Sans MS"/>
        <family val="4"/>
      </rPr>
      <t>)</t>
    </r>
  </si>
  <si>
    <r>
      <t>Sx = Mmax/Fb , (cm.</t>
    </r>
    <r>
      <rPr>
        <vertAlign val="superscript"/>
        <sz val="9"/>
        <rFont val="Comic Sans MS"/>
        <family val="4"/>
      </rPr>
      <t>3</t>
    </r>
    <r>
      <rPr>
        <sz val="9"/>
        <rFont val="Arial"/>
        <family val="0"/>
      </rPr>
      <t>)</t>
    </r>
  </si>
  <si>
    <t>ตรวจสอบหน่วยแรงเฉือน</t>
  </si>
  <si>
    <t>fv</t>
  </si>
  <si>
    <t>ตรวจสอบแรงเฉือน</t>
  </si>
  <si>
    <t>Fv</t>
  </si>
  <si>
    <t>Fv = 0.4xFy , (ksc.)</t>
  </si>
  <si>
    <t>fv = Vmax/(d*tw) , (ksc.)</t>
  </si>
  <si>
    <t>¯</t>
  </si>
  <si>
    <t>¯¯¯¯¯¯¯¯¯¯¯¯¯¯¯¯¯¯¯¯¯¯¯¯¯¯¯¯¯¯¯¯</t>
  </si>
  <si>
    <t>L/2</t>
  </si>
  <si>
    <t>a</t>
  </si>
  <si>
    <t>b</t>
  </si>
  <si>
    <t>a1 (m.)</t>
  </si>
  <si>
    <t>a2 (m.)</t>
  </si>
  <si>
    <t>a3 (m.)</t>
  </si>
  <si>
    <t>P1</t>
  </si>
  <si>
    <t>P1 (kg.)</t>
  </si>
  <si>
    <t>P2 (kg.)</t>
  </si>
  <si>
    <t>P3 (kg.)</t>
  </si>
  <si>
    <r>
      <t xml:space="preserve">ความยาวช่วงคาน , </t>
    </r>
    <r>
      <rPr>
        <sz val="9"/>
        <rFont val="Comic Sans MS"/>
        <family val="4"/>
      </rPr>
      <t>L (m.)</t>
    </r>
  </si>
  <si>
    <t>¯¯¯¯¯¯¯¯¯¯¯¯¯¯¯¯¯¯¯¯¯¯¯¯¯</t>
  </si>
  <si>
    <t>ตรวจสอบการโก่งตัว</t>
  </si>
  <si>
    <t>W_Simple</t>
  </si>
  <si>
    <t>W_Cantilever</t>
  </si>
  <si>
    <t>a1</t>
  </si>
  <si>
    <t>b1</t>
  </si>
  <si>
    <t>a2</t>
  </si>
  <si>
    <t>b2</t>
  </si>
  <si>
    <t>a3</t>
  </si>
  <si>
    <t>b3</t>
  </si>
  <si>
    <t>P2</t>
  </si>
  <si>
    <t>P3</t>
  </si>
  <si>
    <r>
      <t>(Pab(a+2b)</t>
    </r>
    <r>
      <rPr>
        <sz val="9"/>
        <rFont val="Arial"/>
        <family val="0"/>
      </rPr>
      <t>√(</t>
    </r>
    <r>
      <rPr>
        <sz val="9"/>
        <rFont val="Comic Sans MS"/>
        <family val="4"/>
      </rPr>
      <t>3a(a+2b)))/27EI L</t>
    </r>
  </si>
  <si>
    <t>Pab(a+2b)</t>
  </si>
  <si>
    <t>√(3a(a+2b))</t>
  </si>
  <si>
    <t>27EI L</t>
  </si>
  <si>
    <t>Δmax</t>
  </si>
  <si>
    <t>Pb^2*(3L-b)/6EI</t>
  </si>
  <si>
    <t>w</t>
  </si>
  <si>
    <t>ตรวจสอบการโก่ง</t>
  </si>
  <si>
    <t>การตรวจสอบการโก่งตัว</t>
  </si>
  <si>
    <t>(5WL^4/384EI)</t>
  </si>
  <si>
    <t>(23PL^3/648EI)</t>
  </si>
  <si>
    <r>
      <t>(Pab(a+2b)</t>
    </r>
    <r>
      <rPr>
        <sz val="9"/>
        <rFont val="Arial"/>
        <family val="0"/>
      </rPr>
      <t>√(</t>
    </r>
    <r>
      <rPr>
        <sz val="9"/>
        <rFont val="Comic Sans MS"/>
        <family val="4"/>
      </rPr>
      <t>3a(a+2b)))/(27EI*L)</t>
    </r>
  </si>
  <si>
    <t>(WL^4/8EI)</t>
  </si>
  <si>
    <t>(PL^3/3EI)</t>
  </si>
  <si>
    <t>(Pb^2*(3L-b)/6EI)</t>
  </si>
  <si>
    <r>
      <t xml:space="preserve">การโก่งตัวที่เกิดขึ้น , </t>
    </r>
    <r>
      <rPr>
        <sz val="10"/>
        <rFont val="Arial"/>
        <family val="0"/>
      </rPr>
      <t>Δ</t>
    </r>
    <r>
      <rPr>
        <sz val="10"/>
        <rFont val="Comic Sans MS"/>
        <family val="4"/>
      </rPr>
      <t>max</t>
    </r>
  </si>
  <si>
    <r>
      <t>\</t>
    </r>
    <r>
      <rPr>
        <sz val="11"/>
        <rFont val="Comic Sans MS"/>
        <family val="4"/>
      </rPr>
      <t xml:space="preserve"> </t>
    </r>
    <r>
      <rPr>
        <sz val="11"/>
        <rFont val="Arial"/>
        <family val="0"/>
      </rPr>
      <t>Δ</t>
    </r>
    <r>
      <rPr>
        <sz val="10"/>
        <rFont val="Comic Sans MS"/>
        <family val="4"/>
      </rPr>
      <t>max</t>
    </r>
  </si>
  <si>
    <t>L/360</t>
  </si>
  <si>
    <t>L/250</t>
  </si>
  <si>
    <r>
      <t xml:space="preserve">การโก่งตัวที่ยอมให้ , </t>
    </r>
    <r>
      <rPr>
        <sz val="10"/>
        <rFont val="Arial"/>
        <family val="0"/>
      </rPr>
      <t>Δ</t>
    </r>
    <r>
      <rPr>
        <sz val="10"/>
        <rFont val="Comic Sans MS"/>
        <family val="4"/>
      </rPr>
      <t>all</t>
    </r>
  </si>
  <si>
    <r>
      <t xml:space="preserve">ตรวจสอบการยู่และการโก่งตัวของเหลํกแผ่นตั้ง </t>
    </r>
    <r>
      <rPr>
        <b/>
        <u val="single"/>
        <sz val="10"/>
        <rFont val="Comic Sans MS"/>
        <family val="4"/>
      </rPr>
      <t>บริเวณแท่นรองรับ</t>
    </r>
    <r>
      <rPr>
        <b/>
        <sz val="10"/>
        <rFont val="Comic Sans MS"/>
        <family val="4"/>
      </rPr>
      <t xml:space="preserve"> :</t>
    </r>
  </si>
  <si>
    <r>
      <t xml:space="preserve">ตรวจสอบการยู่และการโก่งตัวของเหลํกแผ่นตั้ง </t>
    </r>
    <r>
      <rPr>
        <b/>
        <u val="single"/>
        <sz val="10"/>
        <rFont val="Comic Sans MS"/>
        <family val="4"/>
      </rPr>
      <t>บริเวณกลางคาน</t>
    </r>
    <r>
      <rPr>
        <b/>
        <sz val="10"/>
        <rFont val="Comic Sans MS"/>
        <family val="4"/>
      </rPr>
      <t xml:space="preserve"> :</t>
    </r>
  </si>
  <si>
    <t>N</t>
  </si>
  <si>
    <t>ตรวจสอบค่าการยู่และการโก่งตัวของเหล็กแผ่นตั้ง</t>
  </si>
  <si>
    <t>Rที่เกิดขึ้น</t>
  </si>
  <si>
    <t>k</t>
  </si>
  <si>
    <t>0.66Fy</t>
  </si>
  <si>
    <t>R</t>
  </si>
  <si>
    <t>tw</t>
  </si>
  <si>
    <t>tf</t>
  </si>
  <si>
    <t>Choose</t>
  </si>
  <si>
    <t>Rotation</t>
  </si>
  <si>
    <t>Beam No.</t>
  </si>
  <si>
    <r>
      <t>ความยาวของบริเวณสัมผัสรับแรงแบกทาน ,</t>
    </r>
    <r>
      <rPr>
        <sz val="9"/>
        <rFont val="Comic Sans MS"/>
        <family val="4"/>
      </rPr>
      <t xml:space="preserve"> N (cm.)</t>
    </r>
  </si>
  <si>
    <r>
      <t xml:space="preserve">การโก่ง , </t>
    </r>
    <r>
      <rPr>
        <sz val="9"/>
        <rFont val="Comic Sans MS"/>
        <family val="4"/>
      </rPr>
      <t>R/(tw*(N+2.5k)) , (ksc.)</t>
    </r>
  </si>
  <si>
    <r>
      <t>การยู่ ,</t>
    </r>
    <r>
      <rPr>
        <sz val="9"/>
        <rFont val="Comic Sans MS"/>
        <family val="4"/>
      </rPr>
      <t xml:space="preserve"> R=282t</t>
    </r>
    <r>
      <rPr>
        <vertAlign val="subscript"/>
        <sz val="9"/>
        <rFont val="Comic Sans MS"/>
        <family val="4"/>
      </rPr>
      <t>w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{1+3(N/d)(t</t>
    </r>
    <r>
      <rPr>
        <vertAlign val="subscript"/>
        <sz val="9"/>
        <rFont val="Comic Sans MS"/>
        <family val="4"/>
      </rPr>
      <t>w</t>
    </r>
    <r>
      <rPr>
        <sz val="9"/>
        <rFont val="Comic Sans MS"/>
        <family val="4"/>
      </rPr>
      <t>/t</t>
    </r>
    <r>
      <rPr>
        <vertAlign val="subscript"/>
        <sz val="9"/>
        <rFont val="Comic Sans MS"/>
        <family val="4"/>
      </rPr>
      <t>f</t>
    </r>
    <r>
      <rPr>
        <sz val="9"/>
        <rFont val="Comic Sans MS"/>
        <family val="4"/>
      </rPr>
      <t>)</t>
    </r>
    <r>
      <rPr>
        <vertAlign val="superscript"/>
        <sz val="9"/>
        <rFont val="Comic Sans MS"/>
        <family val="4"/>
      </rPr>
      <t>1.5</t>
    </r>
    <r>
      <rPr>
        <sz val="9"/>
        <rFont val="Comic Sans MS"/>
        <family val="4"/>
      </rPr>
      <t>}</t>
    </r>
    <r>
      <rPr>
        <sz val="9"/>
        <rFont val="Arial"/>
        <family val="0"/>
      </rPr>
      <t>√(F</t>
    </r>
    <r>
      <rPr>
        <vertAlign val="subscript"/>
        <sz val="9"/>
        <rFont val="Arial"/>
        <family val="2"/>
      </rPr>
      <t>yw</t>
    </r>
    <r>
      <rPr>
        <sz val="9"/>
        <rFont val="Arial"/>
        <family val="0"/>
      </rPr>
      <t>t</t>
    </r>
    <r>
      <rPr>
        <vertAlign val="subscript"/>
        <sz val="9"/>
        <rFont val="Arial"/>
        <family val="2"/>
      </rPr>
      <t>f</t>
    </r>
    <r>
      <rPr>
        <sz val="9"/>
        <rFont val="Arial"/>
        <family val="0"/>
      </rPr>
      <t>/t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</t>
    </r>
  </si>
  <si>
    <t>Ra</t>
  </si>
  <si>
    <r>
      <t>แรงปฏิกริยา</t>
    </r>
    <r>
      <rPr>
        <sz val="9"/>
        <rFont val="Comic Sans MS"/>
        <family val="4"/>
      </rPr>
      <t xml:space="preserve"> , Ra (kg.)</t>
    </r>
  </si>
  <si>
    <r>
      <t xml:space="preserve">การโก่ง, </t>
    </r>
    <r>
      <rPr>
        <sz val="9"/>
        <rFont val="Comic Sans MS"/>
        <family val="4"/>
      </rPr>
      <t>R/(tw*(N+5k)) , (ksc.)</t>
    </r>
  </si>
  <si>
    <r>
      <t>การยู่ ,</t>
    </r>
    <r>
      <rPr>
        <sz val="9"/>
        <rFont val="Comic Sans MS"/>
        <family val="4"/>
      </rPr>
      <t xml:space="preserve"> R=564t</t>
    </r>
    <r>
      <rPr>
        <vertAlign val="subscript"/>
        <sz val="9"/>
        <rFont val="Comic Sans MS"/>
        <family val="4"/>
      </rPr>
      <t>w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{1+3(N/d)(t</t>
    </r>
    <r>
      <rPr>
        <vertAlign val="subscript"/>
        <sz val="9"/>
        <rFont val="Comic Sans MS"/>
        <family val="4"/>
      </rPr>
      <t>w</t>
    </r>
    <r>
      <rPr>
        <sz val="9"/>
        <rFont val="Comic Sans MS"/>
        <family val="4"/>
      </rPr>
      <t>/t</t>
    </r>
    <r>
      <rPr>
        <vertAlign val="subscript"/>
        <sz val="9"/>
        <rFont val="Comic Sans MS"/>
        <family val="4"/>
      </rPr>
      <t>f</t>
    </r>
    <r>
      <rPr>
        <sz val="9"/>
        <rFont val="Comic Sans MS"/>
        <family val="4"/>
      </rPr>
      <t>)</t>
    </r>
    <r>
      <rPr>
        <vertAlign val="superscript"/>
        <sz val="9"/>
        <rFont val="Comic Sans MS"/>
        <family val="4"/>
      </rPr>
      <t>1.5</t>
    </r>
    <r>
      <rPr>
        <sz val="9"/>
        <rFont val="Comic Sans MS"/>
        <family val="4"/>
      </rPr>
      <t>}</t>
    </r>
    <r>
      <rPr>
        <sz val="9"/>
        <rFont val="Arial"/>
        <family val="0"/>
      </rPr>
      <t>√(F</t>
    </r>
    <r>
      <rPr>
        <vertAlign val="subscript"/>
        <sz val="9"/>
        <rFont val="Arial"/>
        <family val="2"/>
      </rPr>
      <t>yw</t>
    </r>
    <r>
      <rPr>
        <sz val="9"/>
        <rFont val="Arial"/>
        <family val="0"/>
      </rPr>
      <t>t</t>
    </r>
    <r>
      <rPr>
        <vertAlign val="subscript"/>
        <sz val="9"/>
        <rFont val="Arial"/>
        <family val="2"/>
      </rPr>
      <t>f</t>
    </r>
    <r>
      <rPr>
        <sz val="9"/>
        <rFont val="Arial"/>
        <family val="0"/>
      </rPr>
      <t>/t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</t>
    </r>
  </si>
  <si>
    <r>
      <t xml:space="preserve">แรงกระทำเป็นจุด , </t>
    </r>
    <r>
      <rPr>
        <sz val="9"/>
        <rFont val="Comic Sans MS"/>
        <family val="4"/>
      </rPr>
      <t>P (kg.) =</t>
    </r>
  </si>
  <si>
    <t>x</t>
  </si>
  <si>
    <t>M1</t>
  </si>
  <si>
    <t>M2</t>
  </si>
  <si>
    <t>EI</t>
  </si>
  <si>
    <t>2 Channel</t>
  </si>
  <si>
    <t>One Channel</t>
  </si>
  <si>
    <t>Two Channels</t>
  </si>
  <si>
    <t>2 Lignt Lip Channels</t>
  </si>
  <si>
    <t>2 C-Channel</t>
  </si>
  <si>
    <t>2 Light Lip Channels</t>
  </si>
  <si>
    <r>
      <t xml:space="preserve"> Modulus (cm.</t>
    </r>
    <r>
      <rPr>
        <b/>
        <sz val="9"/>
        <color indexed="12"/>
        <rFont val="Arial"/>
        <family val="0"/>
      </rPr>
      <t>³)</t>
    </r>
  </si>
  <si>
    <r>
      <t>Ix=Iy (cm.</t>
    </r>
    <r>
      <rPr>
        <b/>
        <vertAlign val="superscript"/>
        <sz val="9"/>
        <color indexed="12"/>
        <rFont val="Comic Sans MS"/>
        <family val="4"/>
      </rPr>
      <t>4</t>
    </r>
    <r>
      <rPr>
        <b/>
        <sz val="9"/>
        <color indexed="12"/>
        <rFont val="Comic Sans MS"/>
        <family val="4"/>
      </rPr>
      <t>)</t>
    </r>
  </si>
  <si>
    <r>
      <t>(cm.</t>
    </r>
    <r>
      <rPr>
        <b/>
        <vertAlign val="superscript"/>
        <sz val="9"/>
        <color indexed="12"/>
        <rFont val="Comic Sans MS"/>
        <family val="4"/>
      </rPr>
      <t>4</t>
    </r>
    <r>
      <rPr>
        <b/>
        <sz val="9"/>
        <color indexed="12"/>
        <rFont val="Comic Sans MS"/>
        <family val="4"/>
      </rPr>
      <t>)</t>
    </r>
  </si>
  <si>
    <r>
      <t xml:space="preserve"> (cm.</t>
    </r>
    <r>
      <rPr>
        <b/>
        <sz val="9"/>
        <color indexed="12"/>
        <rFont val="Arial"/>
        <family val="0"/>
      </rPr>
      <t>³)</t>
    </r>
  </si>
  <si>
    <r>
      <t>cm.</t>
    </r>
    <r>
      <rPr>
        <b/>
        <sz val="9"/>
        <color indexed="12"/>
        <rFont val="Arial"/>
        <family val="0"/>
      </rPr>
      <t>²</t>
    </r>
  </si>
  <si>
    <r>
      <t>cm.</t>
    </r>
    <r>
      <rPr>
        <b/>
        <vertAlign val="superscript"/>
        <sz val="9"/>
        <color indexed="12"/>
        <rFont val="Comic Sans MS"/>
        <family val="4"/>
      </rPr>
      <t>4</t>
    </r>
  </si>
  <si>
    <r>
      <t>cm.</t>
    </r>
    <r>
      <rPr>
        <b/>
        <sz val="9"/>
        <color indexed="12"/>
        <rFont val="Arial"/>
        <family val="0"/>
      </rPr>
      <t>³</t>
    </r>
  </si>
  <si>
    <r>
      <t>(cm.</t>
    </r>
    <r>
      <rPr>
        <b/>
        <sz val="9"/>
        <color indexed="12"/>
        <rFont val="Arial"/>
        <family val="0"/>
      </rPr>
      <t>³</t>
    </r>
    <r>
      <rPr>
        <b/>
        <sz val="9"/>
        <color indexed="12"/>
        <rFont val="Comic Sans MS"/>
        <family val="4"/>
      </rPr>
      <t>)</t>
    </r>
  </si>
  <si>
    <t>WF</t>
  </si>
  <si>
    <t>C-Channel</t>
  </si>
  <si>
    <r>
      <t xml:space="preserve">น้ำหนักวัสดุหลังคาที่ถ่ายลงทางแนวดิ่ง , </t>
    </r>
    <r>
      <rPr>
        <sz val="9"/>
        <rFont val="Comic Sans MS"/>
        <family val="4"/>
      </rPr>
      <t>(kg./m.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)</t>
    </r>
  </si>
  <si>
    <r>
      <t>Wcos</t>
    </r>
    <r>
      <rPr>
        <sz val="9"/>
        <rFont val="Arial"/>
        <family val="0"/>
      </rPr>
      <t>θ</t>
    </r>
  </si>
  <si>
    <r>
      <t xml:space="preserve">น้ำหนักวัสดุหลังคาที่ถ่ายลงในแนวตั้งฉาก , </t>
    </r>
    <r>
      <rPr>
        <sz val="9"/>
        <rFont val="Comic Sans MS"/>
        <family val="4"/>
      </rPr>
      <t>(kg./m.</t>
    </r>
    <r>
      <rPr>
        <vertAlign val="superscript"/>
        <sz val="9"/>
        <rFont val="Comic Sans MS"/>
        <family val="4"/>
      </rPr>
      <t>2</t>
    </r>
    <r>
      <rPr>
        <sz val="9"/>
        <rFont val="Comic Sans MS"/>
        <family val="4"/>
      </rPr>
      <t>)</t>
    </r>
  </si>
  <si>
    <t>ระยะยื่นปลายจันทัน</t>
  </si>
  <si>
    <t>Rb</t>
  </si>
  <si>
    <t>V1</t>
  </si>
  <si>
    <t>V3</t>
  </si>
  <si>
    <t>V2</t>
  </si>
  <si>
    <t>m</t>
  </si>
  <si>
    <t>n</t>
  </si>
  <si>
    <t>Δ</t>
  </si>
  <si>
    <r>
      <t xml:space="preserve">โมเมนต์สูงสุด </t>
    </r>
    <r>
      <rPr>
        <sz val="9"/>
        <rFont val="Comic Sans MS"/>
        <family val="4"/>
      </rPr>
      <t>, M(max) (kg.-m.)</t>
    </r>
  </si>
  <si>
    <r>
      <t>ค่าโมดูลัสหน้าตัดที่ต้องการได้ S=Mmax/Fb , cm.</t>
    </r>
    <r>
      <rPr>
        <sz val="9"/>
        <rFont val="Arial"/>
        <family val="0"/>
      </rPr>
      <t>³</t>
    </r>
  </si>
  <si>
    <r>
      <t xml:space="preserve">การโก่งตัวที่ยอมให้ , </t>
    </r>
    <r>
      <rPr>
        <sz val="9"/>
        <rFont val="Comic Sans MS"/>
        <family val="4"/>
      </rPr>
      <t>∆all = L/360  (cm.)</t>
    </r>
  </si>
  <si>
    <r>
      <t xml:space="preserve">การโก่งตัวที่เกิดขึ้น , </t>
    </r>
    <r>
      <rPr>
        <sz val="9"/>
        <rFont val="Comic Sans MS"/>
        <family val="4"/>
      </rPr>
      <t>∆max (cm.)</t>
    </r>
  </si>
  <si>
    <t>SFD.</t>
  </si>
  <si>
    <t>BMD.</t>
  </si>
  <si>
    <t>Deffection</t>
  </si>
  <si>
    <t>Type of Design</t>
  </si>
  <si>
    <t>จันทัน</t>
  </si>
  <si>
    <t>ตะเฆ้สัน</t>
  </si>
  <si>
    <t>ระยะห่างของจันทัน , (m.)</t>
  </si>
  <si>
    <t>ช่วงที่รับน้ำหนักของตะเฆ้สันกว้าง , (m.)</t>
  </si>
  <si>
    <t>เลือกใช้เหล็ก</t>
  </si>
  <si>
    <t>สามารถรองรับน้ำหนักบรรทุกได้อย่างปลอดภัย</t>
  </si>
  <si>
    <t>ไม่สามารถรองรับน้ำหนักบรรทุกได้อย่างปลอดภัย</t>
  </si>
  <si>
    <t>sx</t>
  </si>
  <si>
    <t>deffaction</t>
  </si>
  <si>
    <t>อกไก่</t>
  </si>
  <si>
    <t>สะพานรับจันทัน</t>
  </si>
  <si>
    <t>อะเส</t>
  </si>
  <si>
    <t>Overhanging</t>
  </si>
  <si>
    <r>
      <t xml:space="preserve">โมเมนต์สูงสุด , </t>
    </r>
    <r>
      <rPr>
        <sz val="9"/>
        <rFont val="Comic Sans MS"/>
        <family val="4"/>
      </rPr>
      <t>M(max) (kg.-m)</t>
    </r>
  </si>
  <si>
    <t xml:space="preserve">         ¯                 </t>
  </si>
  <si>
    <t>Fig.1</t>
  </si>
  <si>
    <t>Fig.2</t>
  </si>
  <si>
    <t>Fig.3</t>
  </si>
  <si>
    <t>Fig.4</t>
  </si>
  <si>
    <t>Fig.5</t>
  </si>
  <si>
    <t>Analysis by Superposition</t>
  </si>
  <si>
    <r>
      <t xml:space="preserve">น้ำหนักที่กระทำเป็นจุดในรูป </t>
    </r>
    <r>
      <rPr>
        <sz val="9"/>
        <rFont val="Comic Sans MS"/>
        <family val="4"/>
      </rPr>
      <t>Fig.2 ,  P (kg.)</t>
    </r>
  </si>
  <si>
    <r>
      <t xml:space="preserve">น้ำหนักที่กระทำเป็นจุดในรูป </t>
    </r>
    <r>
      <rPr>
        <sz val="9"/>
        <rFont val="Comic Sans MS"/>
        <family val="4"/>
      </rPr>
      <t>Fig.3 ,  P1 (kg.)</t>
    </r>
  </si>
  <si>
    <r>
      <t xml:space="preserve">ระยะ </t>
    </r>
    <r>
      <rPr>
        <sz val="9"/>
        <rFont val="Comic Sans MS"/>
        <family val="4"/>
      </rPr>
      <t>a1</t>
    </r>
    <r>
      <rPr>
        <sz val="10"/>
        <rFont val="Comic Sans MS"/>
        <family val="4"/>
      </rPr>
      <t xml:space="preserve"> ในรูป </t>
    </r>
    <r>
      <rPr>
        <sz val="9"/>
        <rFont val="Comic Sans MS"/>
        <family val="4"/>
      </rPr>
      <t>Fig.3 , a1 (m.)</t>
    </r>
  </si>
  <si>
    <r>
      <t xml:space="preserve">น้ำหนักที่กระทำเป็นจุดในรูป </t>
    </r>
    <r>
      <rPr>
        <sz val="9"/>
        <rFont val="Comic Sans MS"/>
        <family val="4"/>
      </rPr>
      <t>Fig.4 ,  P2 (kg.)</t>
    </r>
  </si>
  <si>
    <r>
      <t xml:space="preserve">ระยะ </t>
    </r>
    <r>
      <rPr>
        <sz val="9"/>
        <rFont val="Comic Sans MS"/>
        <family val="4"/>
      </rPr>
      <t>a3</t>
    </r>
    <r>
      <rPr>
        <sz val="10"/>
        <rFont val="Comic Sans MS"/>
        <family val="4"/>
      </rPr>
      <t xml:space="preserve"> ในรูป </t>
    </r>
    <r>
      <rPr>
        <sz val="9"/>
        <rFont val="Comic Sans MS"/>
        <family val="4"/>
      </rPr>
      <t>Fig.5 , a3 (m.)</t>
    </r>
  </si>
  <si>
    <r>
      <t xml:space="preserve">ระยะ </t>
    </r>
    <r>
      <rPr>
        <sz val="9"/>
        <rFont val="Comic Sans MS"/>
        <family val="4"/>
      </rPr>
      <t>a2</t>
    </r>
    <r>
      <rPr>
        <sz val="10"/>
        <rFont val="Comic Sans MS"/>
        <family val="4"/>
      </rPr>
      <t xml:space="preserve"> ในรูป </t>
    </r>
    <r>
      <rPr>
        <sz val="9"/>
        <rFont val="Comic Sans MS"/>
        <family val="4"/>
      </rPr>
      <t>Fig.4 , a2 (m.)</t>
    </r>
  </si>
  <si>
    <r>
      <t xml:space="preserve">น้ำหนักที่กระทำเป็นจุดในรูป </t>
    </r>
    <r>
      <rPr>
        <sz val="9"/>
        <rFont val="Comic Sans MS"/>
        <family val="4"/>
      </rPr>
      <t>Fig.5 ,  P3 (kg.)</t>
    </r>
  </si>
  <si>
    <t>Analysis</t>
  </si>
  <si>
    <t>Fig.</t>
  </si>
  <si>
    <t>M</t>
  </si>
  <si>
    <t>sum</t>
  </si>
  <si>
    <r>
      <t xml:space="preserve">แรงเฉือนสูงสุด , </t>
    </r>
    <r>
      <rPr>
        <sz val="9"/>
        <rFont val="Comic Sans MS"/>
        <family val="4"/>
      </rPr>
      <t>V(max)  (kg.)</t>
    </r>
  </si>
  <si>
    <t>การโก่งตัวที่เกิดขึ้น , Δmax</t>
  </si>
  <si>
    <r>
      <t xml:space="preserve">การโก่งตัวที่ยอมให้ , </t>
    </r>
    <r>
      <rPr>
        <sz val="9"/>
        <rFont val="Comic Sans MS"/>
        <family val="4"/>
      </rPr>
      <t>∆all  =  L/360</t>
    </r>
  </si>
  <si>
    <t>Shear</t>
  </si>
  <si>
    <t>ได้จากผลวิเคราะห์ในโปรแกรมคอมพิวเตอร์</t>
  </si>
  <si>
    <t>Number:</t>
  </si>
  <si>
    <t>Page No.</t>
  </si>
  <si>
    <t>อาคารพาณิชย์</t>
  </si>
  <si>
    <t>คุณทดลอง</t>
  </si>
  <si>
    <t>กทม.</t>
  </si>
  <si>
    <t>สมมุติ</t>
  </si>
  <si>
    <t>สย.0000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</si>
</sst>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"/>
    <numFmt numFmtId="189" formatCode="0.000"/>
    <numFmt numFmtId="190" formatCode="0.00000"/>
    <numFmt numFmtId="191" formatCode="[$-41E]d\ mmmm\ yyyy"/>
    <numFmt numFmtId="192" formatCode="0.0000000"/>
    <numFmt numFmtId="193" formatCode="0.000000"/>
    <numFmt numFmtId="194" formatCode="0.0000000000"/>
    <numFmt numFmtId="195" formatCode="0.00000000000"/>
    <numFmt numFmtId="196" formatCode="0.000000000"/>
    <numFmt numFmtId="197" formatCode="0.00000000"/>
    <numFmt numFmtId="198" formatCode="#,##0.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#,##0.000"/>
    <numFmt numFmtId="212" formatCode="#,##0.0000"/>
    <numFmt numFmtId="213" formatCode="#,##0.00000"/>
  </numFmts>
  <fonts count="61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mic Sans MS"/>
      <family val="4"/>
    </font>
    <font>
      <sz val="11"/>
      <name val="Comic Sans MS"/>
      <family val="4"/>
    </font>
    <font>
      <u val="single"/>
      <sz val="10"/>
      <color indexed="10"/>
      <name val="Comic Sans MS"/>
      <family val="4"/>
    </font>
    <font>
      <b/>
      <sz val="26"/>
      <name val="Comic Sans MS"/>
      <family val="4"/>
    </font>
    <font>
      <sz val="20"/>
      <color indexed="12"/>
      <name val="Comic Sans MS"/>
      <family val="4"/>
    </font>
    <font>
      <b/>
      <sz val="11"/>
      <name val="Comic Sans MS"/>
      <family val="4"/>
    </font>
    <font>
      <sz val="11"/>
      <color indexed="12"/>
      <name val="Comic Sans MS"/>
      <family val="4"/>
    </font>
    <font>
      <b/>
      <sz val="10"/>
      <name val="Comic Sans MS"/>
      <family val="4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i/>
      <u val="single"/>
      <sz val="10"/>
      <name val="Comic Sans MS"/>
      <family val="4"/>
    </font>
    <font>
      <i/>
      <u val="single"/>
      <sz val="9"/>
      <name val="Comic Sans MS"/>
      <family val="4"/>
    </font>
    <font>
      <sz val="7.5"/>
      <name val="Arial"/>
      <family val="2"/>
    </font>
    <font>
      <b/>
      <i/>
      <sz val="11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9"/>
      <color indexed="17"/>
      <name val="Comic Sans MS"/>
      <family val="4"/>
    </font>
    <font>
      <sz val="9"/>
      <color indexed="10"/>
      <name val="Comic Sans MS"/>
      <family val="4"/>
    </font>
    <font>
      <sz val="9"/>
      <color indexed="12"/>
      <name val="Comic Sans MS"/>
      <family val="4"/>
    </font>
    <font>
      <vertAlign val="superscript"/>
      <sz val="9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0"/>
    </font>
    <font>
      <b/>
      <u val="single"/>
      <sz val="10"/>
      <name val="Comic Sans MS"/>
      <family val="4"/>
    </font>
    <font>
      <sz val="16"/>
      <name val="Comic Sans MS"/>
      <family val="4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Comic Sans MS"/>
      <family val="4"/>
    </font>
    <font>
      <sz val="14"/>
      <name val="Symbol"/>
      <family val="1"/>
    </font>
    <font>
      <sz val="9"/>
      <name val="Symbol"/>
      <family val="1"/>
    </font>
    <font>
      <sz val="8"/>
      <name val="Comic Sans MS"/>
      <family val="4"/>
    </font>
    <font>
      <vertAlign val="subscript"/>
      <sz val="9"/>
      <name val="Comic Sans MS"/>
      <family val="4"/>
    </font>
    <font>
      <vertAlign val="subscript"/>
      <sz val="9"/>
      <name val="Arial"/>
      <family val="2"/>
    </font>
    <font>
      <b/>
      <sz val="9"/>
      <color indexed="12"/>
      <name val="Comic Sans MS"/>
      <family val="4"/>
    </font>
    <font>
      <b/>
      <sz val="9"/>
      <color indexed="12"/>
      <name val="Arial"/>
      <family val="0"/>
    </font>
    <font>
      <b/>
      <vertAlign val="superscript"/>
      <sz val="9"/>
      <color indexed="12"/>
      <name val="Comic Sans MS"/>
      <family val="4"/>
    </font>
    <font>
      <b/>
      <sz val="16"/>
      <name val="Symbol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/>
    </xf>
    <xf numFmtId="0" fontId="7" fillId="25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7" borderId="0" xfId="0" applyFont="1" applyFill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1" fontId="31" fillId="24" borderId="0" xfId="0" applyNumberFormat="1" applyFont="1" applyFill="1" applyBorder="1" applyAlignment="1">
      <alignment horizontal="center"/>
    </xf>
    <xf numFmtId="2" fontId="31" fillId="24" borderId="0" xfId="0" applyNumberFormat="1" applyFont="1" applyFill="1" applyBorder="1" applyAlignment="1">
      <alignment horizontal="center"/>
    </xf>
    <xf numFmtId="187" fontId="31" fillId="24" borderId="0" xfId="0" applyNumberFormat="1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Alignment="1" applyProtection="1">
      <alignment/>
      <protection/>
    </xf>
    <xf numFmtId="0" fontId="1" fillId="24" borderId="21" xfId="0" applyFont="1" applyFill="1" applyBorder="1" applyAlignment="1" applyProtection="1">
      <alignment/>
      <protection/>
    </xf>
    <xf numFmtId="0" fontId="1" fillId="24" borderId="21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"/>
      <protection/>
    </xf>
    <xf numFmtId="0" fontId="3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22" xfId="0" applyFont="1" applyFill="1" applyBorder="1" applyAlignment="1" applyProtection="1">
      <alignment/>
      <protection/>
    </xf>
    <xf numFmtId="0" fontId="1" fillId="24" borderId="23" xfId="0" applyFont="1" applyFill="1" applyBorder="1" applyAlignment="1" applyProtection="1">
      <alignment/>
      <protection/>
    </xf>
    <xf numFmtId="0" fontId="1" fillId="24" borderId="23" xfId="0" applyFont="1" applyFill="1" applyBorder="1" applyAlignment="1" applyProtection="1">
      <alignment horizontal="center"/>
      <protection/>
    </xf>
    <xf numFmtId="0" fontId="1" fillId="24" borderId="24" xfId="0" applyFont="1" applyFill="1" applyBorder="1" applyAlignment="1" applyProtection="1">
      <alignment/>
      <protection/>
    </xf>
    <xf numFmtId="0" fontId="1" fillId="24" borderId="25" xfId="0" applyFont="1" applyFill="1" applyBorder="1" applyAlignment="1" applyProtection="1">
      <alignment/>
      <protection/>
    </xf>
    <xf numFmtId="0" fontId="1" fillId="24" borderId="26" xfId="0" applyFont="1" applyFill="1" applyBorder="1" applyAlignment="1" applyProtection="1">
      <alignment/>
      <protection/>
    </xf>
    <xf numFmtId="0" fontId="31" fillId="24" borderId="25" xfId="0" applyFont="1" applyFill="1" applyBorder="1" applyAlignment="1" applyProtection="1">
      <alignment/>
      <protection/>
    </xf>
    <xf numFmtId="0" fontId="31" fillId="24" borderId="26" xfId="0" applyFont="1" applyFill="1" applyBorder="1" applyAlignment="1" applyProtection="1">
      <alignment/>
      <protection/>
    </xf>
    <xf numFmtId="3" fontId="31" fillId="24" borderId="0" xfId="0" applyNumberFormat="1" applyFont="1" applyFill="1" applyBorder="1" applyAlignment="1" applyProtection="1">
      <alignment horizontal="center"/>
      <protection/>
    </xf>
    <xf numFmtId="2" fontId="1" fillId="24" borderId="0" xfId="0" applyNumberFormat="1" applyFont="1" applyFill="1" applyBorder="1" applyAlignment="1" applyProtection="1">
      <alignment horizontal="left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22" xfId="0" applyFont="1" applyFill="1" applyBorder="1" applyAlignment="1" applyProtection="1">
      <alignment/>
      <protection/>
    </xf>
    <xf numFmtId="0" fontId="31" fillId="24" borderId="24" xfId="0" applyFont="1" applyFill="1" applyBorder="1" applyAlignment="1" applyProtection="1">
      <alignment/>
      <protection/>
    </xf>
    <xf numFmtId="0" fontId="31" fillId="24" borderId="27" xfId="0" applyFont="1" applyFill="1" applyBorder="1" applyAlignment="1" applyProtection="1">
      <alignment/>
      <protection/>
    </xf>
    <xf numFmtId="0" fontId="31" fillId="24" borderId="28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 textRotation="90"/>
      <protection/>
    </xf>
    <xf numFmtId="0" fontId="31" fillId="24" borderId="29" xfId="0" applyFont="1" applyFill="1" applyBorder="1" applyAlignment="1" applyProtection="1">
      <alignment/>
      <protection/>
    </xf>
    <xf numFmtId="0" fontId="45" fillId="24" borderId="0" xfId="0" applyFont="1" applyFill="1" applyAlignment="1" applyProtection="1">
      <alignment horizontal="center"/>
      <protection/>
    </xf>
    <xf numFmtId="189" fontId="31" fillId="24" borderId="0" xfId="0" applyNumberFormat="1" applyFont="1" applyFill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31" fillId="24" borderId="30" xfId="0" applyFont="1" applyFill="1" applyBorder="1" applyAlignment="1" applyProtection="1">
      <alignment/>
      <protection/>
    </xf>
    <xf numFmtId="0" fontId="31" fillId="24" borderId="31" xfId="0" applyFont="1" applyFill="1" applyBorder="1" applyAlignment="1" applyProtection="1">
      <alignment/>
      <protection/>
    </xf>
    <xf numFmtId="187" fontId="31" fillId="24" borderId="0" xfId="0" applyNumberFormat="1" applyFont="1" applyFill="1" applyBorder="1" applyAlignment="1" applyProtection="1">
      <alignment/>
      <protection/>
    </xf>
    <xf numFmtId="0" fontId="31" fillId="24" borderId="32" xfId="0" applyFont="1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/>
      <protection/>
    </xf>
    <xf numFmtId="3" fontId="41" fillId="24" borderId="0" xfId="0" applyNumberFormat="1" applyFont="1" applyFill="1" applyBorder="1" applyAlignment="1" applyProtection="1">
      <alignment/>
      <protection/>
    </xf>
    <xf numFmtId="0" fontId="31" fillId="24" borderId="20" xfId="0" applyFont="1" applyFill="1" applyBorder="1" applyAlignment="1" applyProtection="1">
      <alignment/>
      <protection/>
    </xf>
    <xf numFmtId="0" fontId="31" fillId="24" borderId="20" xfId="0" applyFont="1" applyFill="1" applyBorder="1" applyAlignment="1" applyProtection="1">
      <alignment horizontal="center"/>
      <protection/>
    </xf>
    <xf numFmtId="189" fontId="31" fillId="24" borderId="0" xfId="0" applyNumberFormat="1" applyFont="1" applyFill="1" applyBorder="1" applyAlignment="1" applyProtection="1">
      <alignment horizontal="center" vertical="center"/>
      <protection/>
    </xf>
    <xf numFmtId="0" fontId="45" fillId="24" borderId="0" xfId="0" applyFont="1" applyFill="1" applyBorder="1" applyAlignment="1" applyProtection="1">
      <alignment/>
      <protection/>
    </xf>
    <xf numFmtId="2" fontId="31" fillId="24" borderId="0" xfId="0" applyNumberFormat="1" applyFont="1" applyFill="1" applyBorder="1" applyAlignment="1" applyProtection="1">
      <alignment/>
      <protection/>
    </xf>
    <xf numFmtId="2" fontId="31" fillId="24" borderId="0" xfId="0" applyNumberFormat="1" applyFont="1" applyFill="1" applyBorder="1" applyAlignment="1" applyProtection="1">
      <alignment horizontal="center"/>
      <protection/>
    </xf>
    <xf numFmtId="2" fontId="39" fillId="24" borderId="0" xfId="0" applyNumberFormat="1" applyFont="1" applyFill="1" applyBorder="1" applyAlignment="1" applyProtection="1">
      <alignment/>
      <protection/>
    </xf>
    <xf numFmtId="187" fontId="31" fillId="24" borderId="0" xfId="0" applyNumberFormat="1" applyFont="1" applyFill="1" applyBorder="1" applyAlignment="1" applyProtection="1">
      <alignment horizontal="center" vertical="center"/>
      <protection/>
    </xf>
    <xf numFmtId="0" fontId="1" fillId="24" borderId="0" xfId="0" applyFont="1" applyFill="1" applyAlignment="1" applyProtection="1">
      <alignment vertical="center"/>
      <protection/>
    </xf>
    <xf numFmtId="0" fontId="52" fillId="24" borderId="20" xfId="0" applyFont="1" applyFill="1" applyBorder="1" applyAlignment="1" applyProtection="1">
      <alignment/>
      <protection/>
    </xf>
    <xf numFmtId="0" fontId="31" fillId="24" borderId="20" xfId="0" applyFont="1" applyFill="1" applyBorder="1" applyAlignment="1" applyProtection="1">
      <alignment/>
      <protection/>
    </xf>
    <xf numFmtId="188" fontId="31" fillId="24" borderId="0" xfId="0" applyNumberFormat="1" applyFont="1" applyFill="1" applyBorder="1" applyAlignment="1" applyProtection="1">
      <alignment/>
      <protection/>
    </xf>
    <xf numFmtId="187" fontId="31" fillId="24" borderId="0" xfId="0" applyNumberFormat="1" applyFont="1" applyFill="1" applyAlignment="1" applyProtection="1">
      <alignment horizontal="center"/>
      <protection/>
    </xf>
    <xf numFmtId="0" fontId="45" fillId="24" borderId="0" xfId="0" applyFont="1" applyFill="1" applyAlignment="1" applyProtection="1">
      <alignment/>
      <protection/>
    </xf>
    <xf numFmtId="1" fontId="31" fillId="24" borderId="0" xfId="0" applyNumberFormat="1" applyFont="1" applyFill="1" applyBorder="1" applyAlignment="1" applyProtection="1">
      <alignment horizontal="center"/>
      <protection/>
    </xf>
    <xf numFmtId="0" fontId="31" fillId="24" borderId="34" xfId="0" applyFont="1" applyFill="1" applyBorder="1" applyAlignment="1" applyProtection="1">
      <alignment/>
      <protection/>
    </xf>
    <xf numFmtId="0" fontId="31" fillId="24" borderId="35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89" fontId="31" fillId="24" borderId="0" xfId="0" applyNumberFormat="1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 locked="0"/>
    </xf>
    <xf numFmtId="0" fontId="41" fillId="24" borderId="0" xfId="0" applyFont="1" applyFill="1" applyBorder="1" applyAlignment="1" applyProtection="1">
      <alignment/>
      <protection/>
    </xf>
    <xf numFmtId="0" fontId="0" fillId="24" borderId="25" xfId="0" applyFont="1" applyFill="1" applyBorder="1" applyAlignment="1" applyProtection="1">
      <alignment vertical="center"/>
      <protection/>
    </xf>
    <xf numFmtId="0" fontId="31" fillId="24" borderId="0" xfId="0" applyFont="1" applyFill="1" applyBorder="1" applyAlignment="1" applyProtection="1">
      <alignment horizontal="left"/>
      <protection/>
    </xf>
    <xf numFmtId="187" fontId="31" fillId="24" borderId="0" xfId="0" applyNumberFormat="1" applyFont="1" applyFill="1" applyBorder="1" applyAlignment="1" applyProtection="1">
      <alignment horizontal="center"/>
      <protection/>
    </xf>
    <xf numFmtId="189" fontId="31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2" fontId="31" fillId="24" borderId="0" xfId="0" applyNumberFormat="1" applyFont="1" applyFill="1" applyBorder="1" applyAlignment="1" applyProtection="1">
      <alignment horizontal="right"/>
      <protection/>
    </xf>
    <xf numFmtId="0" fontId="39" fillId="24" borderId="0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vertical="center" textRotation="90"/>
      <protection/>
    </xf>
    <xf numFmtId="0" fontId="39" fillId="24" borderId="0" xfId="0" applyFont="1" applyFill="1" applyBorder="1" applyAlignment="1" applyProtection="1">
      <alignment horizontal="center"/>
      <protection/>
    </xf>
    <xf numFmtId="2" fontId="31" fillId="24" borderId="0" xfId="0" applyNumberFormat="1" applyFont="1" applyFill="1" applyBorder="1" applyAlignment="1" applyProtection="1">
      <alignment/>
      <protection/>
    </xf>
    <xf numFmtId="187" fontId="31" fillId="24" borderId="0" xfId="0" applyNumberFormat="1" applyFont="1" applyFill="1" applyAlignment="1" applyProtection="1">
      <alignment/>
      <protection/>
    </xf>
    <xf numFmtId="0" fontId="35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13" fillId="24" borderId="0" xfId="0" applyFont="1" applyFill="1" applyBorder="1" applyAlignment="1" applyProtection="1">
      <alignment/>
      <protection/>
    </xf>
    <xf numFmtId="0" fontId="35" fillId="24" borderId="0" xfId="0" applyFont="1" applyFill="1" applyBorder="1" applyAlignment="1" applyProtection="1">
      <alignment horizontal="center"/>
      <protection/>
    </xf>
    <xf numFmtId="0" fontId="35" fillId="24" borderId="0" xfId="0" applyFont="1" applyFill="1" applyBorder="1" applyAlignment="1" applyProtection="1">
      <alignment/>
      <protection/>
    </xf>
    <xf numFmtId="0" fontId="31" fillId="24" borderId="21" xfId="0" applyFont="1" applyFill="1" applyBorder="1" applyAlignment="1" applyProtection="1">
      <alignment/>
      <protection/>
    </xf>
    <xf numFmtId="2" fontId="39" fillId="24" borderId="0" xfId="0" applyNumberFormat="1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/>
      <protection/>
    </xf>
    <xf numFmtId="0" fontId="31" fillId="24" borderId="23" xfId="0" applyFont="1" applyFill="1" applyBorder="1" applyAlignment="1" applyProtection="1">
      <alignment horizontal="center"/>
      <protection/>
    </xf>
    <xf numFmtId="0" fontId="31" fillId="24" borderId="0" xfId="0" applyFont="1" applyFill="1" applyAlignment="1" applyProtection="1">
      <alignment/>
      <protection/>
    </xf>
    <xf numFmtId="0" fontId="50" fillId="24" borderId="0" xfId="0" applyFont="1" applyFill="1" applyBorder="1" applyAlignment="1" applyProtection="1">
      <alignment horizontal="left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89" fontId="31" fillId="24" borderId="0" xfId="0" applyNumberFormat="1" applyFont="1" applyFill="1" applyBorder="1" applyAlignment="1" applyProtection="1">
      <alignment/>
      <protection/>
    </xf>
    <xf numFmtId="0" fontId="51" fillId="24" borderId="0" xfId="0" applyFon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1" fontId="31" fillId="24" borderId="0" xfId="0" applyNumberFormat="1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11" fillId="24" borderId="25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52" fillId="24" borderId="34" xfId="0" applyFont="1" applyFill="1" applyBorder="1" applyAlignment="1" applyProtection="1">
      <alignment/>
      <protection/>
    </xf>
    <xf numFmtId="0" fontId="51" fillId="24" borderId="20" xfId="0" applyFont="1" applyFill="1" applyBorder="1" applyAlignment="1" applyProtection="1">
      <alignment/>
      <protection/>
    </xf>
    <xf numFmtId="0" fontId="31" fillId="24" borderId="2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189" fontId="37" fillId="24" borderId="0" xfId="0" applyNumberFormat="1" applyFont="1" applyFill="1" applyBorder="1" applyAlignment="1" applyProtection="1">
      <alignment vertical="center"/>
      <protection/>
    </xf>
    <xf numFmtId="189" fontId="38" fillId="24" borderId="0" xfId="0" applyNumberFormat="1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9" fillId="24" borderId="0" xfId="0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/>
      <protection/>
    </xf>
    <xf numFmtId="0" fontId="51" fillId="24" borderId="0" xfId="0" applyFont="1" applyFill="1" applyBorder="1" applyAlignment="1" applyProtection="1">
      <alignment vertical="center"/>
      <protection/>
    </xf>
    <xf numFmtId="3" fontId="31" fillId="24" borderId="0" xfId="0" applyNumberFormat="1" applyFont="1" applyFill="1" applyBorder="1" applyAlignment="1" applyProtection="1">
      <alignment/>
      <protection/>
    </xf>
    <xf numFmtId="190" fontId="31" fillId="24" borderId="0" xfId="0" applyNumberFormat="1" applyFont="1" applyFill="1" applyBorder="1" applyAlignment="1" applyProtection="1">
      <alignment horizontal="center"/>
      <protection/>
    </xf>
    <xf numFmtId="189" fontId="31" fillId="24" borderId="0" xfId="0" applyNumberFormat="1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/>
      <protection/>
    </xf>
    <xf numFmtId="3" fontId="31" fillId="24" borderId="0" xfId="0" applyNumberFormat="1" applyFont="1" applyFill="1" applyAlignment="1" applyProtection="1">
      <alignment horizontal="center"/>
      <protection/>
    </xf>
    <xf numFmtId="188" fontId="31" fillId="24" borderId="0" xfId="0" applyNumberFormat="1" applyFont="1" applyFill="1" applyBorder="1" applyAlignment="1" applyProtection="1">
      <alignment horizontal="center"/>
      <protection/>
    </xf>
    <xf numFmtId="193" fontId="31" fillId="24" borderId="0" xfId="0" applyNumberFormat="1" applyFont="1" applyFill="1" applyBorder="1" applyAlignment="1" applyProtection="1">
      <alignment/>
      <protection/>
    </xf>
    <xf numFmtId="193" fontId="31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right"/>
      <protection/>
    </xf>
    <xf numFmtId="1" fontId="1" fillId="24" borderId="0" xfId="0" applyNumberFormat="1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 horizontal="center"/>
      <protection/>
    </xf>
    <xf numFmtId="188" fontId="31" fillId="24" borderId="0" xfId="0" applyNumberFormat="1" applyFont="1" applyFill="1" applyAlignment="1" applyProtection="1">
      <alignment horizontal="center"/>
      <protection/>
    </xf>
    <xf numFmtId="2" fontId="1" fillId="24" borderId="0" xfId="0" applyNumberFormat="1" applyFont="1" applyFill="1" applyBorder="1" applyAlignment="1" applyProtection="1">
      <alignment/>
      <protection/>
    </xf>
    <xf numFmtId="189" fontId="1" fillId="24" borderId="0" xfId="0" applyNumberFormat="1" applyFont="1" applyFill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8" fillId="7" borderId="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0" fontId="31" fillId="7" borderId="0" xfId="0" applyFont="1" applyFill="1" applyAlignment="1" applyProtection="1">
      <alignment/>
      <protection/>
    </xf>
    <xf numFmtId="0" fontId="31" fillId="7" borderId="0" xfId="0" applyFont="1" applyFill="1" applyBorder="1" applyAlignment="1" applyProtection="1">
      <alignment/>
      <protection/>
    </xf>
    <xf numFmtId="0" fontId="31" fillId="7" borderId="0" xfId="0" applyFont="1" applyFill="1" applyBorder="1" applyAlignment="1" applyProtection="1">
      <alignment horizontal="center"/>
      <protection/>
    </xf>
    <xf numFmtId="0" fontId="31" fillId="7" borderId="0" xfId="0" applyFont="1" applyFill="1" applyBorder="1" applyAlignment="1" applyProtection="1">
      <alignment/>
      <protection/>
    </xf>
    <xf numFmtId="0" fontId="11" fillId="7" borderId="0" xfId="0" applyFont="1" applyFill="1" applyBorder="1" applyAlignment="1" applyProtection="1">
      <alignment/>
      <protection/>
    </xf>
    <xf numFmtId="0" fontId="32" fillId="7" borderId="0" xfId="0" applyFont="1" applyFill="1" applyBorder="1" applyAlignment="1" applyProtection="1">
      <alignment/>
      <protection/>
    </xf>
    <xf numFmtId="0" fontId="31" fillId="24" borderId="29" xfId="0" applyFont="1" applyFill="1" applyBorder="1" applyAlignment="1">
      <alignment horizontal="center"/>
    </xf>
    <xf numFmtId="3" fontId="31" fillId="24" borderId="0" xfId="0" applyNumberFormat="1" applyFont="1" applyFill="1" applyBorder="1" applyAlignment="1">
      <alignment horizontal="center"/>
    </xf>
    <xf numFmtId="0" fontId="31" fillId="24" borderId="0" xfId="0" applyFont="1" applyFill="1" applyAlignment="1">
      <alignment horizontal="left"/>
    </xf>
    <xf numFmtId="1" fontId="31" fillId="24" borderId="0" xfId="0" applyNumberFormat="1" applyFont="1" applyFill="1" applyBorder="1" applyAlignment="1" applyProtection="1">
      <alignment/>
      <protection/>
    </xf>
    <xf numFmtId="0" fontId="31" fillId="24" borderId="36" xfId="0" applyFont="1" applyFill="1" applyBorder="1" applyAlignment="1" applyProtection="1">
      <alignment horizontal="center"/>
      <protection/>
    </xf>
    <xf numFmtId="0" fontId="47" fillId="24" borderId="0" xfId="0" applyFont="1" applyFill="1" applyBorder="1" applyAlignment="1">
      <alignment horizontal="center"/>
    </xf>
    <xf numFmtId="0" fontId="47" fillId="24" borderId="0" xfId="0" applyFont="1" applyFill="1" applyAlignment="1">
      <alignment horizontal="center"/>
    </xf>
    <xf numFmtId="0" fontId="31" fillId="24" borderId="37" xfId="0" applyFont="1" applyFill="1" applyBorder="1" applyAlignment="1">
      <alignment horizontal="center"/>
    </xf>
    <xf numFmtId="0" fontId="31" fillId="24" borderId="28" xfId="0" applyFont="1" applyFill="1" applyBorder="1" applyAlignment="1">
      <alignment horizontal="center"/>
    </xf>
    <xf numFmtId="0" fontId="31" fillId="24" borderId="38" xfId="0" applyFont="1" applyFill="1" applyBorder="1" applyAlignment="1">
      <alignment horizontal="center"/>
    </xf>
    <xf numFmtId="0" fontId="31" fillId="24" borderId="36" xfId="0" applyFont="1" applyFill="1" applyBorder="1" applyAlignment="1">
      <alignment horizontal="center"/>
    </xf>
    <xf numFmtId="0" fontId="31" fillId="24" borderId="39" xfId="0" applyFont="1" applyFill="1" applyBorder="1" applyAlignment="1">
      <alignment horizontal="center"/>
    </xf>
    <xf numFmtId="0" fontId="31" fillId="24" borderId="35" xfId="0" applyFont="1" applyFill="1" applyBorder="1" applyAlignment="1">
      <alignment horizontal="center"/>
    </xf>
    <xf numFmtId="0" fontId="31" fillId="24" borderId="40" xfId="0" applyFont="1" applyFill="1" applyBorder="1" applyAlignment="1">
      <alignment horizontal="center"/>
    </xf>
    <xf numFmtId="0" fontId="31" fillId="24" borderId="19" xfId="0" applyFont="1" applyFill="1" applyBorder="1" applyAlignment="1">
      <alignment horizontal="center"/>
    </xf>
    <xf numFmtId="187" fontId="31" fillId="24" borderId="38" xfId="0" applyNumberFormat="1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/>
    </xf>
    <xf numFmtId="0" fontId="31" fillId="24" borderId="36" xfId="0" applyFont="1" applyFill="1" applyBorder="1" applyAlignment="1">
      <alignment horizontal="center" vertical="center"/>
    </xf>
    <xf numFmtId="187" fontId="31" fillId="24" borderId="36" xfId="0" applyNumberFormat="1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31" fillId="24" borderId="32" xfId="0" applyFont="1" applyFill="1" applyBorder="1" applyAlignment="1">
      <alignment horizontal="center"/>
    </xf>
    <xf numFmtId="0" fontId="31" fillId="24" borderId="33" xfId="0" applyFont="1" applyFill="1" applyBorder="1" applyAlignment="1">
      <alignment horizontal="center"/>
    </xf>
    <xf numFmtId="0" fontId="31" fillId="24" borderId="38" xfId="0" applyFont="1" applyFill="1" applyBorder="1" applyAlignment="1">
      <alignment horizontal="center" vertical="center"/>
    </xf>
    <xf numFmtId="187" fontId="31" fillId="24" borderId="36" xfId="0" applyNumberFormat="1" applyFont="1" applyFill="1" applyBorder="1" applyAlignment="1">
      <alignment horizontal="center" vertical="center"/>
    </xf>
    <xf numFmtId="187" fontId="31" fillId="24" borderId="38" xfId="0" applyNumberFormat="1" applyFont="1" applyFill="1" applyBorder="1" applyAlignment="1">
      <alignment horizontal="center" vertical="center"/>
    </xf>
    <xf numFmtId="187" fontId="31" fillId="24" borderId="37" xfId="0" applyNumberFormat="1" applyFont="1" applyFill="1" applyBorder="1" applyAlignment="1">
      <alignment horizontal="center" vertical="center"/>
    </xf>
    <xf numFmtId="0" fontId="31" fillId="24" borderId="37" xfId="0" applyFont="1" applyFill="1" applyBorder="1" applyAlignment="1">
      <alignment horizontal="center" vertical="center"/>
    </xf>
    <xf numFmtId="187" fontId="31" fillId="24" borderId="39" xfId="0" applyNumberFormat="1" applyFont="1" applyFill="1" applyBorder="1" applyAlignment="1">
      <alignment horizontal="center"/>
    </xf>
    <xf numFmtId="0" fontId="31" fillId="24" borderId="39" xfId="0" applyFont="1" applyFill="1" applyBorder="1" applyAlignment="1">
      <alignment horizontal="center" vertical="center"/>
    </xf>
    <xf numFmtId="2" fontId="31" fillId="24" borderId="0" xfId="0" applyNumberFormat="1" applyFont="1" applyFill="1" applyAlignment="1">
      <alignment horizontal="center"/>
    </xf>
    <xf numFmtId="187" fontId="31" fillId="24" borderId="39" xfId="0" applyNumberFormat="1" applyFont="1" applyFill="1" applyBorder="1" applyAlignment="1">
      <alignment horizontal="center" vertical="center"/>
    </xf>
    <xf numFmtId="187" fontId="31" fillId="24" borderId="37" xfId="0" applyNumberFormat="1" applyFont="1" applyFill="1" applyBorder="1" applyAlignment="1">
      <alignment horizontal="center"/>
    </xf>
    <xf numFmtId="0" fontId="31" fillId="24" borderId="0" xfId="0" applyFont="1" applyFill="1" applyAlignment="1">
      <alignment vertical="center"/>
    </xf>
    <xf numFmtId="0" fontId="31" fillId="24" borderId="26" xfId="0" applyFont="1" applyFill="1" applyBorder="1" applyAlignment="1">
      <alignment/>
    </xf>
    <xf numFmtId="0" fontId="56" fillId="22" borderId="41" xfId="0" applyFont="1" applyFill="1" applyBorder="1" applyAlignment="1">
      <alignment horizontal="center"/>
    </xf>
    <xf numFmtId="0" fontId="56" fillId="22" borderId="42" xfId="0" applyFont="1" applyFill="1" applyBorder="1" applyAlignment="1">
      <alignment horizontal="center"/>
    </xf>
    <xf numFmtId="0" fontId="56" fillId="22" borderId="43" xfId="0" applyFont="1" applyFill="1" applyBorder="1" applyAlignment="1">
      <alignment horizontal="center"/>
    </xf>
    <xf numFmtId="0" fontId="31" fillId="24" borderId="44" xfId="0" applyFont="1" applyFill="1" applyBorder="1" applyAlignment="1">
      <alignment horizontal="center"/>
    </xf>
    <xf numFmtId="0" fontId="31" fillId="24" borderId="45" xfId="0" applyFont="1" applyFill="1" applyBorder="1" applyAlignment="1">
      <alignment horizontal="center"/>
    </xf>
    <xf numFmtId="0" fontId="31" fillId="24" borderId="46" xfId="0" applyFont="1" applyFill="1" applyBorder="1" applyAlignment="1">
      <alignment horizontal="center"/>
    </xf>
    <xf numFmtId="0" fontId="31" fillId="24" borderId="47" xfId="0" applyFont="1" applyFill="1" applyBorder="1" applyAlignment="1">
      <alignment horizontal="center"/>
    </xf>
    <xf numFmtId="2" fontId="31" fillId="24" borderId="46" xfId="0" applyNumberFormat="1" applyFont="1" applyFill="1" applyBorder="1" applyAlignment="1">
      <alignment horizontal="center"/>
    </xf>
    <xf numFmtId="2" fontId="31" fillId="24" borderId="46" xfId="0" applyNumberFormat="1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/>
    </xf>
    <xf numFmtId="0" fontId="31" fillId="24" borderId="48" xfId="0" applyFont="1" applyFill="1" applyBorder="1" applyAlignment="1">
      <alignment horizontal="center"/>
    </xf>
    <xf numFmtId="0" fontId="31" fillId="24" borderId="49" xfId="0" applyFont="1" applyFill="1" applyBorder="1" applyAlignment="1">
      <alignment horizontal="center"/>
    </xf>
    <xf numFmtId="0" fontId="31" fillId="24" borderId="50" xfId="0" applyFont="1" applyFill="1" applyBorder="1" applyAlignment="1">
      <alignment horizontal="center"/>
    </xf>
    <xf numFmtId="187" fontId="31" fillId="24" borderId="51" xfId="0" applyNumberFormat="1" applyFont="1" applyFill="1" applyBorder="1" applyAlignment="1">
      <alignment horizontal="center"/>
    </xf>
    <xf numFmtId="0" fontId="31" fillId="24" borderId="51" xfId="0" applyFont="1" applyFill="1" applyBorder="1" applyAlignment="1">
      <alignment horizontal="center"/>
    </xf>
    <xf numFmtId="0" fontId="31" fillId="24" borderId="52" xfId="0" applyFont="1" applyFill="1" applyBorder="1" applyAlignment="1">
      <alignment horizontal="center"/>
    </xf>
    <xf numFmtId="0" fontId="31" fillId="24" borderId="53" xfId="0" applyFont="1" applyFill="1" applyBorder="1" applyAlignment="1">
      <alignment horizontal="center"/>
    </xf>
    <xf numFmtId="2" fontId="31" fillId="24" borderId="54" xfId="0" applyNumberFormat="1" applyFont="1" applyFill="1" applyBorder="1" applyAlignment="1">
      <alignment horizontal="center" vertical="center"/>
    </xf>
    <xf numFmtId="0" fontId="31" fillId="24" borderId="55" xfId="0" applyFont="1" applyFill="1" applyBorder="1" applyAlignment="1">
      <alignment horizontal="center"/>
    </xf>
    <xf numFmtId="0" fontId="31" fillId="24" borderId="54" xfId="0" applyFont="1" applyFill="1" applyBorder="1" applyAlignment="1">
      <alignment horizontal="center"/>
    </xf>
    <xf numFmtId="0" fontId="31" fillId="24" borderId="56" xfId="0" applyFont="1" applyFill="1" applyBorder="1" applyAlignment="1">
      <alignment horizontal="center"/>
    </xf>
    <xf numFmtId="2" fontId="31" fillId="24" borderId="54" xfId="0" applyNumberFormat="1" applyFont="1" applyFill="1" applyBorder="1" applyAlignment="1">
      <alignment horizontal="center"/>
    </xf>
    <xf numFmtId="0" fontId="56" fillId="22" borderId="57" xfId="0" applyFont="1" applyFill="1" applyBorder="1" applyAlignment="1">
      <alignment horizontal="center"/>
    </xf>
    <xf numFmtId="0" fontId="56" fillId="22" borderId="58" xfId="0" applyFont="1" applyFill="1" applyBorder="1" applyAlignment="1">
      <alignment horizontal="center"/>
    </xf>
    <xf numFmtId="0" fontId="56" fillId="22" borderId="59" xfId="0" applyFont="1" applyFill="1" applyBorder="1" applyAlignment="1">
      <alignment horizontal="center"/>
    </xf>
    <xf numFmtId="1" fontId="31" fillId="24" borderId="32" xfId="0" applyNumberFormat="1" applyFont="1" applyFill="1" applyBorder="1" applyAlignment="1">
      <alignment horizontal="center"/>
    </xf>
    <xf numFmtId="1" fontId="31" fillId="24" borderId="19" xfId="0" applyNumberFormat="1" applyFont="1" applyFill="1" applyBorder="1" applyAlignment="1">
      <alignment horizontal="center"/>
    </xf>
    <xf numFmtId="1" fontId="31" fillId="24" borderId="19" xfId="0" applyNumberFormat="1" applyFont="1" applyFill="1" applyBorder="1" applyAlignment="1">
      <alignment horizontal="center" vertical="center"/>
    </xf>
    <xf numFmtId="1" fontId="31" fillId="24" borderId="32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" fontId="31" fillId="24" borderId="34" xfId="0" applyNumberFormat="1" applyFont="1" applyFill="1" applyBorder="1" applyAlignment="1">
      <alignment horizontal="center"/>
    </xf>
    <xf numFmtId="1" fontId="31" fillId="24" borderId="34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/>
    </xf>
    <xf numFmtId="1" fontId="31" fillId="24" borderId="60" xfId="0" applyNumberFormat="1" applyFont="1" applyFill="1" applyBorder="1" applyAlignment="1">
      <alignment horizontal="center"/>
    </xf>
    <xf numFmtId="0" fontId="31" fillId="24" borderId="61" xfId="0" applyFont="1" applyFill="1" applyBorder="1" applyAlignment="1">
      <alignment horizontal="center"/>
    </xf>
    <xf numFmtId="2" fontId="31" fillId="24" borderId="56" xfId="0" applyNumberFormat="1" applyFont="1" applyFill="1" applyBorder="1" applyAlignment="1">
      <alignment horizontal="center"/>
    </xf>
    <xf numFmtId="2" fontId="31" fillId="24" borderId="56" xfId="0" applyNumberFormat="1" applyFont="1" applyFill="1" applyBorder="1" applyAlignment="1">
      <alignment horizontal="center" vertical="center"/>
    </xf>
    <xf numFmtId="2" fontId="31" fillId="24" borderId="55" xfId="0" applyNumberFormat="1" applyFont="1" applyFill="1" applyBorder="1" applyAlignment="1">
      <alignment horizontal="center" vertical="center"/>
    </xf>
    <xf numFmtId="2" fontId="31" fillId="24" borderId="62" xfId="0" applyNumberFormat="1" applyFont="1" applyFill="1" applyBorder="1" applyAlignment="1">
      <alignment horizontal="center"/>
    </xf>
    <xf numFmtId="2" fontId="31" fillId="24" borderId="62" xfId="0" applyNumberFormat="1" applyFont="1" applyFill="1" applyBorder="1" applyAlignment="1">
      <alignment horizontal="center" vertical="center"/>
    </xf>
    <xf numFmtId="2" fontId="31" fillId="24" borderId="55" xfId="0" applyNumberFormat="1" applyFont="1" applyFill="1" applyBorder="1" applyAlignment="1">
      <alignment horizontal="center"/>
    </xf>
    <xf numFmtId="2" fontId="31" fillId="24" borderId="63" xfId="0" applyNumberFormat="1" applyFont="1" applyFill="1" applyBorder="1" applyAlignment="1">
      <alignment horizontal="center"/>
    </xf>
    <xf numFmtId="0" fontId="56" fillId="22" borderId="64" xfId="0" applyFont="1" applyFill="1" applyBorder="1" applyAlignment="1">
      <alignment horizontal="center"/>
    </xf>
    <xf numFmtId="0" fontId="56" fillId="22" borderId="65" xfId="0" applyFont="1" applyFill="1" applyBorder="1" applyAlignment="1">
      <alignment horizontal="center"/>
    </xf>
    <xf numFmtId="0" fontId="56" fillId="22" borderId="53" xfId="0" applyFont="1" applyFill="1" applyBorder="1" applyAlignment="1">
      <alignment horizontal="center"/>
    </xf>
    <xf numFmtId="0" fontId="56" fillId="22" borderId="66" xfId="0" applyFont="1" applyFill="1" applyBorder="1" applyAlignment="1">
      <alignment horizontal="center"/>
    </xf>
    <xf numFmtId="2" fontId="31" fillId="24" borderId="18" xfId="0" applyNumberFormat="1" applyFont="1" applyFill="1" applyBorder="1" applyAlignment="1">
      <alignment horizontal="center" vertical="center"/>
    </xf>
    <xf numFmtId="2" fontId="31" fillId="24" borderId="0" xfId="0" applyNumberFormat="1" applyFont="1" applyFill="1" applyBorder="1" applyAlignment="1">
      <alignment horizontal="center" vertical="center"/>
    </xf>
    <xf numFmtId="2" fontId="31" fillId="24" borderId="29" xfId="0" applyNumberFormat="1" applyFont="1" applyFill="1" applyBorder="1" applyAlignment="1">
      <alignment horizontal="center" vertical="center"/>
    </xf>
    <xf numFmtId="2" fontId="31" fillId="24" borderId="20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/>
    </xf>
    <xf numFmtId="0" fontId="31" fillId="24" borderId="40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1" fillId="24" borderId="28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horizontal="center" vertical="center"/>
    </xf>
    <xf numFmtId="0" fontId="56" fillId="22" borderId="67" xfId="0" applyFont="1" applyFill="1" applyBorder="1" applyAlignment="1">
      <alignment horizontal="center"/>
    </xf>
    <xf numFmtId="3" fontId="31" fillId="24" borderId="44" xfId="0" applyNumberFormat="1" applyFont="1" applyFill="1" applyBorder="1" applyAlignment="1">
      <alignment horizontal="center"/>
    </xf>
    <xf numFmtId="3" fontId="31" fillId="24" borderId="45" xfId="0" applyNumberFormat="1" applyFont="1" applyFill="1" applyBorder="1" applyAlignment="1">
      <alignment horizontal="center"/>
    </xf>
    <xf numFmtId="3" fontId="31" fillId="24" borderId="46" xfId="0" applyNumberFormat="1" applyFont="1" applyFill="1" applyBorder="1" applyAlignment="1">
      <alignment horizontal="center"/>
    </xf>
    <xf numFmtId="3" fontId="31" fillId="24" borderId="47" xfId="0" applyNumberFormat="1" applyFont="1" applyFill="1" applyBorder="1" applyAlignment="1">
      <alignment horizontal="center"/>
    </xf>
    <xf numFmtId="4" fontId="31" fillId="24" borderId="45" xfId="0" applyNumberFormat="1" applyFont="1" applyFill="1" applyBorder="1" applyAlignment="1">
      <alignment horizontal="center"/>
    </xf>
    <xf numFmtId="4" fontId="31" fillId="24" borderId="47" xfId="0" applyNumberFormat="1" applyFont="1" applyFill="1" applyBorder="1" applyAlignment="1">
      <alignment horizontal="center"/>
    </xf>
    <xf numFmtId="3" fontId="31" fillId="24" borderId="46" xfId="0" applyNumberFormat="1" applyFont="1" applyFill="1" applyBorder="1" applyAlignment="1">
      <alignment horizontal="center" vertical="center"/>
    </xf>
    <xf numFmtId="3" fontId="31" fillId="24" borderId="47" xfId="0" applyNumberFormat="1" applyFont="1" applyFill="1" applyBorder="1" applyAlignment="1">
      <alignment horizontal="center" vertical="center"/>
    </xf>
    <xf numFmtId="3" fontId="31" fillId="24" borderId="44" xfId="0" applyNumberFormat="1" applyFont="1" applyFill="1" applyBorder="1" applyAlignment="1">
      <alignment horizontal="center" vertical="center"/>
    </xf>
    <xf numFmtId="3" fontId="31" fillId="24" borderId="45" xfId="0" applyNumberFormat="1" applyFont="1" applyFill="1" applyBorder="1" applyAlignment="1">
      <alignment horizontal="center" vertical="center"/>
    </xf>
    <xf numFmtId="3" fontId="31" fillId="24" borderId="68" xfId="0" applyNumberFormat="1" applyFont="1" applyFill="1" applyBorder="1" applyAlignment="1">
      <alignment horizontal="center" vertical="center"/>
    </xf>
    <xf numFmtId="3" fontId="31" fillId="24" borderId="48" xfId="0" applyNumberFormat="1" applyFont="1" applyFill="1" applyBorder="1" applyAlignment="1">
      <alignment horizontal="center" vertical="center"/>
    </xf>
    <xf numFmtId="3" fontId="31" fillId="24" borderId="69" xfId="0" applyNumberFormat="1" applyFont="1" applyFill="1" applyBorder="1" applyAlignment="1">
      <alignment horizontal="center" vertical="center"/>
    </xf>
    <xf numFmtId="3" fontId="31" fillId="24" borderId="49" xfId="0" applyNumberFormat="1" applyFont="1" applyFill="1" applyBorder="1" applyAlignment="1">
      <alignment horizontal="center" vertical="center"/>
    </xf>
    <xf numFmtId="3" fontId="31" fillId="24" borderId="69" xfId="0" applyNumberFormat="1" applyFont="1" applyFill="1" applyBorder="1" applyAlignment="1">
      <alignment horizontal="center"/>
    </xf>
    <xf numFmtId="3" fontId="31" fillId="24" borderId="49" xfId="0" applyNumberFormat="1" applyFont="1" applyFill="1" applyBorder="1" applyAlignment="1">
      <alignment horizontal="center"/>
    </xf>
    <xf numFmtId="3" fontId="31" fillId="24" borderId="68" xfId="0" applyNumberFormat="1" applyFont="1" applyFill="1" applyBorder="1" applyAlignment="1">
      <alignment horizontal="center"/>
    </xf>
    <xf numFmtId="3" fontId="31" fillId="24" borderId="48" xfId="0" applyNumberFormat="1" applyFont="1" applyFill="1" applyBorder="1" applyAlignment="1">
      <alignment horizontal="center"/>
    </xf>
    <xf numFmtId="3" fontId="31" fillId="24" borderId="50" xfId="0" applyNumberFormat="1" applyFont="1" applyFill="1" applyBorder="1" applyAlignment="1">
      <alignment horizontal="center"/>
    </xf>
    <xf numFmtId="3" fontId="31" fillId="24" borderId="52" xfId="0" applyNumberFormat="1" applyFont="1" applyFill="1" applyBorder="1" applyAlignment="1">
      <alignment horizontal="center"/>
    </xf>
    <xf numFmtId="0" fontId="31" fillId="24" borderId="47" xfId="0" applyFont="1" applyFill="1" applyBorder="1" applyAlignment="1">
      <alignment horizontal="center" vertical="center"/>
    </xf>
    <xf numFmtId="0" fontId="31" fillId="24" borderId="45" xfId="0" applyFont="1" applyFill="1" applyBorder="1" applyAlignment="1">
      <alignment horizontal="center" vertical="center"/>
    </xf>
    <xf numFmtId="0" fontId="31" fillId="24" borderId="48" xfId="0" applyFont="1" applyFill="1" applyBorder="1" applyAlignment="1">
      <alignment horizontal="center" vertical="center"/>
    </xf>
    <xf numFmtId="0" fontId="31" fillId="24" borderId="49" xfId="0" applyFont="1" applyFill="1" applyBorder="1" applyAlignment="1">
      <alignment horizontal="center" vertical="center"/>
    </xf>
    <xf numFmtId="0" fontId="31" fillId="24" borderId="69" xfId="0" applyFont="1" applyFill="1" applyBorder="1" applyAlignment="1">
      <alignment horizontal="center"/>
    </xf>
    <xf numFmtId="0" fontId="31" fillId="24" borderId="70" xfId="0" applyFont="1" applyFill="1" applyBorder="1" applyAlignment="1">
      <alignment horizontal="center"/>
    </xf>
    <xf numFmtId="0" fontId="31" fillId="24" borderId="71" xfId="0" applyFont="1" applyFill="1" applyBorder="1" applyAlignment="1">
      <alignment horizontal="center"/>
    </xf>
    <xf numFmtId="0" fontId="31" fillId="24" borderId="72" xfId="0" applyFont="1" applyFill="1" applyBorder="1" applyAlignment="1">
      <alignment horizontal="center"/>
    </xf>
    <xf numFmtId="0" fontId="31" fillId="24" borderId="25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1" fillId="24" borderId="73" xfId="0" applyFont="1" applyFill="1" applyBorder="1" applyAlignment="1">
      <alignment horizontal="center"/>
    </xf>
    <xf numFmtId="0" fontId="31" fillId="24" borderId="31" xfId="0" applyFont="1" applyFill="1" applyBorder="1" applyAlignment="1">
      <alignment horizontal="center"/>
    </xf>
    <xf numFmtId="0" fontId="31" fillId="24" borderId="57" xfId="0" applyFont="1" applyFill="1" applyBorder="1" applyAlignment="1">
      <alignment horizontal="center"/>
    </xf>
    <xf numFmtId="0" fontId="31" fillId="24" borderId="59" xfId="0" applyFont="1" applyFill="1" applyBorder="1" applyAlignment="1">
      <alignment horizontal="center"/>
    </xf>
    <xf numFmtId="0" fontId="31" fillId="24" borderId="74" xfId="0" applyFont="1" applyFill="1" applyBorder="1" applyAlignment="1">
      <alignment horizontal="center"/>
    </xf>
    <xf numFmtId="0" fontId="31" fillId="24" borderId="64" xfId="0" applyFont="1" applyFill="1" applyBorder="1" applyAlignment="1">
      <alignment horizontal="center"/>
    </xf>
    <xf numFmtId="0" fontId="31" fillId="24" borderId="62" xfId="0" applyFont="1" applyFill="1" applyBorder="1" applyAlignment="1">
      <alignment horizontal="center"/>
    </xf>
    <xf numFmtId="0" fontId="31" fillId="24" borderId="63" xfId="0" applyFont="1" applyFill="1" applyBorder="1" applyAlignment="1">
      <alignment horizontal="center"/>
    </xf>
    <xf numFmtId="0" fontId="31" fillId="24" borderId="75" xfId="0" applyFont="1" applyFill="1" applyBorder="1" applyAlignment="1">
      <alignment horizontal="center"/>
    </xf>
    <xf numFmtId="0" fontId="31" fillId="24" borderId="68" xfId="0" applyFont="1" applyFill="1" applyBorder="1" applyAlignment="1">
      <alignment horizontal="center"/>
    </xf>
    <xf numFmtId="0" fontId="56" fillId="22" borderId="74" xfId="0" applyFont="1" applyFill="1" applyBorder="1" applyAlignment="1">
      <alignment horizontal="center"/>
    </xf>
    <xf numFmtId="0" fontId="56" fillId="22" borderId="75" xfId="0" applyFont="1" applyFill="1" applyBorder="1" applyAlignment="1">
      <alignment horizontal="center"/>
    </xf>
    <xf numFmtId="0" fontId="31" fillId="24" borderId="34" xfId="0" applyFont="1" applyFill="1" applyBorder="1" applyAlignment="1">
      <alignment horizontal="center"/>
    </xf>
    <xf numFmtId="0" fontId="31" fillId="24" borderId="60" xfId="0" applyFont="1" applyFill="1" applyBorder="1" applyAlignment="1">
      <alignment horizontal="center"/>
    </xf>
    <xf numFmtId="0" fontId="56" fillId="22" borderId="76" xfId="0" applyFont="1" applyFill="1" applyBorder="1" applyAlignment="1">
      <alignment horizontal="center"/>
    </xf>
    <xf numFmtId="0" fontId="56" fillId="22" borderId="23" xfId="0" applyFont="1" applyFill="1" applyBorder="1" applyAlignment="1">
      <alignment horizontal="center"/>
    </xf>
    <xf numFmtId="0" fontId="56" fillId="22" borderId="24" xfId="0" applyFont="1" applyFill="1" applyBorder="1" applyAlignment="1">
      <alignment horizontal="center"/>
    </xf>
    <xf numFmtId="0" fontId="56" fillId="22" borderId="25" xfId="0" applyFont="1" applyFill="1" applyBorder="1" applyAlignment="1">
      <alignment horizontal="center"/>
    </xf>
    <xf numFmtId="0" fontId="56" fillId="22" borderId="0" xfId="0" applyFont="1" applyFill="1" applyBorder="1" applyAlignment="1">
      <alignment horizontal="center"/>
    </xf>
    <xf numFmtId="0" fontId="56" fillId="22" borderId="62" xfId="0" applyFont="1" applyFill="1" applyBorder="1" applyAlignment="1">
      <alignment horizontal="center"/>
    </xf>
    <xf numFmtId="0" fontId="56" fillId="22" borderId="20" xfId="0" applyFont="1" applyFill="1" applyBorder="1" applyAlignment="1">
      <alignment horizontal="center"/>
    </xf>
    <xf numFmtId="0" fontId="56" fillId="22" borderId="73" xfId="0" applyFont="1" applyFill="1" applyBorder="1" applyAlignment="1">
      <alignment horizontal="center"/>
    </xf>
    <xf numFmtId="0" fontId="56" fillId="22" borderId="18" xfId="0" applyFont="1" applyFill="1" applyBorder="1" applyAlignment="1">
      <alignment horizontal="center"/>
    </xf>
    <xf numFmtId="0" fontId="56" fillId="22" borderId="54" xfId="0" applyFont="1" applyFill="1" applyBorder="1" applyAlignment="1">
      <alignment horizontal="center"/>
    </xf>
    <xf numFmtId="0" fontId="56" fillId="22" borderId="72" xfId="0" applyFont="1" applyFill="1" applyBorder="1" applyAlignment="1">
      <alignment horizontal="center"/>
    </xf>
    <xf numFmtId="0" fontId="56" fillId="22" borderId="22" xfId="0" applyFont="1" applyFill="1" applyBorder="1" applyAlignment="1">
      <alignment horizontal="center"/>
    </xf>
    <xf numFmtId="0" fontId="31" fillId="24" borderId="46" xfId="0" applyFont="1" applyFill="1" applyBorder="1" applyAlignment="1">
      <alignment horizontal="center" vertical="center"/>
    </xf>
    <xf numFmtId="0" fontId="56" fillId="22" borderId="77" xfId="0" applyFont="1" applyFill="1" applyBorder="1" applyAlignment="1">
      <alignment horizontal="center"/>
    </xf>
    <xf numFmtId="0" fontId="31" fillId="24" borderId="71" xfId="0" applyFont="1" applyFill="1" applyBorder="1" applyAlignment="1">
      <alignment horizontal="center" vertical="center"/>
    </xf>
    <xf numFmtId="16" fontId="48" fillId="24" borderId="78" xfId="0" applyNumberFormat="1" applyFont="1" applyFill="1" applyBorder="1" applyAlignment="1">
      <alignment horizontal="center" vertical="center"/>
    </xf>
    <xf numFmtId="0" fontId="56" fillId="22" borderId="56" xfId="0" applyFont="1" applyFill="1" applyBorder="1" applyAlignment="1">
      <alignment horizontal="center"/>
    </xf>
    <xf numFmtId="0" fontId="56" fillId="22" borderId="26" xfId="0" applyFont="1" applyFill="1" applyBorder="1" applyAlignment="1">
      <alignment horizontal="center"/>
    </xf>
    <xf numFmtId="0" fontId="56" fillId="22" borderId="71" xfId="0" applyFont="1" applyFill="1" applyBorder="1" applyAlignment="1">
      <alignment horizontal="center"/>
    </xf>
    <xf numFmtId="0" fontId="31" fillId="24" borderId="65" xfId="0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31" fillId="24" borderId="0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/>
    </xf>
    <xf numFmtId="0" fontId="40" fillId="24" borderId="0" xfId="0" applyFont="1" applyFill="1" applyAlignment="1" applyProtection="1">
      <alignment/>
      <protection/>
    </xf>
    <xf numFmtId="0" fontId="45" fillId="24" borderId="0" xfId="0" applyFont="1" applyFill="1" applyAlignment="1" applyProtection="1">
      <alignment/>
      <protection/>
    </xf>
    <xf numFmtId="0" fontId="35" fillId="24" borderId="20" xfId="0" applyFont="1" applyFill="1" applyBorder="1" applyAlignment="1" applyProtection="1">
      <alignment vertical="center"/>
      <protection/>
    </xf>
    <xf numFmtId="0" fontId="39" fillId="24" borderId="0" xfId="0" applyFont="1" applyFill="1" applyAlignment="1" applyProtection="1">
      <alignment/>
      <protection/>
    </xf>
    <xf numFmtId="0" fontId="31" fillId="24" borderId="2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59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40" fillId="24" borderId="0" xfId="0" applyFont="1" applyFill="1" applyBorder="1" applyAlignment="1" applyProtection="1">
      <alignment/>
      <protection/>
    </xf>
    <xf numFmtId="2" fontId="41" fillId="24" borderId="0" xfId="0" applyNumberFormat="1" applyFont="1" applyFill="1" applyBorder="1" applyAlignment="1" applyProtection="1">
      <alignment/>
      <protection/>
    </xf>
    <xf numFmtId="189" fontId="39" fillId="24" borderId="0" xfId="0" applyNumberFormat="1" applyFont="1" applyFill="1" applyBorder="1" applyAlignment="1" applyProtection="1">
      <alignment/>
      <protection/>
    </xf>
    <xf numFmtId="2" fontId="1" fillId="24" borderId="0" xfId="0" applyNumberFormat="1" applyFont="1" applyFill="1" applyBorder="1" applyAlignment="1" applyProtection="1">
      <alignment vertical="center"/>
      <protection/>
    </xf>
    <xf numFmtId="188" fontId="1" fillId="24" borderId="0" xfId="0" applyNumberFormat="1" applyFont="1" applyFill="1" applyBorder="1" applyAlignment="1" applyProtection="1">
      <alignment/>
      <protection/>
    </xf>
    <xf numFmtId="187" fontId="1" fillId="24" borderId="0" xfId="0" applyNumberFormat="1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 vertical="center"/>
      <protection/>
    </xf>
    <xf numFmtId="0" fontId="52" fillId="24" borderId="0" xfId="0" applyFont="1" applyFill="1" applyBorder="1" applyAlignment="1" applyProtection="1">
      <alignment/>
      <protection/>
    </xf>
    <xf numFmtId="0" fontId="13" fillId="7" borderId="0" xfId="0" applyFont="1" applyFill="1" applyBorder="1" applyAlignment="1" applyProtection="1">
      <alignment/>
      <protection/>
    </xf>
    <xf numFmtId="2" fontId="31" fillId="7" borderId="0" xfId="0" applyNumberFormat="1" applyFont="1" applyFill="1" applyBorder="1" applyAlignment="1" applyProtection="1">
      <alignment/>
      <protection/>
    </xf>
    <xf numFmtId="0" fontId="31" fillId="24" borderId="29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/>
    </xf>
    <xf numFmtId="0" fontId="31" fillId="24" borderId="28" xfId="0" applyFont="1" applyFill="1" applyBorder="1" applyAlignment="1" applyProtection="1">
      <alignment horizontal="center"/>
      <protection/>
    </xf>
    <xf numFmtId="188" fontId="31" fillId="24" borderId="33" xfId="0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2" fontId="31" fillId="24" borderId="20" xfId="0" applyNumberFormat="1" applyFont="1" applyFill="1" applyBorder="1" applyAlignment="1" applyProtection="1">
      <alignment horizontal="center"/>
      <protection/>
    </xf>
    <xf numFmtId="188" fontId="31" fillId="24" borderId="35" xfId="0" applyNumberFormat="1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right"/>
      <protection/>
    </xf>
    <xf numFmtId="0" fontId="1" fillId="24" borderId="0" xfId="0" applyFont="1" applyFill="1" applyAlignment="1" applyProtection="1">
      <alignment/>
      <protection/>
    </xf>
    <xf numFmtId="4" fontId="39" fillId="24" borderId="0" xfId="0" applyNumberFormat="1" applyFont="1" applyFill="1" applyAlignment="1" applyProtection="1">
      <alignment/>
      <protection/>
    </xf>
    <xf numFmtId="4" fontId="31" fillId="24" borderId="0" xfId="0" applyNumberFormat="1" applyFont="1" applyFill="1" applyAlignment="1" applyProtection="1">
      <alignment/>
      <protection/>
    </xf>
    <xf numFmtId="1" fontId="39" fillId="24" borderId="0" xfId="0" applyNumberFormat="1" applyFont="1" applyFill="1" applyBorder="1" applyAlignment="1" applyProtection="1">
      <alignment/>
      <protection/>
    </xf>
    <xf numFmtId="0" fontId="31" fillId="7" borderId="20" xfId="0" applyFont="1" applyFill="1" applyBorder="1" applyAlignment="1" applyProtection="1">
      <alignment/>
      <protection/>
    </xf>
    <xf numFmtId="0" fontId="31" fillId="24" borderId="30" xfId="0" applyFont="1" applyFill="1" applyBorder="1" applyAlignment="1" applyProtection="1">
      <alignment horizontal="center"/>
      <protection locked="0"/>
    </xf>
    <xf numFmtId="0" fontId="31" fillId="24" borderId="21" xfId="0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/>
    </xf>
    <xf numFmtId="0" fontId="31" fillId="24" borderId="0" xfId="0" applyFont="1" applyFill="1" applyBorder="1" applyAlignment="1" applyProtection="1">
      <alignment horizontal="center" vertical="center" textRotation="90"/>
      <protection/>
    </xf>
    <xf numFmtId="2" fontId="41" fillId="24" borderId="0" xfId="0" applyNumberFormat="1" applyFont="1" applyFill="1" applyBorder="1" applyAlignment="1" applyProtection="1">
      <alignment horizontal="center"/>
      <protection locked="0"/>
    </xf>
    <xf numFmtId="0" fontId="41" fillId="24" borderId="0" xfId="0" applyFont="1" applyFill="1" applyBorder="1" applyAlignment="1" applyProtection="1">
      <alignment horizontal="center"/>
      <protection locked="0"/>
    </xf>
    <xf numFmtId="0" fontId="32" fillId="26" borderId="79" xfId="0" applyFont="1" applyFill="1" applyBorder="1" applyAlignment="1">
      <alignment horizontal="center"/>
    </xf>
    <xf numFmtId="0" fontId="32" fillId="26" borderId="80" xfId="0" applyFont="1" applyFill="1" applyBorder="1" applyAlignment="1">
      <alignment horizontal="center"/>
    </xf>
    <xf numFmtId="0" fontId="32" fillId="26" borderId="81" xfId="0" applyFont="1" applyFill="1" applyBorder="1" applyAlignment="1">
      <alignment horizontal="center"/>
    </xf>
    <xf numFmtId="0" fontId="0" fillId="24" borderId="82" xfId="0" applyFill="1" applyBorder="1" applyAlignment="1" applyProtection="1">
      <alignment/>
      <protection/>
    </xf>
    <xf numFmtId="0" fontId="0" fillId="24" borderId="83" xfId="0" applyFill="1" applyBorder="1" applyAlignment="1" applyProtection="1">
      <alignment/>
      <protection/>
    </xf>
    <xf numFmtId="0" fontId="31" fillId="24" borderId="29" xfId="0" applyFont="1" applyFill="1" applyBorder="1" applyAlignment="1" applyProtection="1">
      <alignment horizontal="center"/>
      <protection/>
    </xf>
    <xf numFmtId="3" fontId="41" fillId="24" borderId="0" xfId="0" applyNumberFormat="1" applyFont="1" applyFill="1" applyBorder="1" applyAlignment="1" applyProtection="1">
      <alignment horizontal="center"/>
      <protection locked="0"/>
    </xf>
    <xf numFmtId="0" fontId="31" fillId="24" borderId="84" xfId="0" applyFont="1" applyFill="1" applyBorder="1" applyAlignment="1" applyProtection="1">
      <alignment horizontal="center"/>
      <protection/>
    </xf>
    <xf numFmtId="0" fontId="0" fillId="24" borderId="84" xfId="0" applyFill="1" applyBorder="1" applyAlignment="1" applyProtection="1">
      <alignment/>
      <protection/>
    </xf>
    <xf numFmtId="0" fontId="0" fillId="24" borderId="85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31" fillId="24" borderId="86" xfId="0" applyFont="1" applyFill="1" applyBorder="1" applyAlignment="1" applyProtection="1">
      <alignment horizontal="center"/>
      <protection/>
    </xf>
    <xf numFmtId="0" fontId="31" fillId="24" borderId="87" xfId="0" applyFont="1" applyFill="1" applyBorder="1" applyAlignment="1" applyProtection="1">
      <alignment horizontal="center"/>
      <protection/>
    </xf>
    <xf numFmtId="0" fontId="1" fillId="24" borderId="88" xfId="0" applyFont="1" applyFill="1" applyBorder="1" applyAlignment="1" applyProtection="1">
      <alignment horizontal="center"/>
      <protection locked="0"/>
    </xf>
    <xf numFmtId="0" fontId="1" fillId="24" borderId="86" xfId="0" applyFont="1" applyFill="1" applyBorder="1" applyAlignment="1" applyProtection="1">
      <alignment horizontal="center"/>
      <protection locked="0"/>
    </xf>
    <xf numFmtId="0" fontId="1" fillId="24" borderId="87" xfId="0" applyFont="1" applyFill="1" applyBorder="1" applyAlignment="1" applyProtection="1">
      <alignment horizontal="center"/>
      <protection locked="0"/>
    </xf>
    <xf numFmtId="4" fontId="39" fillId="24" borderId="0" xfId="0" applyNumberFormat="1" applyFont="1" applyFill="1" applyBorder="1" applyAlignment="1" applyProtection="1">
      <alignment horizontal="center"/>
      <protection/>
    </xf>
    <xf numFmtId="3" fontId="31" fillId="24" borderId="0" xfId="0" applyNumberFormat="1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2" fontId="31" fillId="24" borderId="0" xfId="0" applyNumberFormat="1" applyFont="1" applyFill="1" applyBorder="1" applyAlignment="1" applyProtection="1">
      <alignment horizontal="center"/>
      <protection/>
    </xf>
    <xf numFmtId="0" fontId="31" fillId="24" borderId="0" xfId="0" applyFont="1" applyFill="1" applyAlignment="1" applyProtection="1">
      <alignment horizontal="center"/>
      <protection/>
    </xf>
    <xf numFmtId="1" fontId="31" fillId="24" borderId="0" xfId="0" applyNumberFormat="1" applyFont="1" applyFill="1" applyBorder="1" applyAlignment="1" applyProtection="1">
      <alignment horizontal="center"/>
      <protection/>
    </xf>
    <xf numFmtId="0" fontId="1" fillId="24" borderId="88" xfId="0" applyFont="1" applyFill="1" applyBorder="1" applyAlignment="1" applyProtection="1">
      <alignment horizontal="left"/>
      <protection/>
    </xf>
    <xf numFmtId="0" fontId="1" fillId="24" borderId="86" xfId="0" applyFont="1" applyFill="1" applyBorder="1" applyAlignment="1" applyProtection="1">
      <alignment horizontal="left"/>
      <protection/>
    </xf>
    <xf numFmtId="0" fontId="1" fillId="24" borderId="87" xfId="0" applyFont="1" applyFill="1" applyBorder="1" applyAlignment="1" applyProtection="1">
      <alignment horizontal="left"/>
      <protection/>
    </xf>
    <xf numFmtId="0" fontId="13" fillId="24" borderId="23" xfId="0" applyFont="1" applyFill="1" applyBorder="1" applyAlignment="1" applyProtection="1">
      <alignment horizontal="center"/>
      <protection/>
    </xf>
    <xf numFmtId="0" fontId="3" fillId="24" borderId="89" xfId="0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3" fillId="24" borderId="90" xfId="0" applyFont="1" applyFill="1" applyBorder="1" applyAlignment="1" applyProtection="1">
      <alignment horizontal="right"/>
      <protection/>
    </xf>
    <xf numFmtId="14" fontId="31" fillId="24" borderId="88" xfId="0" applyNumberFormat="1" applyFont="1" applyFill="1" applyBorder="1" applyAlignment="1" applyProtection="1">
      <alignment horizontal="center"/>
      <protection/>
    </xf>
    <xf numFmtId="0" fontId="7" fillId="24" borderId="0" xfId="0" applyFont="1" applyFill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1" fillId="24" borderId="0" xfId="0" applyFont="1" applyFill="1" applyAlignment="1">
      <alignment horizontal="left"/>
    </xf>
    <xf numFmtId="0" fontId="7" fillId="24" borderId="0" xfId="0" applyFont="1" applyFill="1" applyAlignment="1">
      <alignment horizontal="right"/>
    </xf>
    <xf numFmtId="0" fontId="11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0" fontId="12" fillId="25" borderId="19" xfId="0" applyFont="1" applyFill="1" applyBorder="1" applyAlignment="1" applyProtection="1">
      <alignment horizontal="left"/>
      <protection locked="0"/>
    </xf>
    <xf numFmtId="0" fontId="12" fillId="25" borderId="18" xfId="0" applyFont="1" applyFill="1" applyBorder="1" applyAlignment="1" applyProtection="1">
      <alignment horizontal="left"/>
      <protection locked="0"/>
    </xf>
    <xf numFmtId="0" fontId="12" fillId="25" borderId="20" xfId="0" applyFont="1" applyFill="1" applyBorder="1" applyAlignment="1" applyProtection="1">
      <alignment horizontal="left"/>
      <protection locked="0"/>
    </xf>
    <xf numFmtId="0" fontId="12" fillId="25" borderId="40" xfId="0" applyFont="1" applyFill="1" applyBorder="1" applyAlignment="1" applyProtection="1">
      <alignment horizontal="left"/>
      <protection locked="0"/>
    </xf>
    <xf numFmtId="0" fontId="1" fillId="24" borderId="91" xfId="0" applyFont="1" applyFill="1" applyBorder="1" applyAlignment="1" applyProtection="1">
      <alignment horizontal="center"/>
      <protection/>
    </xf>
    <xf numFmtId="0" fontId="1" fillId="24" borderId="92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center"/>
      <protection/>
    </xf>
    <xf numFmtId="0" fontId="41" fillId="24" borderId="19" xfId="0" applyFont="1" applyFill="1" applyBorder="1" applyAlignment="1" applyProtection="1">
      <alignment horizontal="center"/>
      <protection locked="0"/>
    </xf>
    <xf numFmtId="0" fontId="41" fillId="24" borderId="18" xfId="0" applyFont="1" applyFill="1" applyBorder="1" applyAlignment="1" applyProtection="1">
      <alignment horizontal="center"/>
      <protection locked="0"/>
    </xf>
    <xf numFmtId="0" fontId="41" fillId="24" borderId="40" xfId="0" applyFont="1" applyFill="1" applyBorder="1" applyAlignment="1" applyProtection="1">
      <alignment horizontal="center"/>
      <protection locked="0"/>
    </xf>
    <xf numFmtId="0" fontId="31" fillId="24" borderId="0" xfId="0" applyFont="1" applyFill="1" applyAlignment="1" applyProtection="1">
      <alignment horizontal="left"/>
      <protection/>
    </xf>
    <xf numFmtId="2" fontId="39" fillId="24" borderId="0" xfId="0" applyNumberFormat="1" applyFont="1" applyFill="1" applyBorder="1" applyAlignment="1" applyProtection="1">
      <alignment horizontal="center"/>
      <protection/>
    </xf>
    <xf numFmtId="0" fontId="39" fillId="24" borderId="0" xfId="0" applyFont="1" applyFill="1" applyBorder="1" applyAlignment="1" applyProtection="1">
      <alignment horizontal="center"/>
      <protection/>
    </xf>
    <xf numFmtId="189" fontId="31" fillId="24" borderId="0" xfId="0" applyNumberFormat="1" applyFont="1" applyFill="1" applyBorder="1" applyAlignment="1" applyProtection="1">
      <alignment horizontal="center"/>
      <protection/>
    </xf>
    <xf numFmtId="0" fontId="31" fillId="24" borderId="31" xfId="0" applyFont="1" applyFill="1" applyBorder="1" applyAlignment="1" applyProtection="1">
      <alignment horizontal="center"/>
      <protection locked="0"/>
    </xf>
    <xf numFmtId="0" fontId="32" fillId="26" borderId="19" xfId="0" applyFont="1" applyFill="1" applyBorder="1" applyAlignment="1" applyProtection="1">
      <alignment horizontal="center"/>
      <protection/>
    </xf>
    <xf numFmtId="0" fontId="32" fillId="26" borderId="18" xfId="0" applyFont="1" applyFill="1" applyBorder="1" applyAlignment="1" applyProtection="1">
      <alignment horizontal="center"/>
      <protection/>
    </xf>
    <xf numFmtId="0" fontId="32" fillId="26" borderId="28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31" fillId="24" borderId="0" xfId="0" applyFont="1" applyFill="1" applyBorder="1" applyAlignment="1" applyProtection="1">
      <alignment horizontal="left"/>
      <protection/>
    </xf>
    <xf numFmtId="0" fontId="6" fillId="24" borderId="34" xfId="0" applyFont="1" applyFill="1" applyBorder="1" applyAlignment="1" applyProtection="1">
      <alignment horizontal="center"/>
      <protection locked="0"/>
    </xf>
    <xf numFmtId="0" fontId="6" fillId="24" borderId="20" xfId="0" applyFont="1" applyFill="1" applyBorder="1" applyAlignment="1" applyProtection="1">
      <alignment horizontal="center"/>
      <protection locked="0"/>
    </xf>
    <xf numFmtId="0" fontId="13" fillId="26" borderId="19" xfId="0" applyFont="1" applyFill="1" applyBorder="1" applyAlignment="1" applyProtection="1">
      <alignment horizontal="center"/>
      <protection/>
    </xf>
    <xf numFmtId="0" fontId="13" fillId="26" borderId="18" xfId="0" applyFont="1" applyFill="1" applyBorder="1" applyAlignment="1" applyProtection="1">
      <alignment horizontal="center"/>
      <protection/>
    </xf>
    <xf numFmtId="0" fontId="13" fillId="26" borderId="40" xfId="0" applyFont="1" applyFill="1" applyBorder="1" applyAlignment="1" applyProtection="1">
      <alignment horizontal="center"/>
      <protection/>
    </xf>
    <xf numFmtId="2" fontId="31" fillId="24" borderId="34" xfId="0" applyNumberFormat="1" applyFont="1" applyFill="1" applyBorder="1" applyAlignment="1" applyProtection="1">
      <alignment horizontal="center"/>
      <protection locked="0"/>
    </xf>
    <xf numFmtId="2" fontId="31" fillId="24" borderId="20" xfId="0" applyNumberFormat="1" applyFont="1" applyFill="1" applyBorder="1" applyAlignment="1" applyProtection="1">
      <alignment horizontal="center"/>
      <protection locked="0"/>
    </xf>
    <xf numFmtId="2" fontId="31" fillId="24" borderId="35" xfId="0" applyNumberFormat="1" applyFont="1" applyFill="1" applyBorder="1" applyAlignment="1" applyProtection="1">
      <alignment horizontal="center"/>
      <protection locked="0"/>
    </xf>
    <xf numFmtId="0" fontId="31" fillId="24" borderId="20" xfId="0" applyFont="1" applyFill="1" applyBorder="1" applyAlignment="1" applyProtection="1">
      <alignment horizontal="center"/>
      <protection/>
    </xf>
    <xf numFmtId="0" fontId="52" fillId="24" borderId="19" xfId="0" applyFont="1" applyFill="1" applyBorder="1" applyAlignment="1" applyProtection="1">
      <alignment horizontal="center"/>
      <protection/>
    </xf>
    <xf numFmtId="0" fontId="52" fillId="24" borderId="18" xfId="0" applyFont="1" applyFill="1" applyBorder="1" applyAlignment="1" applyProtection="1">
      <alignment horizontal="center"/>
      <protection/>
    </xf>
    <xf numFmtId="0" fontId="52" fillId="24" borderId="40" xfId="0" applyFont="1" applyFill="1" applyBorder="1" applyAlignment="1" applyProtection="1">
      <alignment horizontal="center"/>
      <protection/>
    </xf>
    <xf numFmtId="2" fontId="31" fillId="24" borderId="0" xfId="0" applyNumberFormat="1" applyFont="1" applyFill="1" applyAlignment="1" applyProtection="1">
      <alignment horizontal="center"/>
      <protection/>
    </xf>
    <xf numFmtId="2" fontId="39" fillId="24" borderId="0" xfId="0" applyNumberFormat="1" applyFont="1" applyFill="1" applyAlignment="1" applyProtection="1">
      <alignment horizontal="center"/>
      <protection/>
    </xf>
    <xf numFmtId="189" fontId="39" fillId="24" borderId="0" xfId="0" applyNumberFormat="1" applyFont="1" applyFill="1" applyBorder="1" applyAlignment="1" applyProtection="1">
      <alignment horizontal="center"/>
      <protection/>
    </xf>
    <xf numFmtId="1" fontId="39" fillId="24" borderId="0" xfId="0" applyNumberFormat="1" applyFont="1" applyFill="1" applyBorder="1" applyAlignment="1" applyProtection="1">
      <alignment horizontal="center"/>
      <protection/>
    </xf>
    <xf numFmtId="0" fontId="39" fillId="24" borderId="0" xfId="0" applyFont="1" applyFill="1" applyAlignment="1" applyProtection="1">
      <alignment horizontal="center"/>
      <protection/>
    </xf>
    <xf numFmtId="0" fontId="32" fillId="26" borderId="19" xfId="0" applyFont="1" applyFill="1" applyBorder="1" applyAlignment="1">
      <alignment horizontal="center"/>
    </xf>
    <xf numFmtId="0" fontId="32" fillId="26" borderId="18" xfId="0" applyFont="1" applyFill="1" applyBorder="1" applyAlignment="1">
      <alignment horizontal="center"/>
    </xf>
    <xf numFmtId="0" fontId="32" fillId="26" borderId="40" xfId="0" applyFont="1" applyFill="1" applyBorder="1" applyAlignment="1">
      <alignment horizontal="center"/>
    </xf>
    <xf numFmtId="0" fontId="31" fillId="24" borderId="34" xfId="0" applyFont="1" applyFill="1" applyBorder="1" applyAlignment="1" applyProtection="1">
      <alignment horizontal="center"/>
      <protection locked="0"/>
    </xf>
    <xf numFmtId="0" fontId="31" fillId="24" borderId="20" xfId="0" applyFont="1" applyFill="1" applyBorder="1" applyAlignment="1" applyProtection="1">
      <alignment horizontal="center"/>
      <protection locked="0"/>
    </xf>
    <xf numFmtId="0" fontId="31" fillId="24" borderId="35" xfId="0" applyFont="1" applyFill="1" applyBorder="1" applyAlignment="1" applyProtection="1">
      <alignment horizontal="center"/>
      <protection locked="0"/>
    </xf>
    <xf numFmtId="2" fontId="41" fillId="24" borderId="0" xfId="0" applyNumberFormat="1" applyFont="1" applyFill="1" applyAlignment="1" applyProtection="1">
      <alignment horizontal="center"/>
      <protection locked="0"/>
    </xf>
    <xf numFmtId="0" fontId="41" fillId="24" borderId="0" xfId="0" applyFont="1" applyFill="1" applyAlignment="1" applyProtection="1">
      <alignment horizontal="center"/>
      <protection locked="0"/>
    </xf>
    <xf numFmtId="0" fontId="32" fillId="26" borderId="40" xfId="0" applyFont="1" applyFill="1" applyBorder="1" applyAlignment="1" applyProtection="1">
      <alignment horizontal="center"/>
      <protection/>
    </xf>
    <xf numFmtId="0" fontId="6" fillId="24" borderId="35" xfId="0" applyFont="1" applyFill="1" applyBorder="1" applyAlignment="1" applyProtection="1">
      <alignment horizontal="center"/>
      <protection locked="0"/>
    </xf>
    <xf numFmtId="4" fontId="39" fillId="24" borderId="0" xfId="0" applyNumberFormat="1" applyFont="1" applyFill="1" applyAlignment="1" applyProtection="1">
      <alignment horizontal="center"/>
      <protection/>
    </xf>
    <xf numFmtId="0" fontId="32" fillId="24" borderId="0" xfId="0" applyFont="1" applyFill="1" applyAlignment="1" applyProtection="1">
      <alignment horizontal="center"/>
      <protection/>
    </xf>
    <xf numFmtId="189" fontId="39" fillId="24" borderId="0" xfId="0" applyNumberFormat="1" applyFont="1" applyFill="1" applyAlignment="1" applyProtection="1">
      <alignment horizontal="center"/>
      <protection/>
    </xf>
    <xf numFmtId="0" fontId="52" fillId="24" borderId="20" xfId="0" applyFont="1" applyFill="1" applyBorder="1" applyAlignment="1" applyProtection="1">
      <alignment horizontal="center"/>
      <protection/>
    </xf>
    <xf numFmtId="188" fontId="31" fillId="24" borderId="0" xfId="0" applyNumberFormat="1" applyFont="1" applyFill="1" applyAlignment="1" applyProtection="1">
      <alignment horizontal="center"/>
      <protection/>
    </xf>
    <xf numFmtId="187" fontId="39" fillId="24" borderId="0" xfId="0" applyNumberFormat="1" applyFont="1" applyFill="1" applyAlignment="1" applyProtection="1">
      <alignment horizontal="center"/>
      <protection/>
    </xf>
    <xf numFmtId="0" fontId="31" fillId="24" borderId="19" xfId="0" applyFont="1" applyFill="1" applyBorder="1" applyAlignment="1" applyProtection="1">
      <alignment horizontal="center"/>
      <protection locked="0"/>
    </xf>
    <xf numFmtId="0" fontId="31" fillId="24" borderId="40" xfId="0" applyFont="1" applyFill="1" applyBorder="1" applyAlignment="1" applyProtection="1">
      <alignment horizontal="center"/>
      <protection locked="0"/>
    </xf>
    <xf numFmtId="0" fontId="32" fillId="27" borderId="19" xfId="0" applyFont="1" applyFill="1" applyBorder="1" applyAlignment="1" applyProtection="1">
      <alignment horizontal="center"/>
      <protection/>
    </xf>
    <xf numFmtId="0" fontId="32" fillId="27" borderId="18" xfId="0" applyFont="1" applyFill="1" applyBorder="1" applyAlignment="1" applyProtection="1">
      <alignment horizontal="center"/>
      <protection/>
    </xf>
    <xf numFmtId="0" fontId="32" fillId="27" borderId="40" xfId="0" applyFont="1" applyFill="1" applyBorder="1" applyAlignment="1" applyProtection="1">
      <alignment horizontal="center"/>
      <protection/>
    </xf>
    <xf numFmtId="3" fontId="31" fillId="24" borderId="0" xfId="0" applyNumberFormat="1" applyFont="1" applyFill="1" applyAlignment="1" applyProtection="1">
      <alignment horizontal="center"/>
      <protection/>
    </xf>
    <xf numFmtId="212" fontId="39" fillId="24" borderId="0" xfId="0" applyNumberFormat="1" applyFont="1" applyFill="1" applyBorder="1" applyAlignment="1" applyProtection="1">
      <alignment horizontal="center"/>
      <protection/>
    </xf>
    <xf numFmtId="0" fontId="31" fillId="24" borderId="0" xfId="0" applyFont="1" applyFill="1" applyAlignment="1" applyProtection="1">
      <alignment horizontal="right"/>
      <protection/>
    </xf>
    <xf numFmtId="188" fontId="39" fillId="24" borderId="0" xfId="0" applyNumberFormat="1" applyFont="1" applyFill="1" applyBorder="1" applyAlignment="1" applyProtection="1">
      <alignment horizontal="center"/>
      <protection/>
    </xf>
    <xf numFmtId="3" fontId="39" fillId="24" borderId="0" xfId="0" applyNumberFormat="1" applyFont="1" applyFill="1" applyBorder="1" applyAlignment="1" applyProtection="1">
      <alignment horizontal="center"/>
      <protection/>
    </xf>
    <xf numFmtId="2" fontId="41" fillId="24" borderId="19" xfId="0" applyNumberFormat="1" applyFont="1" applyFill="1" applyBorder="1" applyAlignment="1" applyProtection="1">
      <alignment horizontal="center"/>
      <protection locked="0"/>
    </xf>
    <xf numFmtId="2" fontId="41" fillId="24" borderId="40" xfId="0" applyNumberFormat="1" applyFont="1" applyFill="1" applyBorder="1" applyAlignment="1" applyProtection="1">
      <alignment horizontal="center"/>
      <protection locked="0"/>
    </xf>
    <xf numFmtId="0" fontId="31" fillId="24" borderId="0" xfId="0" applyFont="1" applyFill="1" applyAlignment="1" applyProtection="1">
      <alignment horizontal="center"/>
      <protection locked="0"/>
    </xf>
    <xf numFmtId="0" fontId="13" fillId="27" borderId="79" xfId="0" applyFont="1" applyFill="1" applyBorder="1" applyAlignment="1" applyProtection="1">
      <alignment horizontal="center"/>
      <protection/>
    </xf>
    <xf numFmtId="0" fontId="13" fillId="27" borderId="80" xfId="0" applyFont="1" applyFill="1" applyBorder="1" applyAlignment="1" applyProtection="1">
      <alignment horizontal="center"/>
      <protection/>
    </xf>
    <xf numFmtId="0" fontId="13" fillId="27" borderId="81" xfId="0" applyFont="1" applyFill="1" applyBorder="1" applyAlignment="1" applyProtection="1">
      <alignment horizontal="center"/>
      <protection/>
    </xf>
    <xf numFmtId="0" fontId="31" fillId="24" borderId="18" xfId="0" applyFont="1" applyFill="1" applyBorder="1" applyAlignment="1" applyProtection="1">
      <alignment horizontal="center"/>
      <protection/>
    </xf>
    <xf numFmtId="0" fontId="31" fillId="24" borderId="40" xfId="0" applyFont="1" applyFill="1" applyBorder="1" applyAlignment="1" applyProtection="1">
      <alignment horizontal="center"/>
      <protection/>
    </xf>
    <xf numFmtId="0" fontId="1" fillId="24" borderId="88" xfId="0" applyFont="1" applyFill="1" applyBorder="1" applyAlignment="1" applyProtection="1">
      <alignment horizontal="center"/>
      <protection/>
    </xf>
    <xf numFmtId="0" fontId="1" fillId="24" borderId="86" xfId="0" applyFont="1" applyFill="1" applyBorder="1" applyAlignment="1" applyProtection="1">
      <alignment horizontal="center"/>
      <protection/>
    </xf>
    <xf numFmtId="0" fontId="1" fillId="24" borderId="87" xfId="0" applyFont="1" applyFill="1" applyBorder="1" applyAlignment="1" applyProtection="1">
      <alignment horizontal="center"/>
      <protection/>
    </xf>
    <xf numFmtId="0" fontId="46" fillId="24" borderId="23" xfId="0" applyFont="1" applyFill="1" applyBorder="1" applyAlignment="1" applyProtection="1">
      <alignment horizontal="center"/>
      <protection/>
    </xf>
    <xf numFmtId="3" fontId="41" fillId="24" borderId="0" xfId="0" applyNumberFormat="1" applyFont="1" applyFill="1" applyBorder="1" applyAlignment="1" applyProtection="1">
      <alignment horizontal="left"/>
      <protection locked="0"/>
    </xf>
    <xf numFmtId="4" fontId="31" fillId="24" borderId="0" xfId="0" applyNumberFormat="1" applyFont="1" applyFill="1" applyBorder="1" applyAlignment="1" applyProtection="1">
      <alignment horizontal="center"/>
      <protection/>
    </xf>
    <xf numFmtId="0" fontId="53" fillId="24" borderId="33" xfId="0" applyFont="1" applyFill="1" applyBorder="1" applyAlignment="1" applyProtection="1">
      <alignment horizontal="center" textRotation="90"/>
      <protection/>
    </xf>
    <xf numFmtId="0" fontId="52" fillId="24" borderId="34" xfId="0" applyFont="1" applyFill="1" applyBorder="1" applyAlignment="1" applyProtection="1">
      <alignment horizontal="center"/>
      <protection/>
    </xf>
    <xf numFmtId="0" fontId="51" fillId="24" borderId="0" xfId="0" applyFont="1" applyFill="1" applyBorder="1" applyAlignment="1" applyProtection="1">
      <alignment horizontal="center"/>
      <protection/>
    </xf>
    <xf numFmtId="0" fontId="51" fillId="24" borderId="20" xfId="0" applyFont="1" applyFill="1" applyBorder="1" applyAlignment="1" applyProtection="1">
      <alignment horizontal="center"/>
      <protection/>
    </xf>
    <xf numFmtId="0" fontId="41" fillId="24" borderId="19" xfId="0" applyFont="1" applyFill="1" applyBorder="1" applyAlignment="1" applyProtection="1">
      <alignment horizontal="center"/>
      <protection/>
    </xf>
    <xf numFmtId="0" fontId="41" fillId="24" borderId="18" xfId="0" applyFont="1" applyFill="1" applyBorder="1" applyAlignment="1" applyProtection="1">
      <alignment horizontal="center"/>
      <protection/>
    </xf>
    <xf numFmtId="0" fontId="41" fillId="24" borderId="40" xfId="0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"/>
      <protection/>
    </xf>
    <xf numFmtId="0" fontId="31" fillId="24" borderId="34" xfId="0" applyFont="1" applyFill="1" applyBorder="1" applyAlignment="1" applyProtection="1">
      <alignment horizontal="center"/>
      <protection/>
    </xf>
    <xf numFmtId="0" fontId="31" fillId="24" borderId="35" xfId="0" applyFont="1" applyFill="1" applyBorder="1" applyAlignment="1" applyProtection="1">
      <alignment horizontal="center"/>
      <protection/>
    </xf>
    <xf numFmtId="0" fontId="31" fillId="24" borderId="19" xfId="0" applyFont="1" applyFill="1" applyBorder="1" applyAlignment="1" applyProtection="1">
      <alignment horizontal="center"/>
      <protection/>
    </xf>
    <xf numFmtId="0" fontId="31" fillId="26" borderId="34" xfId="0" applyFont="1" applyFill="1" applyBorder="1" applyAlignment="1" applyProtection="1">
      <alignment horizontal="center"/>
      <protection/>
    </xf>
    <xf numFmtId="0" fontId="31" fillId="26" borderId="20" xfId="0" applyFont="1" applyFill="1" applyBorder="1" applyAlignment="1" applyProtection="1">
      <alignment horizontal="center"/>
      <protection/>
    </xf>
    <xf numFmtId="0" fontId="31" fillId="26" borderId="35" xfId="0" applyFont="1" applyFill="1" applyBorder="1" applyAlignment="1" applyProtection="1">
      <alignment horizontal="center"/>
      <protection/>
    </xf>
    <xf numFmtId="0" fontId="31" fillId="24" borderId="68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/>
    </xf>
    <xf numFmtId="0" fontId="31" fillId="24" borderId="69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/>
    </xf>
    <xf numFmtId="0" fontId="56" fillId="22" borderId="93" xfId="0" applyFont="1" applyFill="1" applyBorder="1" applyAlignment="1">
      <alignment horizontal="center" vertical="center"/>
    </xf>
    <xf numFmtId="0" fontId="56" fillId="22" borderId="94" xfId="0" applyFont="1" applyFill="1" applyBorder="1" applyAlignment="1">
      <alignment horizontal="center" vertical="center"/>
    </xf>
    <xf numFmtId="0" fontId="56" fillId="22" borderId="69" xfId="0" applyFont="1" applyFill="1" applyBorder="1" applyAlignment="1">
      <alignment horizontal="center" vertical="center"/>
    </xf>
    <xf numFmtId="0" fontId="56" fillId="22" borderId="34" xfId="0" applyFont="1" applyFill="1" applyBorder="1" applyAlignment="1">
      <alignment horizontal="center" vertical="center"/>
    </xf>
    <xf numFmtId="0" fontId="56" fillId="22" borderId="93" xfId="0" applyFont="1" applyFill="1" applyBorder="1" applyAlignment="1">
      <alignment horizontal="center"/>
    </xf>
    <xf numFmtId="0" fontId="56" fillId="22" borderId="95" xfId="0" applyFont="1" applyFill="1" applyBorder="1" applyAlignment="1">
      <alignment horizontal="center"/>
    </xf>
    <xf numFmtId="0" fontId="56" fillId="22" borderId="96" xfId="0" applyFont="1" applyFill="1" applyBorder="1" applyAlignment="1">
      <alignment horizontal="center"/>
    </xf>
    <xf numFmtId="0" fontId="56" fillId="22" borderId="94" xfId="0" applyFont="1" applyFill="1" applyBorder="1" applyAlignment="1">
      <alignment horizontal="center"/>
    </xf>
    <xf numFmtId="0" fontId="56" fillId="22" borderId="69" xfId="0" applyFont="1" applyFill="1" applyBorder="1" applyAlignment="1">
      <alignment horizontal="center"/>
    </xf>
    <xf numFmtId="0" fontId="56" fillId="22" borderId="49" xfId="0" applyFont="1" applyFill="1" applyBorder="1" applyAlignment="1">
      <alignment horizontal="center"/>
    </xf>
    <xf numFmtId="0" fontId="56" fillId="22" borderId="35" xfId="0" applyFont="1" applyFill="1" applyBorder="1" applyAlignment="1">
      <alignment horizontal="center"/>
    </xf>
    <xf numFmtId="0" fontId="56" fillId="22" borderId="34" xfId="0" applyFont="1" applyFill="1" applyBorder="1" applyAlignment="1">
      <alignment horizontal="center"/>
    </xf>
    <xf numFmtId="0" fontId="31" fillId="24" borderId="50" xfId="0" applyFont="1" applyFill="1" applyBorder="1" applyAlignment="1">
      <alignment horizontal="center" vertical="center"/>
    </xf>
    <xf numFmtId="0" fontId="56" fillId="22" borderId="97" xfId="0" applyFont="1" applyFill="1" applyBorder="1" applyAlignment="1">
      <alignment horizontal="center"/>
    </xf>
    <xf numFmtId="0" fontId="56" fillId="22" borderId="43" xfId="0" applyFont="1" applyFill="1" applyBorder="1" applyAlignment="1">
      <alignment horizontal="center"/>
    </xf>
    <xf numFmtId="0" fontId="56" fillId="22" borderId="41" xfId="0" applyFont="1" applyFill="1" applyBorder="1" applyAlignment="1">
      <alignment horizontal="center"/>
    </xf>
    <xf numFmtId="0" fontId="56" fillId="22" borderId="42" xfId="0" applyFont="1" applyFill="1" applyBorder="1" applyAlignment="1">
      <alignment horizontal="center"/>
    </xf>
    <xf numFmtId="0" fontId="56" fillId="22" borderId="67" xfId="0" applyFont="1" applyFill="1" applyBorder="1" applyAlignment="1">
      <alignment horizontal="center"/>
    </xf>
    <xf numFmtId="0" fontId="31" fillId="24" borderId="27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/>
    </xf>
    <xf numFmtId="0" fontId="56" fillId="22" borderId="98" xfId="0" applyFont="1" applyFill="1" applyBorder="1" applyAlignment="1">
      <alignment horizontal="center"/>
    </xf>
    <xf numFmtId="2" fontId="31" fillId="24" borderId="44" xfId="0" applyNumberFormat="1" applyFont="1" applyFill="1" applyBorder="1" applyAlignment="1">
      <alignment horizontal="center" vertical="center"/>
    </xf>
    <xf numFmtId="0" fontId="56" fillId="22" borderId="22" xfId="0" applyFont="1" applyFill="1" applyBorder="1" applyAlignment="1">
      <alignment horizontal="center" vertical="center"/>
    </xf>
    <xf numFmtId="0" fontId="56" fillId="22" borderId="23" xfId="0" applyFont="1" applyFill="1" applyBorder="1" applyAlignment="1">
      <alignment horizontal="center" vertical="center"/>
    </xf>
    <xf numFmtId="0" fontId="56" fillId="22" borderId="25" xfId="0" applyFont="1" applyFill="1" applyBorder="1" applyAlignment="1">
      <alignment horizontal="center"/>
    </xf>
    <xf numFmtId="0" fontId="56" fillId="22" borderId="0" xfId="0" applyFont="1" applyFill="1" applyBorder="1" applyAlignment="1">
      <alignment horizontal="center"/>
    </xf>
    <xf numFmtId="0" fontId="56" fillId="22" borderId="99" xfId="0" applyFont="1" applyFill="1" applyBorder="1" applyAlignment="1">
      <alignment horizontal="center"/>
    </xf>
    <xf numFmtId="0" fontId="31" fillId="24" borderId="25" xfId="0" applyFont="1" applyFill="1" applyBorder="1" applyAlignment="1">
      <alignment horizontal="center" vertical="center"/>
    </xf>
    <xf numFmtId="0" fontId="31" fillId="24" borderId="100" xfId="0" applyFont="1" applyFill="1" applyBorder="1" applyAlignment="1">
      <alignment horizontal="center" vertical="center"/>
    </xf>
    <xf numFmtId="0" fontId="31" fillId="24" borderId="78" xfId="0" applyFont="1" applyFill="1" applyBorder="1" applyAlignment="1">
      <alignment horizontal="center" vertical="center"/>
    </xf>
    <xf numFmtId="2" fontId="31" fillId="24" borderId="68" xfId="0" applyNumberFormat="1" applyFont="1" applyFill="1" applyBorder="1" applyAlignment="1">
      <alignment horizontal="center" vertical="center"/>
    </xf>
    <xf numFmtId="2" fontId="31" fillId="24" borderId="69" xfId="0" applyNumberFormat="1" applyFont="1" applyFill="1" applyBorder="1" applyAlignment="1">
      <alignment horizontal="center" vertical="center"/>
    </xf>
    <xf numFmtId="0" fontId="31" fillId="24" borderId="30" xfId="0" applyFont="1" applyFill="1" applyBorder="1" applyAlignment="1">
      <alignment horizontal="center" vertical="center"/>
    </xf>
    <xf numFmtId="0" fontId="56" fillId="22" borderId="22" xfId="0" applyFont="1" applyFill="1" applyBorder="1" applyAlignment="1">
      <alignment horizontal="center"/>
    </xf>
    <xf numFmtId="0" fontId="56" fillId="22" borderId="24" xfId="0" applyFont="1" applyFill="1" applyBorder="1" applyAlignment="1">
      <alignment horizontal="center"/>
    </xf>
    <xf numFmtId="0" fontId="56" fillId="22" borderId="78" xfId="0" applyFont="1" applyFill="1" applyBorder="1" applyAlignment="1">
      <alignment horizontal="center"/>
    </xf>
    <xf numFmtId="0" fontId="56" fillId="22" borderId="73" xfId="0" applyFont="1" applyFill="1" applyBorder="1" applyAlignment="1">
      <alignment horizontal="center"/>
    </xf>
    <xf numFmtId="0" fontId="56" fillId="22" borderId="20" xfId="0" applyFont="1" applyFill="1" applyBorder="1" applyAlignment="1">
      <alignment horizontal="center" vertical="center"/>
    </xf>
    <xf numFmtId="0" fontId="56" fillId="22" borderId="23" xfId="0" applyFont="1" applyFill="1" applyBorder="1" applyAlignment="1">
      <alignment horizontal="center"/>
    </xf>
    <xf numFmtId="0" fontId="56" fillId="22" borderId="20" xfId="0" applyFont="1" applyFill="1" applyBorder="1" applyAlignment="1">
      <alignment horizontal="center"/>
    </xf>
    <xf numFmtId="0" fontId="31" fillId="24" borderId="60" xfId="0" applyFont="1" applyFill="1" applyBorder="1" applyAlignment="1">
      <alignment horizontal="center" vertical="center"/>
    </xf>
    <xf numFmtId="0" fontId="56" fillId="22" borderId="0" xfId="0" applyFont="1" applyFill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31" fillId="24" borderId="55" xfId="0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1" fillId="24" borderId="76" xfId="0" applyFont="1" applyFill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19</xdr:row>
      <xdr:rowOff>9525</xdr:rowOff>
    </xdr:from>
    <xdr:to>
      <xdr:col>26</xdr:col>
      <xdr:colOff>114300</xdr:colOff>
      <xdr:row>29</xdr:row>
      <xdr:rowOff>123825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rcRect l="6718" r="39375" b="36914"/>
        <a:stretch>
          <a:fillRect/>
        </a:stretch>
      </xdr:blipFill>
      <xdr:spPr>
        <a:xfrm rot="10675046">
          <a:off x="4038600" y="3657600"/>
          <a:ext cx="2266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171450</xdr:colOff>
      <xdr:row>27</xdr:row>
      <xdr:rowOff>9525</xdr:rowOff>
    </xdr:from>
    <xdr:to>
      <xdr:col>20</xdr:col>
      <xdr:colOff>76200</xdr:colOff>
      <xdr:row>27</xdr:row>
      <xdr:rowOff>161925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4695825" y="52578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θ</a:t>
          </a:r>
        </a:p>
      </xdr:txBody>
    </xdr:sp>
    <xdr:clientData/>
  </xdr:twoCellAnchor>
  <xdr:twoCellAnchor>
    <xdr:from>
      <xdr:col>17</xdr:col>
      <xdr:colOff>95250</xdr:colOff>
      <xdr:row>19</xdr:row>
      <xdr:rowOff>104775</xdr:rowOff>
    </xdr:from>
    <xdr:to>
      <xdr:col>19</xdr:col>
      <xdr:colOff>95250</xdr:colOff>
      <xdr:row>20</xdr:row>
      <xdr:rowOff>95250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4143375" y="3752850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Wo+Wy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190500</xdr:rowOff>
    </xdr:from>
    <xdr:to>
      <xdr:col>17</xdr:col>
      <xdr:colOff>0</xdr:colOff>
      <xdr:row>21</xdr:row>
      <xdr:rowOff>47625</xdr:rowOff>
    </xdr:to>
    <xdr:sp>
      <xdr:nvSpPr>
        <xdr:cNvPr id="1" name="Line 10"/>
        <xdr:cNvSpPr>
          <a:spLocks/>
        </xdr:cNvSpPr>
      </xdr:nvSpPr>
      <xdr:spPr>
        <a:xfrm flipV="1">
          <a:off x="4048125" y="3838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24</xdr:col>
      <xdr:colOff>0</xdr:colOff>
      <xdr:row>21</xdr:row>
      <xdr:rowOff>57150</xdr:rowOff>
    </xdr:to>
    <xdr:sp>
      <xdr:nvSpPr>
        <xdr:cNvPr id="2" name="Line 11"/>
        <xdr:cNvSpPr>
          <a:spLocks/>
        </xdr:cNvSpPr>
      </xdr:nvSpPr>
      <xdr:spPr>
        <a:xfrm flipV="1">
          <a:off x="5743575" y="3848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104775</xdr:rowOff>
    </xdr:from>
    <xdr:to>
      <xdr:col>17</xdr:col>
      <xdr:colOff>0</xdr:colOff>
      <xdr:row>22</xdr:row>
      <xdr:rowOff>104775</xdr:rowOff>
    </xdr:to>
    <xdr:sp>
      <xdr:nvSpPr>
        <xdr:cNvPr id="3" name="Line 12"/>
        <xdr:cNvSpPr>
          <a:spLocks/>
        </xdr:cNvSpPr>
      </xdr:nvSpPr>
      <xdr:spPr>
        <a:xfrm flipV="1">
          <a:off x="4048125" y="41529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114300</xdr:rowOff>
    </xdr:from>
    <xdr:to>
      <xdr:col>24</xdr:col>
      <xdr:colOff>0</xdr:colOff>
      <xdr:row>22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5743575" y="41624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21</xdr:row>
      <xdr:rowOff>104775</xdr:rowOff>
    </xdr:from>
    <xdr:to>
      <xdr:col>26</xdr:col>
      <xdr:colOff>9525</xdr:colOff>
      <xdr:row>22</xdr:row>
      <xdr:rowOff>104775</xdr:rowOff>
    </xdr:to>
    <xdr:sp>
      <xdr:nvSpPr>
        <xdr:cNvPr id="5" name="Line 14"/>
        <xdr:cNvSpPr>
          <a:spLocks/>
        </xdr:cNvSpPr>
      </xdr:nvSpPr>
      <xdr:spPr>
        <a:xfrm flipV="1">
          <a:off x="6229350" y="41529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17</xdr:col>
      <xdr:colOff>0</xdr:colOff>
      <xdr:row>27</xdr:row>
      <xdr:rowOff>0</xdr:rowOff>
    </xdr:to>
    <xdr:sp>
      <xdr:nvSpPr>
        <xdr:cNvPr id="6" name="Line 27"/>
        <xdr:cNvSpPr>
          <a:spLocks/>
        </xdr:cNvSpPr>
      </xdr:nvSpPr>
      <xdr:spPr>
        <a:xfrm flipV="1">
          <a:off x="4048125" y="4933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9525</xdr:rowOff>
    </xdr:from>
    <xdr:to>
      <xdr:col>24</xdr:col>
      <xdr:colOff>0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 flipV="1">
          <a:off x="5743575" y="50577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76200</xdr:rowOff>
    </xdr:from>
    <xdr:to>
      <xdr:col>24</xdr:col>
      <xdr:colOff>0</xdr:colOff>
      <xdr:row>28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057650" y="4924425"/>
          <a:ext cx="1685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9525</xdr:rowOff>
    </xdr:from>
    <xdr:to>
      <xdr:col>26</xdr:col>
      <xdr:colOff>0</xdr:colOff>
      <xdr:row>27</xdr:row>
      <xdr:rowOff>0</xdr:rowOff>
    </xdr:to>
    <xdr:sp>
      <xdr:nvSpPr>
        <xdr:cNvPr id="9" name="Line 30"/>
        <xdr:cNvSpPr>
          <a:spLocks/>
        </xdr:cNvSpPr>
      </xdr:nvSpPr>
      <xdr:spPr>
        <a:xfrm>
          <a:off x="5743575" y="5057775"/>
          <a:ext cx="476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95250</xdr:rowOff>
    </xdr:from>
    <xdr:to>
      <xdr:col>24</xdr:col>
      <xdr:colOff>9525</xdr:colOff>
      <xdr:row>33</xdr:row>
      <xdr:rowOff>9525</xdr:rowOff>
    </xdr:to>
    <xdr:sp>
      <xdr:nvSpPr>
        <xdr:cNvPr id="10" name="AutoShape 32"/>
        <xdr:cNvSpPr>
          <a:spLocks/>
        </xdr:cNvSpPr>
      </xdr:nvSpPr>
      <xdr:spPr>
        <a:xfrm>
          <a:off x="4048125" y="5943600"/>
          <a:ext cx="1704975" cy="514350"/>
        </a:xfrm>
        <a:custGeom>
          <a:pathLst>
            <a:path h="54" w="179">
              <a:moveTo>
                <a:pt x="0" y="32"/>
              </a:moveTo>
              <a:cubicBezTo>
                <a:pt x="29" y="16"/>
                <a:pt x="59" y="0"/>
                <a:pt x="89" y="4"/>
              </a:cubicBezTo>
              <a:cubicBezTo>
                <a:pt x="119" y="8"/>
                <a:pt x="164" y="46"/>
                <a:pt x="179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26</xdr:col>
      <xdr:colOff>9525</xdr:colOff>
      <xdr:row>33</xdr:row>
      <xdr:rowOff>0</xdr:rowOff>
    </xdr:to>
    <xdr:sp>
      <xdr:nvSpPr>
        <xdr:cNvPr id="11" name="AutoShape 35"/>
        <xdr:cNvSpPr>
          <a:spLocks/>
        </xdr:cNvSpPr>
      </xdr:nvSpPr>
      <xdr:spPr>
        <a:xfrm>
          <a:off x="5743575" y="6248400"/>
          <a:ext cx="485775" cy="200025"/>
        </a:xfrm>
        <a:custGeom>
          <a:pathLst>
            <a:path h="21" w="50">
              <a:moveTo>
                <a:pt x="0" y="21"/>
              </a:moveTo>
              <a:cubicBezTo>
                <a:pt x="12" y="15"/>
                <a:pt x="25" y="9"/>
                <a:pt x="33" y="6"/>
              </a:cubicBezTo>
              <a:cubicBezTo>
                <a:pt x="41" y="3"/>
                <a:pt x="44" y="0"/>
                <a:pt x="50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28575</xdr:rowOff>
    </xdr:from>
    <xdr:to>
      <xdr:col>25</xdr:col>
      <xdr:colOff>228600</xdr:colOff>
      <xdr:row>38</xdr:row>
      <xdr:rowOff>47625</xdr:rowOff>
    </xdr:to>
    <xdr:sp>
      <xdr:nvSpPr>
        <xdr:cNvPr id="12" name="AutoShape 36"/>
        <xdr:cNvSpPr>
          <a:spLocks/>
        </xdr:cNvSpPr>
      </xdr:nvSpPr>
      <xdr:spPr>
        <a:xfrm>
          <a:off x="4048125" y="7077075"/>
          <a:ext cx="2162175" cy="419100"/>
        </a:xfrm>
        <a:custGeom>
          <a:pathLst>
            <a:path h="44" w="227">
              <a:moveTo>
                <a:pt x="0" y="18"/>
              </a:moveTo>
              <a:cubicBezTo>
                <a:pt x="27" y="31"/>
                <a:pt x="54" y="44"/>
                <a:pt x="92" y="41"/>
              </a:cubicBezTo>
              <a:cubicBezTo>
                <a:pt x="130" y="38"/>
                <a:pt x="205" y="8"/>
                <a:pt x="2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36</xdr:row>
      <xdr:rowOff>190500</xdr:rowOff>
    </xdr:from>
    <xdr:to>
      <xdr:col>20</xdr:col>
      <xdr:colOff>9525</xdr:colOff>
      <xdr:row>38</xdr:row>
      <xdr:rowOff>28575</xdr:rowOff>
    </xdr:to>
    <xdr:sp>
      <xdr:nvSpPr>
        <xdr:cNvPr id="13" name="Line 40"/>
        <xdr:cNvSpPr>
          <a:spLocks/>
        </xdr:cNvSpPr>
      </xdr:nvSpPr>
      <xdr:spPr>
        <a:xfrm flipV="1">
          <a:off x="4800600" y="7239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133350</xdr:rowOff>
    </xdr:from>
    <xdr:to>
      <xdr:col>17</xdr:col>
      <xdr:colOff>209550</xdr:colOff>
      <xdr:row>21</xdr:row>
      <xdr:rowOff>114300</xdr:rowOff>
    </xdr:to>
    <xdr:sp>
      <xdr:nvSpPr>
        <xdr:cNvPr id="14" name="TextBox 41"/>
        <xdr:cNvSpPr txBox="1">
          <a:spLocks noChangeArrowheads="1"/>
        </xdr:cNvSpPr>
      </xdr:nvSpPr>
      <xdr:spPr>
        <a:xfrm>
          <a:off x="4095750" y="3981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19050</xdr:colOff>
      <xdr:row>20</xdr:row>
      <xdr:rowOff>133350</xdr:rowOff>
    </xdr:from>
    <xdr:to>
      <xdr:col>23</xdr:col>
      <xdr:colOff>180975</xdr:colOff>
      <xdr:row>21</xdr:row>
      <xdr:rowOff>114300</xdr:rowOff>
    </xdr:to>
    <xdr:sp>
      <xdr:nvSpPr>
        <xdr:cNvPr id="15" name="TextBox 42"/>
        <xdr:cNvSpPr txBox="1">
          <a:spLocks noChangeArrowheads="1"/>
        </xdr:cNvSpPr>
      </xdr:nvSpPr>
      <xdr:spPr>
        <a:xfrm>
          <a:off x="5524500" y="3981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190500</xdr:colOff>
      <xdr:row>27</xdr:row>
      <xdr:rowOff>9525</xdr:rowOff>
    </xdr:from>
    <xdr:to>
      <xdr:col>17</xdr:col>
      <xdr:colOff>114300</xdr:colOff>
      <xdr:row>27</xdr:row>
      <xdr:rowOff>190500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4000500" y="52578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47625</xdr:colOff>
      <xdr:row>26</xdr:row>
      <xdr:rowOff>19050</xdr:rowOff>
    </xdr:from>
    <xdr:to>
      <xdr:col>23</xdr:col>
      <xdr:colOff>209550</xdr:colOff>
      <xdr:row>27</xdr:row>
      <xdr:rowOff>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5553075" y="50673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180975</xdr:colOff>
      <xdr:row>32</xdr:row>
      <xdr:rowOff>9525</xdr:rowOff>
    </xdr:from>
    <xdr:to>
      <xdr:col>17</xdr:col>
      <xdr:colOff>104775</xdr:colOff>
      <xdr:row>32</xdr:row>
      <xdr:rowOff>190500</xdr:rowOff>
    </xdr:to>
    <xdr:sp>
      <xdr:nvSpPr>
        <xdr:cNvPr id="18" name="TextBox 45"/>
        <xdr:cNvSpPr txBox="1">
          <a:spLocks noChangeArrowheads="1"/>
        </xdr:cNvSpPr>
      </xdr:nvSpPr>
      <xdr:spPr>
        <a:xfrm>
          <a:off x="3990975" y="62579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161925</xdr:colOff>
      <xdr:row>31</xdr:row>
      <xdr:rowOff>9525</xdr:rowOff>
    </xdr:from>
    <xdr:to>
      <xdr:col>24</xdr:col>
      <xdr:colOff>85725</xdr:colOff>
      <xdr:row>31</xdr:row>
      <xdr:rowOff>190500</xdr:rowOff>
    </xdr:to>
    <xdr:sp>
      <xdr:nvSpPr>
        <xdr:cNvPr id="19" name="TextBox 46"/>
        <xdr:cNvSpPr txBox="1">
          <a:spLocks noChangeArrowheads="1"/>
        </xdr:cNvSpPr>
      </xdr:nvSpPr>
      <xdr:spPr>
        <a:xfrm>
          <a:off x="5667375" y="60579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180975</xdr:colOff>
      <xdr:row>36</xdr:row>
      <xdr:rowOff>0</xdr:rowOff>
    </xdr:from>
    <xdr:to>
      <xdr:col>17</xdr:col>
      <xdr:colOff>104775</xdr:colOff>
      <xdr:row>36</xdr:row>
      <xdr:rowOff>180975</xdr:rowOff>
    </xdr:to>
    <xdr:sp>
      <xdr:nvSpPr>
        <xdr:cNvPr id="20" name="TextBox 47"/>
        <xdr:cNvSpPr txBox="1">
          <a:spLocks noChangeArrowheads="1"/>
        </xdr:cNvSpPr>
      </xdr:nvSpPr>
      <xdr:spPr>
        <a:xfrm>
          <a:off x="3990975" y="70485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85725</xdr:colOff>
      <xdr:row>36</xdr:row>
      <xdr:rowOff>9525</xdr:rowOff>
    </xdr:from>
    <xdr:to>
      <xdr:col>24</xdr:col>
      <xdr:colOff>9525</xdr:colOff>
      <xdr:row>36</xdr:row>
      <xdr:rowOff>190500</xdr:rowOff>
    </xdr:to>
    <xdr:sp>
      <xdr:nvSpPr>
        <xdr:cNvPr id="21" name="TextBox 48"/>
        <xdr:cNvSpPr txBox="1">
          <a:spLocks noChangeArrowheads="1"/>
        </xdr:cNvSpPr>
      </xdr:nvSpPr>
      <xdr:spPr>
        <a:xfrm>
          <a:off x="5591175" y="70580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190500</xdr:rowOff>
    </xdr:from>
    <xdr:to>
      <xdr:col>17</xdr:col>
      <xdr:colOff>0</xdr:colOff>
      <xdr:row>21</xdr:row>
      <xdr:rowOff>47625</xdr:rowOff>
    </xdr:to>
    <xdr:sp>
      <xdr:nvSpPr>
        <xdr:cNvPr id="1" name="Line 4"/>
        <xdr:cNvSpPr>
          <a:spLocks/>
        </xdr:cNvSpPr>
      </xdr:nvSpPr>
      <xdr:spPr>
        <a:xfrm flipV="1">
          <a:off x="4048125" y="3838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24</xdr:col>
      <xdr:colOff>0</xdr:colOff>
      <xdr:row>21</xdr:row>
      <xdr:rowOff>57150</xdr:rowOff>
    </xdr:to>
    <xdr:sp>
      <xdr:nvSpPr>
        <xdr:cNvPr id="2" name="Line 5"/>
        <xdr:cNvSpPr>
          <a:spLocks/>
        </xdr:cNvSpPr>
      </xdr:nvSpPr>
      <xdr:spPr>
        <a:xfrm flipV="1">
          <a:off x="5743575" y="3848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104775</xdr:rowOff>
    </xdr:from>
    <xdr:to>
      <xdr:col>17</xdr:col>
      <xdr:colOff>0</xdr:colOff>
      <xdr:row>22</xdr:row>
      <xdr:rowOff>104775</xdr:rowOff>
    </xdr:to>
    <xdr:sp>
      <xdr:nvSpPr>
        <xdr:cNvPr id="3" name="Line 6"/>
        <xdr:cNvSpPr>
          <a:spLocks/>
        </xdr:cNvSpPr>
      </xdr:nvSpPr>
      <xdr:spPr>
        <a:xfrm flipV="1">
          <a:off x="4048125" y="41529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114300</xdr:rowOff>
    </xdr:from>
    <xdr:to>
      <xdr:col>24</xdr:col>
      <xdr:colOff>0</xdr:colOff>
      <xdr:row>22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5743575" y="41624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17</xdr:col>
      <xdr:colOff>0</xdr:colOff>
      <xdr:row>27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4048125" y="4933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9525</xdr:rowOff>
    </xdr:from>
    <xdr:to>
      <xdr:col>24</xdr:col>
      <xdr:colOff>0</xdr:colOff>
      <xdr:row>28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5743575" y="5257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76200</xdr:rowOff>
    </xdr:from>
    <xdr:to>
      <xdr:col>24</xdr:col>
      <xdr:colOff>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4057650" y="4924425"/>
          <a:ext cx="1685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34</xdr:row>
      <xdr:rowOff>104775</xdr:rowOff>
    </xdr:from>
    <xdr:to>
      <xdr:col>20</xdr:col>
      <xdr:colOff>133350</xdr:colOff>
      <xdr:row>36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4924425" y="6753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133350</xdr:rowOff>
    </xdr:from>
    <xdr:to>
      <xdr:col>17</xdr:col>
      <xdr:colOff>209550</xdr:colOff>
      <xdr:row>21</xdr:row>
      <xdr:rowOff>114300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095750" y="3981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19050</xdr:colOff>
      <xdr:row>20</xdr:row>
      <xdr:rowOff>133350</xdr:rowOff>
    </xdr:from>
    <xdr:to>
      <xdr:col>23</xdr:col>
      <xdr:colOff>180975</xdr:colOff>
      <xdr:row>21</xdr:row>
      <xdr:rowOff>114300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5524500" y="3981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190500</xdr:colOff>
      <xdr:row>27</xdr:row>
      <xdr:rowOff>9525</xdr:rowOff>
    </xdr:from>
    <xdr:to>
      <xdr:col>17</xdr:col>
      <xdr:colOff>114300</xdr:colOff>
      <xdr:row>27</xdr:row>
      <xdr:rowOff>190500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4000500" y="52578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47625</xdr:colOff>
      <xdr:row>26</xdr:row>
      <xdr:rowOff>19050</xdr:rowOff>
    </xdr:from>
    <xdr:to>
      <xdr:col>23</xdr:col>
      <xdr:colOff>209550</xdr:colOff>
      <xdr:row>27</xdr:row>
      <xdr:rowOff>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5553075" y="50673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180975</xdr:colOff>
      <xdr:row>32</xdr:row>
      <xdr:rowOff>9525</xdr:rowOff>
    </xdr:from>
    <xdr:to>
      <xdr:col>17</xdr:col>
      <xdr:colOff>104775</xdr:colOff>
      <xdr:row>32</xdr:row>
      <xdr:rowOff>190500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3990975" y="62579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161925</xdr:colOff>
      <xdr:row>32</xdr:row>
      <xdr:rowOff>19050</xdr:rowOff>
    </xdr:from>
    <xdr:to>
      <xdr:col>24</xdr:col>
      <xdr:colOff>85725</xdr:colOff>
      <xdr:row>33</xdr:row>
      <xdr:rowOff>0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5667375" y="6267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180975</xdr:colOff>
      <xdr:row>36</xdr:row>
      <xdr:rowOff>28575</xdr:rowOff>
    </xdr:from>
    <xdr:to>
      <xdr:col>17</xdr:col>
      <xdr:colOff>104775</xdr:colOff>
      <xdr:row>37</xdr:row>
      <xdr:rowOff>9525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3990975" y="707707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23</xdr:col>
      <xdr:colOff>85725</xdr:colOff>
      <xdr:row>36</xdr:row>
      <xdr:rowOff>38100</xdr:rowOff>
    </xdr:from>
    <xdr:to>
      <xdr:col>24</xdr:col>
      <xdr:colOff>9525</xdr:colOff>
      <xdr:row>37</xdr:row>
      <xdr:rowOff>19050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5591175" y="70866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17</xdr:col>
      <xdr:colOff>0</xdr:colOff>
      <xdr:row>30</xdr:row>
      <xdr:rowOff>95250</xdr:rowOff>
    </xdr:from>
    <xdr:to>
      <xdr:col>24</xdr:col>
      <xdr:colOff>9525</xdr:colOff>
      <xdr:row>32</xdr:row>
      <xdr:rowOff>9525</xdr:rowOff>
    </xdr:to>
    <xdr:sp>
      <xdr:nvSpPr>
        <xdr:cNvPr id="17" name="AutoShape 27"/>
        <xdr:cNvSpPr>
          <a:spLocks/>
        </xdr:cNvSpPr>
      </xdr:nvSpPr>
      <xdr:spPr>
        <a:xfrm>
          <a:off x="4048125" y="5943600"/>
          <a:ext cx="1704975" cy="314325"/>
        </a:xfrm>
        <a:custGeom>
          <a:pathLst>
            <a:path h="33" w="179">
              <a:moveTo>
                <a:pt x="0" y="33"/>
              </a:moveTo>
              <a:cubicBezTo>
                <a:pt x="31" y="16"/>
                <a:pt x="63" y="0"/>
                <a:pt x="93" y="0"/>
              </a:cubicBezTo>
              <a:cubicBezTo>
                <a:pt x="123" y="0"/>
                <a:pt x="157" y="24"/>
                <a:pt x="179" y="3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95250</xdr:rowOff>
    </xdr:from>
    <xdr:to>
      <xdr:col>24</xdr:col>
      <xdr:colOff>9525</xdr:colOff>
      <xdr:row>36</xdr:row>
      <xdr:rowOff>9525</xdr:rowOff>
    </xdr:to>
    <xdr:sp>
      <xdr:nvSpPr>
        <xdr:cNvPr id="18" name="AutoShape 31"/>
        <xdr:cNvSpPr>
          <a:spLocks/>
        </xdr:cNvSpPr>
      </xdr:nvSpPr>
      <xdr:spPr>
        <a:xfrm>
          <a:off x="4048125" y="6743700"/>
          <a:ext cx="1704975" cy="314325"/>
        </a:xfrm>
        <a:custGeom>
          <a:pathLst>
            <a:path h="33" w="179">
              <a:moveTo>
                <a:pt x="0" y="33"/>
              </a:moveTo>
              <a:cubicBezTo>
                <a:pt x="31" y="16"/>
                <a:pt x="63" y="0"/>
                <a:pt x="93" y="0"/>
              </a:cubicBezTo>
              <a:cubicBezTo>
                <a:pt x="123" y="0"/>
                <a:pt x="157" y="24"/>
                <a:pt x="179" y="3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14</xdr:row>
      <xdr:rowOff>190500</xdr:rowOff>
    </xdr:from>
    <xdr:to>
      <xdr:col>19</xdr:col>
      <xdr:colOff>0</xdr:colOff>
      <xdr:row>16</xdr:row>
      <xdr:rowOff>47625</xdr:rowOff>
    </xdr:to>
    <xdr:sp>
      <xdr:nvSpPr>
        <xdr:cNvPr id="1" name="Line 29"/>
        <xdr:cNvSpPr>
          <a:spLocks/>
        </xdr:cNvSpPr>
      </xdr:nvSpPr>
      <xdr:spPr>
        <a:xfrm flipV="1">
          <a:off x="4524375" y="28384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16</xdr:row>
      <xdr:rowOff>57150</xdr:rowOff>
    </xdr:to>
    <xdr:sp>
      <xdr:nvSpPr>
        <xdr:cNvPr id="2" name="Line 30"/>
        <xdr:cNvSpPr>
          <a:spLocks/>
        </xdr:cNvSpPr>
      </xdr:nvSpPr>
      <xdr:spPr>
        <a:xfrm flipV="1">
          <a:off x="6191250" y="2847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104775</xdr:rowOff>
    </xdr:from>
    <xdr:to>
      <xdr:col>19</xdr:col>
      <xdr:colOff>0</xdr:colOff>
      <xdr:row>17</xdr:row>
      <xdr:rowOff>104775</xdr:rowOff>
    </xdr:to>
    <xdr:sp>
      <xdr:nvSpPr>
        <xdr:cNvPr id="3" name="Line 31"/>
        <xdr:cNvSpPr>
          <a:spLocks/>
        </xdr:cNvSpPr>
      </xdr:nvSpPr>
      <xdr:spPr>
        <a:xfrm flipV="1">
          <a:off x="4524375" y="31527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114300</xdr:rowOff>
    </xdr:from>
    <xdr:to>
      <xdr:col>26</xdr:col>
      <xdr:colOff>0</xdr:colOff>
      <xdr:row>17</xdr:row>
      <xdr:rowOff>114300</xdr:rowOff>
    </xdr:to>
    <xdr:sp>
      <xdr:nvSpPr>
        <xdr:cNvPr id="4" name="Line 32"/>
        <xdr:cNvSpPr>
          <a:spLocks/>
        </xdr:cNvSpPr>
      </xdr:nvSpPr>
      <xdr:spPr>
        <a:xfrm flipV="1">
          <a:off x="6191250" y="31623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133350</xdr:rowOff>
    </xdr:from>
    <xdr:to>
      <xdr:col>18</xdr:col>
      <xdr:colOff>190500</xdr:colOff>
      <xdr:row>16</xdr:row>
      <xdr:rowOff>114300</xdr:rowOff>
    </xdr:to>
    <xdr:sp>
      <xdr:nvSpPr>
        <xdr:cNvPr id="5" name="TextBox 33"/>
        <xdr:cNvSpPr txBox="1">
          <a:spLocks noChangeArrowheads="1"/>
        </xdr:cNvSpPr>
      </xdr:nvSpPr>
      <xdr:spPr>
        <a:xfrm>
          <a:off x="4314825" y="29813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26</xdr:col>
      <xdr:colOff>47625</xdr:colOff>
      <xdr:row>15</xdr:row>
      <xdr:rowOff>133350</xdr:rowOff>
    </xdr:from>
    <xdr:to>
      <xdr:col>26</xdr:col>
      <xdr:colOff>209550</xdr:colOff>
      <xdr:row>16</xdr:row>
      <xdr:rowOff>114300</xdr:rowOff>
    </xdr:to>
    <xdr:sp>
      <xdr:nvSpPr>
        <xdr:cNvPr id="6" name="TextBox 34"/>
        <xdr:cNvSpPr txBox="1">
          <a:spLocks noChangeArrowheads="1"/>
        </xdr:cNvSpPr>
      </xdr:nvSpPr>
      <xdr:spPr>
        <a:xfrm>
          <a:off x="6238875" y="29813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19</xdr:col>
      <xdr:colOff>0</xdr:colOff>
      <xdr:row>19</xdr:row>
      <xdr:rowOff>190500</xdr:rowOff>
    </xdr:from>
    <xdr:to>
      <xdr:col>19</xdr:col>
      <xdr:colOff>0</xdr:colOff>
      <xdr:row>21</xdr:row>
      <xdr:rowOff>47625</xdr:rowOff>
    </xdr:to>
    <xdr:sp>
      <xdr:nvSpPr>
        <xdr:cNvPr id="7" name="Line 35"/>
        <xdr:cNvSpPr>
          <a:spLocks/>
        </xdr:cNvSpPr>
      </xdr:nvSpPr>
      <xdr:spPr>
        <a:xfrm flipV="1">
          <a:off x="4524375" y="38385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26</xdr:col>
      <xdr:colOff>0</xdr:colOff>
      <xdr:row>21</xdr:row>
      <xdr:rowOff>57150</xdr:rowOff>
    </xdr:to>
    <xdr:sp>
      <xdr:nvSpPr>
        <xdr:cNvPr id="8" name="Line 36"/>
        <xdr:cNvSpPr>
          <a:spLocks/>
        </xdr:cNvSpPr>
      </xdr:nvSpPr>
      <xdr:spPr>
        <a:xfrm flipV="1">
          <a:off x="6191250" y="3848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104775</xdr:rowOff>
    </xdr:from>
    <xdr:to>
      <xdr:col>19</xdr:col>
      <xdr:colOff>0</xdr:colOff>
      <xdr:row>22</xdr:row>
      <xdr:rowOff>104775</xdr:rowOff>
    </xdr:to>
    <xdr:sp>
      <xdr:nvSpPr>
        <xdr:cNvPr id="9" name="Line 37"/>
        <xdr:cNvSpPr>
          <a:spLocks/>
        </xdr:cNvSpPr>
      </xdr:nvSpPr>
      <xdr:spPr>
        <a:xfrm flipV="1">
          <a:off x="4524375" y="41529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114300</xdr:rowOff>
    </xdr:from>
    <xdr:to>
      <xdr:col>26</xdr:col>
      <xdr:colOff>0</xdr:colOff>
      <xdr:row>22</xdr:row>
      <xdr:rowOff>114300</xdr:rowOff>
    </xdr:to>
    <xdr:sp>
      <xdr:nvSpPr>
        <xdr:cNvPr id="10" name="Line 38"/>
        <xdr:cNvSpPr>
          <a:spLocks/>
        </xdr:cNvSpPr>
      </xdr:nvSpPr>
      <xdr:spPr>
        <a:xfrm flipV="1">
          <a:off x="6191250" y="41624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20</xdr:row>
      <xdr:rowOff>133350</xdr:rowOff>
    </xdr:from>
    <xdr:to>
      <xdr:col>18</xdr:col>
      <xdr:colOff>180975</xdr:colOff>
      <xdr:row>21</xdr:row>
      <xdr:rowOff>114300</xdr:rowOff>
    </xdr:to>
    <xdr:sp>
      <xdr:nvSpPr>
        <xdr:cNvPr id="11" name="TextBox 39"/>
        <xdr:cNvSpPr txBox="1">
          <a:spLocks noChangeArrowheads="1"/>
        </xdr:cNvSpPr>
      </xdr:nvSpPr>
      <xdr:spPr>
        <a:xfrm>
          <a:off x="4305300" y="3981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26</xdr:col>
      <xdr:colOff>57150</xdr:colOff>
      <xdr:row>20</xdr:row>
      <xdr:rowOff>133350</xdr:rowOff>
    </xdr:from>
    <xdr:to>
      <xdr:col>26</xdr:col>
      <xdr:colOff>219075</xdr:colOff>
      <xdr:row>21</xdr:row>
      <xdr:rowOff>114300</xdr:rowOff>
    </xdr:to>
    <xdr:sp>
      <xdr:nvSpPr>
        <xdr:cNvPr id="12" name="TextBox 40"/>
        <xdr:cNvSpPr txBox="1">
          <a:spLocks noChangeArrowheads="1"/>
        </xdr:cNvSpPr>
      </xdr:nvSpPr>
      <xdr:spPr>
        <a:xfrm>
          <a:off x="6248400" y="398145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22</xdr:col>
      <xdr:colOff>133350</xdr:colOff>
      <xdr:row>21</xdr:row>
      <xdr:rowOff>104775</xdr:rowOff>
    </xdr:from>
    <xdr:to>
      <xdr:col>22</xdr:col>
      <xdr:colOff>133350</xdr:colOff>
      <xdr:row>22</xdr:row>
      <xdr:rowOff>104775</xdr:rowOff>
    </xdr:to>
    <xdr:sp>
      <xdr:nvSpPr>
        <xdr:cNvPr id="13" name="Line 41"/>
        <xdr:cNvSpPr>
          <a:spLocks/>
        </xdr:cNvSpPr>
      </xdr:nvSpPr>
      <xdr:spPr>
        <a:xfrm flipV="1">
          <a:off x="5372100" y="41529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190500</xdr:rowOff>
    </xdr:from>
    <xdr:to>
      <xdr:col>19</xdr:col>
      <xdr:colOff>0</xdr:colOff>
      <xdr:row>26</xdr:row>
      <xdr:rowOff>47625</xdr:rowOff>
    </xdr:to>
    <xdr:sp>
      <xdr:nvSpPr>
        <xdr:cNvPr id="14" name="Line 42"/>
        <xdr:cNvSpPr>
          <a:spLocks/>
        </xdr:cNvSpPr>
      </xdr:nvSpPr>
      <xdr:spPr>
        <a:xfrm flipV="1">
          <a:off x="4524375" y="48387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0</xdr:colOff>
      <xdr:row>26</xdr:row>
      <xdr:rowOff>57150</xdr:rowOff>
    </xdr:to>
    <xdr:sp>
      <xdr:nvSpPr>
        <xdr:cNvPr id="15" name="Line 43"/>
        <xdr:cNvSpPr>
          <a:spLocks/>
        </xdr:cNvSpPr>
      </xdr:nvSpPr>
      <xdr:spPr>
        <a:xfrm flipV="1">
          <a:off x="6191250" y="4848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104775</xdr:rowOff>
    </xdr:from>
    <xdr:to>
      <xdr:col>19</xdr:col>
      <xdr:colOff>0</xdr:colOff>
      <xdr:row>27</xdr:row>
      <xdr:rowOff>104775</xdr:rowOff>
    </xdr:to>
    <xdr:sp>
      <xdr:nvSpPr>
        <xdr:cNvPr id="16" name="Line 44"/>
        <xdr:cNvSpPr>
          <a:spLocks/>
        </xdr:cNvSpPr>
      </xdr:nvSpPr>
      <xdr:spPr>
        <a:xfrm flipV="1">
          <a:off x="4524375" y="51530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114300</xdr:rowOff>
    </xdr:from>
    <xdr:to>
      <xdr:col>26</xdr:col>
      <xdr:colOff>0</xdr:colOff>
      <xdr:row>27</xdr:row>
      <xdr:rowOff>114300</xdr:rowOff>
    </xdr:to>
    <xdr:sp>
      <xdr:nvSpPr>
        <xdr:cNvPr id="17" name="Line 45"/>
        <xdr:cNvSpPr>
          <a:spLocks/>
        </xdr:cNvSpPr>
      </xdr:nvSpPr>
      <xdr:spPr>
        <a:xfrm flipV="1">
          <a:off x="6191250" y="516255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25</xdr:row>
      <xdr:rowOff>133350</xdr:rowOff>
    </xdr:from>
    <xdr:to>
      <xdr:col>18</xdr:col>
      <xdr:colOff>180975</xdr:colOff>
      <xdr:row>26</xdr:row>
      <xdr:rowOff>114300</xdr:rowOff>
    </xdr:to>
    <xdr:sp>
      <xdr:nvSpPr>
        <xdr:cNvPr id="18" name="TextBox 46"/>
        <xdr:cNvSpPr txBox="1">
          <a:spLocks noChangeArrowheads="1"/>
        </xdr:cNvSpPr>
      </xdr:nvSpPr>
      <xdr:spPr>
        <a:xfrm>
          <a:off x="4305300" y="498157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26</xdr:col>
      <xdr:colOff>57150</xdr:colOff>
      <xdr:row>25</xdr:row>
      <xdr:rowOff>133350</xdr:rowOff>
    </xdr:from>
    <xdr:to>
      <xdr:col>26</xdr:col>
      <xdr:colOff>219075</xdr:colOff>
      <xdr:row>26</xdr:row>
      <xdr:rowOff>114300</xdr:rowOff>
    </xdr:to>
    <xdr:sp>
      <xdr:nvSpPr>
        <xdr:cNvPr id="19" name="TextBox 47"/>
        <xdr:cNvSpPr txBox="1">
          <a:spLocks noChangeArrowheads="1"/>
        </xdr:cNvSpPr>
      </xdr:nvSpPr>
      <xdr:spPr>
        <a:xfrm>
          <a:off x="6248400" y="498157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22</xdr:col>
      <xdr:colOff>9525</xdr:colOff>
      <xdr:row>26</xdr:row>
      <xdr:rowOff>104775</xdr:rowOff>
    </xdr:from>
    <xdr:to>
      <xdr:col>22</xdr:col>
      <xdr:colOff>9525</xdr:colOff>
      <xdr:row>27</xdr:row>
      <xdr:rowOff>104775</xdr:rowOff>
    </xdr:to>
    <xdr:sp>
      <xdr:nvSpPr>
        <xdr:cNvPr id="20" name="Line 48"/>
        <xdr:cNvSpPr>
          <a:spLocks/>
        </xdr:cNvSpPr>
      </xdr:nvSpPr>
      <xdr:spPr>
        <a:xfrm flipV="1">
          <a:off x="5248275" y="51530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190500</xdr:rowOff>
    </xdr:from>
    <xdr:to>
      <xdr:col>19</xdr:col>
      <xdr:colOff>0</xdr:colOff>
      <xdr:row>31</xdr:row>
      <xdr:rowOff>47625</xdr:rowOff>
    </xdr:to>
    <xdr:sp>
      <xdr:nvSpPr>
        <xdr:cNvPr id="21" name="Line 50"/>
        <xdr:cNvSpPr>
          <a:spLocks/>
        </xdr:cNvSpPr>
      </xdr:nvSpPr>
      <xdr:spPr>
        <a:xfrm flipV="1">
          <a:off x="4524375" y="583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31</xdr:row>
      <xdr:rowOff>57150</xdr:rowOff>
    </xdr:to>
    <xdr:sp>
      <xdr:nvSpPr>
        <xdr:cNvPr id="22" name="Line 51"/>
        <xdr:cNvSpPr>
          <a:spLocks/>
        </xdr:cNvSpPr>
      </xdr:nvSpPr>
      <xdr:spPr>
        <a:xfrm flipV="1">
          <a:off x="6191250" y="58483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104775</xdr:rowOff>
    </xdr:from>
    <xdr:to>
      <xdr:col>19</xdr:col>
      <xdr:colOff>0</xdr:colOff>
      <xdr:row>32</xdr:row>
      <xdr:rowOff>104775</xdr:rowOff>
    </xdr:to>
    <xdr:sp>
      <xdr:nvSpPr>
        <xdr:cNvPr id="23" name="Line 52"/>
        <xdr:cNvSpPr>
          <a:spLocks/>
        </xdr:cNvSpPr>
      </xdr:nvSpPr>
      <xdr:spPr>
        <a:xfrm flipV="1">
          <a:off x="4524375" y="615315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114300</xdr:rowOff>
    </xdr:from>
    <xdr:to>
      <xdr:col>26</xdr:col>
      <xdr:colOff>0</xdr:colOff>
      <xdr:row>32</xdr:row>
      <xdr:rowOff>114300</xdr:rowOff>
    </xdr:to>
    <xdr:sp>
      <xdr:nvSpPr>
        <xdr:cNvPr id="24" name="Line 53"/>
        <xdr:cNvSpPr>
          <a:spLocks/>
        </xdr:cNvSpPr>
      </xdr:nvSpPr>
      <xdr:spPr>
        <a:xfrm flipV="1">
          <a:off x="6191250" y="61626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133350</xdr:rowOff>
    </xdr:from>
    <xdr:to>
      <xdr:col>18</xdr:col>
      <xdr:colOff>180975</xdr:colOff>
      <xdr:row>31</xdr:row>
      <xdr:rowOff>114300</xdr:rowOff>
    </xdr:to>
    <xdr:sp>
      <xdr:nvSpPr>
        <xdr:cNvPr id="25" name="TextBox 54"/>
        <xdr:cNvSpPr txBox="1">
          <a:spLocks noChangeArrowheads="1"/>
        </xdr:cNvSpPr>
      </xdr:nvSpPr>
      <xdr:spPr>
        <a:xfrm>
          <a:off x="4305300" y="59817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26</xdr:col>
      <xdr:colOff>57150</xdr:colOff>
      <xdr:row>30</xdr:row>
      <xdr:rowOff>133350</xdr:rowOff>
    </xdr:from>
    <xdr:to>
      <xdr:col>26</xdr:col>
      <xdr:colOff>219075</xdr:colOff>
      <xdr:row>31</xdr:row>
      <xdr:rowOff>114300</xdr:rowOff>
    </xdr:to>
    <xdr:sp>
      <xdr:nvSpPr>
        <xdr:cNvPr id="26" name="TextBox 55"/>
        <xdr:cNvSpPr txBox="1">
          <a:spLocks noChangeArrowheads="1"/>
        </xdr:cNvSpPr>
      </xdr:nvSpPr>
      <xdr:spPr>
        <a:xfrm>
          <a:off x="6248400" y="5981700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22</xdr:col>
      <xdr:colOff>9525</xdr:colOff>
      <xdr:row>31</xdr:row>
      <xdr:rowOff>104775</xdr:rowOff>
    </xdr:from>
    <xdr:to>
      <xdr:col>22</xdr:col>
      <xdr:colOff>9525</xdr:colOff>
      <xdr:row>32</xdr:row>
      <xdr:rowOff>104775</xdr:rowOff>
    </xdr:to>
    <xdr:sp>
      <xdr:nvSpPr>
        <xdr:cNvPr id="27" name="Line 56"/>
        <xdr:cNvSpPr>
          <a:spLocks/>
        </xdr:cNvSpPr>
      </xdr:nvSpPr>
      <xdr:spPr>
        <a:xfrm flipV="1">
          <a:off x="5248275" y="615315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190500</xdr:rowOff>
    </xdr:from>
    <xdr:to>
      <xdr:col>19</xdr:col>
      <xdr:colOff>0</xdr:colOff>
      <xdr:row>36</xdr:row>
      <xdr:rowOff>47625</xdr:rowOff>
    </xdr:to>
    <xdr:sp>
      <xdr:nvSpPr>
        <xdr:cNvPr id="28" name="Line 57"/>
        <xdr:cNvSpPr>
          <a:spLocks/>
        </xdr:cNvSpPr>
      </xdr:nvSpPr>
      <xdr:spPr>
        <a:xfrm flipV="1">
          <a:off x="4524375" y="6838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36</xdr:row>
      <xdr:rowOff>57150</xdr:rowOff>
    </xdr:to>
    <xdr:sp>
      <xdr:nvSpPr>
        <xdr:cNvPr id="29" name="Line 58"/>
        <xdr:cNvSpPr>
          <a:spLocks/>
        </xdr:cNvSpPr>
      </xdr:nvSpPr>
      <xdr:spPr>
        <a:xfrm flipV="1">
          <a:off x="6191250" y="68484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104775</xdr:rowOff>
    </xdr:from>
    <xdr:to>
      <xdr:col>19</xdr:col>
      <xdr:colOff>0</xdr:colOff>
      <xdr:row>37</xdr:row>
      <xdr:rowOff>104775</xdr:rowOff>
    </xdr:to>
    <xdr:sp>
      <xdr:nvSpPr>
        <xdr:cNvPr id="30" name="Line 59"/>
        <xdr:cNvSpPr>
          <a:spLocks/>
        </xdr:cNvSpPr>
      </xdr:nvSpPr>
      <xdr:spPr>
        <a:xfrm flipV="1">
          <a:off x="4524375" y="71532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114300</xdr:rowOff>
    </xdr:from>
    <xdr:to>
      <xdr:col>26</xdr:col>
      <xdr:colOff>0</xdr:colOff>
      <xdr:row>37</xdr:row>
      <xdr:rowOff>114300</xdr:rowOff>
    </xdr:to>
    <xdr:sp>
      <xdr:nvSpPr>
        <xdr:cNvPr id="31" name="Line 60"/>
        <xdr:cNvSpPr>
          <a:spLocks/>
        </xdr:cNvSpPr>
      </xdr:nvSpPr>
      <xdr:spPr>
        <a:xfrm flipV="1">
          <a:off x="6191250" y="71628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35</xdr:row>
      <xdr:rowOff>133350</xdr:rowOff>
    </xdr:from>
    <xdr:to>
      <xdr:col>18</xdr:col>
      <xdr:colOff>180975</xdr:colOff>
      <xdr:row>36</xdr:row>
      <xdr:rowOff>114300</xdr:rowOff>
    </xdr:to>
    <xdr:sp>
      <xdr:nvSpPr>
        <xdr:cNvPr id="32" name="TextBox 61"/>
        <xdr:cNvSpPr txBox="1">
          <a:spLocks noChangeArrowheads="1"/>
        </xdr:cNvSpPr>
      </xdr:nvSpPr>
      <xdr:spPr>
        <a:xfrm>
          <a:off x="4305300" y="69818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26</xdr:col>
      <xdr:colOff>57150</xdr:colOff>
      <xdr:row>35</xdr:row>
      <xdr:rowOff>133350</xdr:rowOff>
    </xdr:from>
    <xdr:to>
      <xdr:col>26</xdr:col>
      <xdr:colOff>219075</xdr:colOff>
      <xdr:row>36</xdr:row>
      <xdr:rowOff>114300</xdr:rowOff>
    </xdr:to>
    <xdr:sp>
      <xdr:nvSpPr>
        <xdr:cNvPr id="33" name="TextBox 62"/>
        <xdr:cNvSpPr txBox="1">
          <a:spLocks noChangeArrowheads="1"/>
        </xdr:cNvSpPr>
      </xdr:nvSpPr>
      <xdr:spPr>
        <a:xfrm>
          <a:off x="6248400" y="698182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22</xdr:col>
      <xdr:colOff>9525</xdr:colOff>
      <xdr:row>36</xdr:row>
      <xdr:rowOff>104775</xdr:rowOff>
    </xdr:from>
    <xdr:to>
      <xdr:col>22</xdr:col>
      <xdr:colOff>9525</xdr:colOff>
      <xdr:row>37</xdr:row>
      <xdr:rowOff>104775</xdr:rowOff>
    </xdr:to>
    <xdr:sp>
      <xdr:nvSpPr>
        <xdr:cNvPr id="34" name="Line 63"/>
        <xdr:cNvSpPr>
          <a:spLocks/>
        </xdr:cNvSpPr>
      </xdr:nvSpPr>
      <xdr:spPr>
        <a:xfrm flipV="1">
          <a:off x="5248275" y="71532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6</xdr:row>
      <xdr:rowOff>190500</xdr:rowOff>
    </xdr:from>
    <xdr:to>
      <xdr:col>38</xdr:col>
      <xdr:colOff>0</xdr:colOff>
      <xdr:row>8</xdr:row>
      <xdr:rowOff>47625</xdr:rowOff>
    </xdr:to>
    <xdr:sp>
      <xdr:nvSpPr>
        <xdr:cNvPr id="1" name="Line 43"/>
        <xdr:cNvSpPr>
          <a:spLocks/>
        </xdr:cNvSpPr>
      </xdr:nvSpPr>
      <xdr:spPr>
        <a:xfrm flipV="1">
          <a:off x="9048750" y="1238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0</xdr:colOff>
      <xdr:row>8</xdr:row>
      <xdr:rowOff>57150</xdr:rowOff>
    </xdr:to>
    <xdr:sp>
      <xdr:nvSpPr>
        <xdr:cNvPr id="2" name="Line 44"/>
        <xdr:cNvSpPr>
          <a:spLocks/>
        </xdr:cNvSpPr>
      </xdr:nvSpPr>
      <xdr:spPr>
        <a:xfrm flipV="1">
          <a:off x="11191875" y="1247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104775</xdr:rowOff>
    </xdr:from>
    <xdr:to>
      <xdr:col>38</xdr:col>
      <xdr:colOff>0</xdr:colOff>
      <xdr:row>9</xdr:row>
      <xdr:rowOff>104775</xdr:rowOff>
    </xdr:to>
    <xdr:sp>
      <xdr:nvSpPr>
        <xdr:cNvPr id="3" name="Line 47"/>
        <xdr:cNvSpPr>
          <a:spLocks/>
        </xdr:cNvSpPr>
      </xdr:nvSpPr>
      <xdr:spPr>
        <a:xfrm flipV="1">
          <a:off x="9048750" y="15525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114300</xdr:rowOff>
    </xdr:from>
    <xdr:to>
      <xdr:col>47</xdr:col>
      <xdr:colOff>0</xdr:colOff>
      <xdr:row>9</xdr:row>
      <xdr:rowOff>114300</xdr:rowOff>
    </xdr:to>
    <xdr:sp>
      <xdr:nvSpPr>
        <xdr:cNvPr id="4" name="Line 48"/>
        <xdr:cNvSpPr>
          <a:spLocks/>
        </xdr:cNvSpPr>
      </xdr:nvSpPr>
      <xdr:spPr>
        <a:xfrm flipV="1">
          <a:off x="11191875" y="15621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12</xdr:row>
      <xdr:rowOff>190500</xdr:rowOff>
    </xdr:from>
    <xdr:to>
      <xdr:col>38</xdr:col>
      <xdr:colOff>0</xdr:colOff>
      <xdr:row>14</xdr:row>
      <xdr:rowOff>47625</xdr:rowOff>
    </xdr:to>
    <xdr:sp>
      <xdr:nvSpPr>
        <xdr:cNvPr id="5" name="Line 50"/>
        <xdr:cNvSpPr>
          <a:spLocks/>
        </xdr:cNvSpPr>
      </xdr:nvSpPr>
      <xdr:spPr>
        <a:xfrm flipV="1">
          <a:off x="9048750" y="2438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47</xdr:col>
      <xdr:colOff>0</xdr:colOff>
      <xdr:row>14</xdr:row>
      <xdr:rowOff>57150</xdr:rowOff>
    </xdr:to>
    <xdr:sp>
      <xdr:nvSpPr>
        <xdr:cNvPr id="6" name="Line 51"/>
        <xdr:cNvSpPr>
          <a:spLocks/>
        </xdr:cNvSpPr>
      </xdr:nvSpPr>
      <xdr:spPr>
        <a:xfrm flipV="1">
          <a:off x="11191875" y="2447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14</xdr:row>
      <xdr:rowOff>104775</xdr:rowOff>
    </xdr:from>
    <xdr:to>
      <xdr:col>38</xdr:col>
      <xdr:colOff>0</xdr:colOff>
      <xdr:row>15</xdr:row>
      <xdr:rowOff>104775</xdr:rowOff>
    </xdr:to>
    <xdr:sp>
      <xdr:nvSpPr>
        <xdr:cNvPr id="7" name="Line 52"/>
        <xdr:cNvSpPr>
          <a:spLocks/>
        </xdr:cNvSpPr>
      </xdr:nvSpPr>
      <xdr:spPr>
        <a:xfrm flipV="1">
          <a:off x="9048750" y="27527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114300</xdr:rowOff>
    </xdr:from>
    <xdr:to>
      <xdr:col>47</xdr:col>
      <xdr:colOff>0</xdr:colOff>
      <xdr:row>15</xdr:row>
      <xdr:rowOff>114300</xdr:rowOff>
    </xdr:to>
    <xdr:sp>
      <xdr:nvSpPr>
        <xdr:cNvPr id="8" name="Line 53"/>
        <xdr:cNvSpPr>
          <a:spLocks/>
        </xdr:cNvSpPr>
      </xdr:nvSpPr>
      <xdr:spPr>
        <a:xfrm flipV="1">
          <a:off x="11191875" y="276225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14</xdr:row>
      <xdr:rowOff>104775</xdr:rowOff>
    </xdr:from>
    <xdr:to>
      <xdr:col>42</xdr:col>
      <xdr:colOff>123825</xdr:colOff>
      <xdr:row>15</xdr:row>
      <xdr:rowOff>104775</xdr:rowOff>
    </xdr:to>
    <xdr:sp>
      <xdr:nvSpPr>
        <xdr:cNvPr id="9" name="Line 55"/>
        <xdr:cNvSpPr>
          <a:spLocks/>
        </xdr:cNvSpPr>
      </xdr:nvSpPr>
      <xdr:spPr>
        <a:xfrm flipV="1">
          <a:off x="10125075" y="27527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18</xdr:row>
      <xdr:rowOff>190500</xdr:rowOff>
    </xdr:from>
    <xdr:to>
      <xdr:col>38</xdr:col>
      <xdr:colOff>0</xdr:colOff>
      <xdr:row>20</xdr:row>
      <xdr:rowOff>47625</xdr:rowOff>
    </xdr:to>
    <xdr:sp>
      <xdr:nvSpPr>
        <xdr:cNvPr id="10" name="Line 56"/>
        <xdr:cNvSpPr>
          <a:spLocks/>
        </xdr:cNvSpPr>
      </xdr:nvSpPr>
      <xdr:spPr>
        <a:xfrm flipV="1">
          <a:off x="9048750" y="36385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0</xdr:colOff>
      <xdr:row>20</xdr:row>
      <xdr:rowOff>57150</xdr:rowOff>
    </xdr:to>
    <xdr:sp>
      <xdr:nvSpPr>
        <xdr:cNvPr id="11" name="Line 57"/>
        <xdr:cNvSpPr>
          <a:spLocks/>
        </xdr:cNvSpPr>
      </xdr:nvSpPr>
      <xdr:spPr>
        <a:xfrm flipV="1">
          <a:off x="11191875" y="3648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104775</xdr:rowOff>
    </xdr:from>
    <xdr:to>
      <xdr:col>38</xdr:col>
      <xdr:colOff>0</xdr:colOff>
      <xdr:row>21</xdr:row>
      <xdr:rowOff>104775</xdr:rowOff>
    </xdr:to>
    <xdr:sp>
      <xdr:nvSpPr>
        <xdr:cNvPr id="12" name="Line 58"/>
        <xdr:cNvSpPr>
          <a:spLocks/>
        </xdr:cNvSpPr>
      </xdr:nvSpPr>
      <xdr:spPr>
        <a:xfrm flipV="1">
          <a:off x="9048750" y="39528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114300</xdr:rowOff>
    </xdr:from>
    <xdr:to>
      <xdr:col>47</xdr:col>
      <xdr:colOff>0</xdr:colOff>
      <xdr:row>21</xdr:row>
      <xdr:rowOff>114300</xdr:rowOff>
    </xdr:to>
    <xdr:sp>
      <xdr:nvSpPr>
        <xdr:cNvPr id="13" name="Line 59"/>
        <xdr:cNvSpPr>
          <a:spLocks/>
        </xdr:cNvSpPr>
      </xdr:nvSpPr>
      <xdr:spPr>
        <a:xfrm flipV="1">
          <a:off x="11191875" y="3962400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142875</xdr:colOff>
      <xdr:row>20</xdr:row>
      <xdr:rowOff>104775</xdr:rowOff>
    </xdr:from>
    <xdr:to>
      <xdr:col>41</xdr:col>
      <xdr:colOff>142875</xdr:colOff>
      <xdr:row>21</xdr:row>
      <xdr:rowOff>104775</xdr:rowOff>
    </xdr:to>
    <xdr:sp>
      <xdr:nvSpPr>
        <xdr:cNvPr id="14" name="Line 60"/>
        <xdr:cNvSpPr>
          <a:spLocks/>
        </xdr:cNvSpPr>
      </xdr:nvSpPr>
      <xdr:spPr>
        <a:xfrm flipV="1">
          <a:off x="9906000" y="39528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29</xdr:row>
      <xdr:rowOff>114300</xdr:rowOff>
    </xdr:from>
    <xdr:to>
      <xdr:col>39</xdr:col>
      <xdr:colOff>9525</xdr:colOff>
      <xdr:row>30</xdr:row>
      <xdr:rowOff>114300</xdr:rowOff>
    </xdr:to>
    <xdr:sp>
      <xdr:nvSpPr>
        <xdr:cNvPr id="15" name="Line 62"/>
        <xdr:cNvSpPr>
          <a:spLocks/>
        </xdr:cNvSpPr>
      </xdr:nvSpPr>
      <xdr:spPr>
        <a:xfrm flipV="1">
          <a:off x="9296400" y="57626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41</xdr:row>
      <xdr:rowOff>114300</xdr:rowOff>
    </xdr:from>
    <xdr:to>
      <xdr:col>43</xdr:col>
      <xdr:colOff>0</xdr:colOff>
      <xdr:row>42</xdr:row>
      <xdr:rowOff>114300</xdr:rowOff>
    </xdr:to>
    <xdr:sp>
      <xdr:nvSpPr>
        <xdr:cNvPr id="16" name="Line 63"/>
        <xdr:cNvSpPr>
          <a:spLocks/>
        </xdr:cNvSpPr>
      </xdr:nvSpPr>
      <xdr:spPr>
        <a:xfrm flipV="1">
          <a:off x="10239375" y="81629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114300</xdr:rowOff>
    </xdr:from>
    <xdr:to>
      <xdr:col>46</xdr:col>
      <xdr:colOff>0</xdr:colOff>
      <xdr:row>30</xdr:row>
      <xdr:rowOff>114300</xdr:rowOff>
    </xdr:to>
    <xdr:sp>
      <xdr:nvSpPr>
        <xdr:cNvPr id="17" name="Line 64"/>
        <xdr:cNvSpPr>
          <a:spLocks/>
        </xdr:cNvSpPr>
      </xdr:nvSpPr>
      <xdr:spPr>
        <a:xfrm flipV="1">
          <a:off x="10953750" y="57626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35</xdr:row>
      <xdr:rowOff>114300</xdr:rowOff>
    </xdr:from>
    <xdr:to>
      <xdr:col>39</xdr:col>
      <xdr:colOff>9525</xdr:colOff>
      <xdr:row>36</xdr:row>
      <xdr:rowOff>114300</xdr:rowOff>
    </xdr:to>
    <xdr:sp>
      <xdr:nvSpPr>
        <xdr:cNvPr id="18" name="Line 65"/>
        <xdr:cNvSpPr>
          <a:spLocks/>
        </xdr:cNvSpPr>
      </xdr:nvSpPr>
      <xdr:spPr>
        <a:xfrm flipV="1">
          <a:off x="9296400" y="69627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46</xdr:col>
      <xdr:colOff>0</xdr:colOff>
      <xdr:row>36</xdr:row>
      <xdr:rowOff>114300</xdr:rowOff>
    </xdr:to>
    <xdr:sp>
      <xdr:nvSpPr>
        <xdr:cNvPr id="19" name="Line 66"/>
        <xdr:cNvSpPr>
          <a:spLocks/>
        </xdr:cNvSpPr>
      </xdr:nvSpPr>
      <xdr:spPr>
        <a:xfrm flipV="1">
          <a:off x="10953750" y="696277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76200</xdr:rowOff>
    </xdr:from>
    <xdr:to>
      <xdr:col>46</xdr:col>
      <xdr:colOff>0</xdr:colOff>
      <xdr:row>34</xdr:row>
      <xdr:rowOff>0</xdr:rowOff>
    </xdr:to>
    <xdr:sp>
      <xdr:nvSpPr>
        <xdr:cNvPr id="20" name="Line 67"/>
        <xdr:cNvSpPr>
          <a:spLocks/>
        </xdr:cNvSpPr>
      </xdr:nvSpPr>
      <xdr:spPr>
        <a:xfrm>
          <a:off x="10953750" y="6324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41</xdr:row>
      <xdr:rowOff>114300</xdr:rowOff>
    </xdr:from>
    <xdr:to>
      <xdr:col>39</xdr:col>
      <xdr:colOff>9525</xdr:colOff>
      <xdr:row>42</xdr:row>
      <xdr:rowOff>114300</xdr:rowOff>
    </xdr:to>
    <xdr:sp>
      <xdr:nvSpPr>
        <xdr:cNvPr id="21" name="Line 68"/>
        <xdr:cNvSpPr>
          <a:spLocks/>
        </xdr:cNvSpPr>
      </xdr:nvSpPr>
      <xdr:spPr>
        <a:xfrm flipV="1">
          <a:off x="9296400" y="81629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41</xdr:row>
      <xdr:rowOff>114300</xdr:rowOff>
    </xdr:from>
    <xdr:to>
      <xdr:col>46</xdr:col>
      <xdr:colOff>0</xdr:colOff>
      <xdr:row>42</xdr:row>
      <xdr:rowOff>114300</xdr:rowOff>
    </xdr:to>
    <xdr:sp>
      <xdr:nvSpPr>
        <xdr:cNvPr id="22" name="Line 69"/>
        <xdr:cNvSpPr>
          <a:spLocks/>
        </xdr:cNvSpPr>
      </xdr:nvSpPr>
      <xdr:spPr>
        <a:xfrm flipV="1">
          <a:off x="10953750" y="81629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38</xdr:row>
      <xdr:rowOff>76200</xdr:rowOff>
    </xdr:from>
    <xdr:to>
      <xdr:col>43</xdr:col>
      <xdr:colOff>0</xdr:colOff>
      <xdr:row>40</xdr:row>
      <xdr:rowOff>0</xdr:rowOff>
    </xdr:to>
    <xdr:sp>
      <xdr:nvSpPr>
        <xdr:cNvPr id="23" name="Line 70"/>
        <xdr:cNvSpPr>
          <a:spLocks/>
        </xdr:cNvSpPr>
      </xdr:nvSpPr>
      <xdr:spPr>
        <a:xfrm>
          <a:off x="10239375" y="75247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952500</xdr:colOff>
      <xdr:row>84</xdr:row>
      <xdr:rowOff>161925</xdr:rowOff>
    </xdr:from>
    <xdr:to>
      <xdr:col>82</xdr:col>
      <xdr:colOff>952500</xdr:colOff>
      <xdr:row>85</xdr:row>
      <xdr:rowOff>161925</xdr:rowOff>
    </xdr:to>
    <xdr:sp>
      <xdr:nvSpPr>
        <xdr:cNvPr id="24" name="Line 71"/>
        <xdr:cNvSpPr>
          <a:spLocks/>
        </xdr:cNvSpPr>
      </xdr:nvSpPr>
      <xdr:spPr>
        <a:xfrm flipV="1">
          <a:off x="21193125" y="16811625"/>
          <a:ext cx="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zoomScalePageLayoutView="0" workbookViewId="0" topLeftCell="A1">
      <selection activeCell="D8" sqref="D8:I10"/>
    </sheetView>
  </sheetViews>
  <sheetFormatPr defaultColWidth="9.140625" defaultRowHeight="12.75"/>
  <cols>
    <col min="1" max="2" width="9.140625" style="1" customWidth="1"/>
    <col min="3" max="3" width="10.7109375" style="1" bestFit="1" customWidth="1"/>
    <col min="4" max="6" width="9.140625" style="1" customWidth="1"/>
    <col min="7" max="7" width="6.140625" style="1" customWidth="1"/>
    <col min="8" max="9" width="9.140625" style="1" customWidth="1"/>
    <col min="10" max="10" width="8.28125" style="1" customWidth="1"/>
    <col min="11" max="16384" width="9.140625" style="1" customWidth="1"/>
  </cols>
  <sheetData>
    <row r="1" spans="11:14" ht="15.75" thickBot="1">
      <c r="K1" s="4"/>
      <c r="L1" s="4"/>
      <c r="M1" s="4"/>
      <c r="N1" s="4"/>
    </row>
    <row r="2" spans="11:14" ht="15">
      <c r="K2" s="7" t="s">
        <v>2</v>
      </c>
      <c r="L2" s="8"/>
      <c r="M2" s="9"/>
      <c r="N2" s="4"/>
    </row>
    <row r="3" spans="11:14" ht="15">
      <c r="K3" s="10" t="s">
        <v>3</v>
      </c>
      <c r="L3" s="6"/>
      <c r="M3" s="11"/>
      <c r="N3" s="4"/>
    </row>
    <row r="4" spans="1:14" ht="41.25" thickBot="1">
      <c r="A4" s="388" t="s">
        <v>28</v>
      </c>
      <c r="B4" s="388"/>
      <c r="C4" s="388"/>
      <c r="D4" s="388"/>
      <c r="E4" s="388"/>
      <c r="F4" s="388"/>
      <c r="G4" s="388"/>
      <c r="H4" s="388"/>
      <c r="I4" s="388"/>
      <c r="J4" s="388"/>
      <c r="K4" s="12"/>
      <c r="L4" s="13"/>
      <c r="M4" s="14"/>
      <c r="N4" s="4"/>
    </row>
    <row r="5" spans="11:14" ht="19.5" customHeight="1">
      <c r="K5" s="4"/>
      <c r="L5" s="4"/>
      <c r="M5" s="4"/>
      <c r="N5" s="4"/>
    </row>
    <row r="6" spans="1:14" ht="31.5">
      <c r="A6" s="389" t="s">
        <v>535</v>
      </c>
      <c r="B6" s="389"/>
      <c r="C6" s="389"/>
      <c r="D6" s="389"/>
      <c r="E6" s="389"/>
      <c r="F6" s="389"/>
      <c r="G6" s="389"/>
      <c r="H6" s="389"/>
      <c r="I6" s="389"/>
      <c r="J6" s="389"/>
      <c r="K6" s="4" t="s">
        <v>27</v>
      </c>
      <c r="L6" s="4"/>
      <c r="M6" s="4"/>
      <c r="N6" s="4"/>
    </row>
    <row r="7" spans="11:14" ht="15">
      <c r="K7" s="4"/>
      <c r="L7" s="4"/>
      <c r="M7" s="4"/>
      <c r="N7" s="4"/>
    </row>
    <row r="8" spans="1:14" s="2" customFormat="1" ht="18">
      <c r="A8" s="387" t="s">
        <v>4</v>
      </c>
      <c r="B8" s="387"/>
      <c r="C8" s="387"/>
      <c r="D8" s="392" t="s">
        <v>536</v>
      </c>
      <c r="E8" s="392"/>
      <c r="F8" s="392"/>
      <c r="G8" s="392"/>
      <c r="H8" s="392"/>
      <c r="I8" s="392"/>
      <c r="J8" s="19"/>
      <c r="K8" s="20"/>
      <c r="L8" s="20"/>
      <c r="M8" s="20"/>
      <c r="N8" s="20"/>
    </row>
    <row r="9" spans="1:14" s="2" customFormat="1" ht="18">
      <c r="A9" s="387" t="s">
        <v>5</v>
      </c>
      <c r="B9" s="387"/>
      <c r="C9" s="387"/>
      <c r="D9" s="391" t="s">
        <v>537</v>
      </c>
      <c r="E9" s="391"/>
      <c r="F9" s="391"/>
      <c r="G9" s="391"/>
      <c r="H9" s="391"/>
      <c r="I9" s="391"/>
      <c r="J9" s="19"/>
      <c r="K9" s="20"/>
      <c r="L9" s="20"/>
      <c r="M9" s="20"/>
      <c r="N9" s="20"/>
    </row>
    <row r="10" spans="1:14" s="2" customFormat="1" ht="18">
      <c r="A10" s="387" t="s">
        <v>6</v>
      </c>
      <c r="B10" s="387"/>
      <c r="C10" s="387"/>
      <c r="D10" s="391" t="s">
        <v>538</v>
      </c>
      <c r="E10" s="391"/>
      <c r="F10" s="391"/>
      <c r="G10" s="393"/>
      <c r="H10" s="390" t="s">
        <v>539</v>
      </c>
      <c r="I10" s="391"/>
      <c r="J10" s="19"/>
      <c r="K10" s="20"/>
      <c r="L10" s="20"/>
      <c r="M10" s="20"/>
      <c r="N10" s="20"/>
    </row>
    <row r="11" spans="4:14" ht="15">
      <c r="D11" s="384"/>
      <c r="E11" s="384"/>
      <c r="F11" s="384"/>
      <c r="G11" s="384"/>
      <c r="H11" s="18"/>
      <c r="I11" s="16"/>
      <c r="J11" s="5"/>
      <c r="K11" s="4"/>
      <c r="L11" s="4"/>
      <c r="M11" s="4"/>
      <c r="N11" s="4"/>
    </row>
    <row r="12" spans="1:14" ht="18">
      <c r="A12" s="387" t="s">
        <v>7</v>
      </c>
      <c r="B12" s="387"/>
      <c r="C12" s="387"/>
      <c r="D12" s="17" t="s">
        <v>29</v>
      </c>
      <c r="E12" s="17"/>
      <c r="F12" s="17"/>
      <c r="G12" s="17"/>
      <c r="H12" s="17"/>
      <c r="I12" s="17"/>
      <c r="J12" s="19"/>
      <c r="K12" s="4"/>
      <c r="L12" s="4"/>
      <c r="M12" s="4"/>
      <c r="N12" s="4"/>
    </row>
    <row r="13" spans="11:14" s="2" customFormat="1" ht="16.5">
      <c r="K13" s="20"/>
      <c r="L13" s="20"/>
      <c r="M13" s="20"/>
      <c r="N13" s="20"/>
    </row>
    <row r="14" spans="1:14" s="2" customFormat="1" ht="18">
      <c r="A14" s="385" t="s">
        <v>11</v>
      </c>
      <c r="B14" s="385"/>
      <c r="C14" s="385"/>
      <c r="D14" s="385"/>
      <c r="K14" s="20"/>
      <c r="L14" s="20"/>
      <c r="M14" s="20"/>
      <c r="N14" s="20"/>
    </row>
    <row r="15" spans="2:14" s="2" customFormat="1" ht="16.5">
      <c r="B15" s="3" t="s">
        <v>1</v>
      </c>
      <c r="C15" s="1" t="s">
        <v>8</v>
      </c>
      <c r="D15" s="1"/>
      <c r="E15" s="1"/>
      <c r="F15" s="1"/>
      <c r="G15" s="1"/>
      <c r="H15" s="1"/>
      <c r="I15" s="1"/>
      <c r="J15" s="1"/>
      <c r="K15" s="20"/>
      <c r="L15" s="20"/>
      <c r="M15" s="20"/>
      <c r="N15" s="20"/>
    </row>
    <row r="16" spans="2:14" s="2" customFormat="1" ht="16.5">
      <c r="B16" s="3" t="s">
        <v>1</v>
      </c>
      <c r="C16" s="1" t="s">
        <v>9</v>
      </c>
      <c r="D16" s="1"/>
      <c r="E16" s="1"/>
      <c r="F16" s="1"/>
      <c r="G16" s="1"/>
      <c r="H16" s="1"/>
      <c r="I16" s="1"/>
      <c r="J16" s="1"/>
      <c r="K16" s="20"/>
      <c r="L16" s="20"/>
      <c r="M16" s="20"/>
      <c r="N16" s="20"/>
    </row>
    <row r="17" spans="2:14" s="2" customFormat="1" ht="16.5">
      <c r="B17" s="3" t="s">
        <v>1</v>
      </c>
      <c r="C17" s="1" t="s">
        <v>10</v>
      </c>
      <c r="D17" s="1"/>
      <c r="E17" s="1"/>
      <c r="F17" s="1"/>
      <c r="G17" s="1"/>
      <c r="H17" s="1"/>
      <c r="I17" s="1"/>
      <c r="J17" s="1"/>
      <c r="K17" s="20"/>
      <c r="L17" s="20"/>
      <c r="M17" s="20"/>
      <c r="N17" s="20"/>
    </row>
    <row r="18" spans="11:14" s="2" customFormat="1" ht="16.5">
      <c r="K18" s="20"/>
      <c r="L18" s="20"/>
      <c r="M18" s="20"/>
      <c r="N18" s="20"/>
    </row>
    <row r="19" spans="1:14" s="2" customFormat="1" ht="18">
      <c r="A19" s="385" t="s">
        <v>12</v>
      </c>
      <c r="B19" s="385"/>
      <c r="C19" s="385"/>
      <c r="D19" s="385"/>
      <c r="K19" s="20"/>
      <c r="L19" s="20"/>
      <c r="M19" s="20"/>
      <c r="N19" s="20"/>
    </row>
    <row r="20" spans="3:14" s="2" customFormat="1" ht="16.5">
      <c r="C20" s="386" t="s">
        <v>13</v>
      </c>
      <c r="D20" s="386"/>
      <c r="E20" s="15" t="s">
        <v>0</v>
      </c>
      <c r="F20" s="2" t="s">
        <v>20</v>
      </c>
      <c r="K20" s="20"/>
      <c r="L20" s="20"/>
      <c r="M20" s="20"/>
      <c r="N20" s="20"/>
    </row>
    <row r="21" spans="3:14" s="2" customFormat="1" ht="16.5">
      <c r="C21" s="386" t="s">
        <v>14</v>
      </c>
      <c r="D21" s="386"/>
      <c r="E21" s="15" t="s">
        <v>0</v>
      </c>
      <c r="F21" s="2" t="s">
        <v>21</v>
      </c>
      <c r="K21" s="20"/>
      <c r="L21" s="20"/>
      <c r="M21" s="20"/>
      <c r="N21" s="20"/>
    </row>
    <row r="22" spans="3:14" s="2" customFormat="1" ht="16.5">
      <c r="C22" s="386" t="s">
        <v>15</v>
      </c>
      <c r="D22" s="386"/>
      <c r="E22" s="15" t="s">
        <v>0</v>
      </c>
      <c r="F22" s="2" t="s">
        <v>22</v>
      </c>
      <c r="K22" s="20"/>
      <c r="L22" s="20"/>
      <c r="M22" s="20"/>
      <c r="N22" s="20"/>
    </row>
    <row r="23" spans="3:14" s="2" customFormat="1" ht="16.5">
      <c r="C23" s="386" t="s">
        <v>16</v>
      </c>
      <c r="D23" s="386"/>
      <c r="E23" s="15" t="s">
        <v>0</v>
      </c>
      <c r="F23" s="2" t="s">
        <v>23</v>
      </c>
      <c r="K23" s="20"/>
      <c r="L23" s="20"/>
      <c r="M23" s="20"/>
      <c r="N23" s="20"/>
    </row>
    <row r="24" spans="3:14" s="2" customFormat="1" ht="16.5">
      <c r="C24" s="386" t="s">
        <v>17</v>
      </c>
      <c r="D24" s="386"/>
      <c r="E24" s="15" t="s">
        <v>0</v>
      </c>
      <c r="F24" s="2" t="s">
        <v>23</v>
      </c>
      <c r="K24" s="20"/>
      <c r="L24" s="20"/>
      <c r="M24" s="20"/>
      <c r="N24" s="20"/>
    </row>
    <row r="25" spans="3:14" s="2" customFormat="1" ht="16.5">
      <c r="C25" s="386" t="s">
        <v>18</v>
      </c>
      <c r="D25" s="386"/>
      <c r="E25" s="15" t="s">
        <v>0</v>
      </c>
      <c r="F25" s="2" t="s">
        <v>24</v>
      </c>
      <c r="K25" s="20"/>
      <c r="L25" s="20"/>
      <c r="M25" s="20"/>
      <c r="N25" s="20"/>
    </row>
    <row r="26" spans="3:14" s="2" customFormat="1" ht="16.5">
      <c r="C26" s="386" t="s">
        <v>19</v>
      </c>
      <c r="D26" s="386"/>
      <c r="E26" s="15" t="s">
        <v>0</v>
      </c>
      <c r="F26" s="2" t="s">
        <v>25</v>
      </c>
      <c r="K26" s="20"/>
      <c r="L26" s="20"/>
      <c r="M26" s="20"/>
      <c r="N26" s="20"/>
    </row>
    <row r="27" spans="11:14" s="2" customFormat="1" ht="16.5">
      <c r="K27" s="20"/>
      <c r="L27" s="20"/>
      <c r="M27" s="20"/>
      <c r="N27" s="20"/>
    </row>
    <row r="28" spans="1:14" s="2" customFormat="1" ht="16.5">
      <c r="A28" s="383" t="s">
        <v>26</v>
      </c>
      <c r="B28" s="383"/>
      <c r="C28" s="383"/>
      <c r="D28" s="383"/>
      <c r="E28" s="383"/>
      <c r="F28" s="383"/>
      <c r="G28" s="383"/>
      <c r="H28" s="383"/>
      <c r="I28" s="383"/>
      <c r="J28" s="383"/>
      <c r="K28" s="20"/>
      <c r="L28" s="20"/>
      <c r="M28" s="20"/>
      <c r="N28" s="20"/>
    </row>
    <row r="29" spans="11:14" s="2" customFormat="1" ht="16.5">
      <c r="K29" s="20"/>
      <c r="L29" s="20"/>
      <c r="M29" s="20"/>
      <c r="N29" s="20"/>
    </row>
    <row r="30" spans="11:14" s="2" customFormat="1" ht="16.5">
      <c r="K30" s="20"/>
      <c r="L30" s="20"/>
      <c r="M30" s="20"/>
      <c r="N30" s="20"/>
    </row>
    <row r="31" spans="11:14" s="2" customFormat="1" ht="16.5">
      <c r="K31" s="20"/>
      <c r="L31" s="20"/>
      <c r="M31" s="20"/>
      <c r="N31" s="20"/>
    </row>
    <row r="32" spans="11:14" s="2" customFormat="1" ht="16.5">
      <c r="K32" s="20"/>
      <c r="L32" s="20"/>
      <c r="M32" s="20"/>
      <c r="N32" s="20"/>
    </row>
    <row r="33" spans="11:14" s="2" customFormat="1" ht="16.5">
      <c r="K33" s="20"/>
      <c r="L33" s="20"/>
      <c r="M33" s="20"/>
      <c r="N33" s="20"/>
    </row>
    <row r="34" spans="11:14" s="2" customFormat="1" ht="16.5">
      <c r="K34" s="20"/>
      <c r="L34" s="20"/>
      <c r="M34" s="20"/>
      <c r="N34" s="20"/>
    </row>
    <row r="35" spans="1:14" s="2" customFormat="1" ht="16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21">
    <mergeCell ref="C24:D24"/>
    <mergeCell ref="C23:D23"/>
    <mergeCell ref="A8:C8"/>
    <mergeCell ref="A9:C9"/>
    <mergeCell ref="A10:C10"/>
    <mergeCell ref="A4:J4"/>
    <mergeCell ref="A6:J6"/>
    <mergeCell ref="H10:I10"/>
    <mergeCell ref="D8:I8"/>
    <mergeCell ref="D9:I9"/>
    <mergeCell ref="D10:G10"/>
    <mergeCell ref="A28:J28"/>
    <mergeCell ref="D11:G11"/>
    <mergeCell ref="A14:D14"/>
    <mergeCell ref="A19:D19"/>
    <mergeCell ref="C20:D20"/>
    <mergeCell ref="C22:D22"/>
    <mergeCell ref="C21:D21"/>
    <mergeCell ref="A12:C12"/>
    <mergeCell ref="C26:D26"/>
    <mergeCell ref="C25:D25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X94"/>
  <sheetViews>
    <sheetView tabSelected="1" zoomScalePageLayoutView="0" workbookViewId="0" topLeftCell="A1">
      <selection activeCell="X15" sqref="X15:Z15"/>
    </sheetView>
  </sheetViews>
  <sheetFormatPr defaultColWidth="3.57421875" defaultRowHeight="15.75" customHeight="1"/>
  <cols>
    <col min="1" max="11" width="3.57421875" style="31" customWidth="1"/>
    <col min="12" max="12" width="3.57421875" style="37" customWidth="1"/>
    <col min="13" max="76" width="3.57421875" style="31" customWidth="1"/>
    <col min="77" max="77" width="8.140625" style="31" bestFit="1" customWidth="1"/>
    <col min="78" max="79" width="3.57421875" style="31" customWidth="1"/>
    <col min="80" max="80" width="8.421875" style="31" bestFit="1" customWidth="1"/>
    <col min="81" max="81" width="3.7109375" style="31" bestFit="1" customWidth="1"/>
    <col min="82" max="82" width="4.7109375" style="31" customWidth="1"/>
    <col min="83" max="83" width="18.140625" style="35" bestFit="1" customWidth="1"/>
    <col min="84" max="84" width="9.57421875" style="36" customWidth="1"/>
    <col min="85" max="85" width="9.7109375" style="36" customWidth="1"/>
    <col min="86" max="94" width="9.7109375" style="35" customWidth="1"/>
    <col min="95" max="95" width="18.140625" style="31" bestFit="1" customWidth="1"/>
    <col min="96" max="97" width="9.7109375" style="31" customWidth="1"/>
    <col min="98" max="98" width="4.7109375" style="31" customWidth="1"/>
    <col min="99" max="99" width="18.421875" style="31" bestFit="1" customWidth="1"/>
    <col min="100" max="100" width="6.28125" style="31" bestFit="1" customWidth="1"/>
    <col min="101" max="101" width="14.7109375" style="31" bestFit="1" customWidth="1"/>
    <col min="102" max="102" width="6.28125" style="31" bestFit="1" customWidth="1"/>
    <col min="103" max="108" width="4.7109375" style="31" customWidth="1"/>
    <col min="109" max="109" width="10.7109375" style="31" customWidth="1"/>
    <col min="110" max="110" width="21.00390625" style="31" bestFit="1" customWidth="1"/>
    <col min="111" max="111" width="20.57421875" style="31" bestFit="1" customWidth="1"/>
    <col min="112" max="112" width="19.57421875" style="31" bestFit="1" customWidth="1"/>
    <col min="113" max="113" width="18.8515625" style="31" bestFit="1" customWidth="1"/>
    <col min="114" max="114" width="19.140625" style="31" bestFit="1" customWidth="1"/>
    <col min="115" max="115" width="17.28125" style="31" bestFit="1" customWidth="1"/>
    <col min="116" max="116" width="18.421875" style="31" bestFit="1" customWidth="1"/>
    <col min="117" max="117" width="21.421875" style="31" bestFit="1" customWidth="1"/>
    <col min="118" max="118" width="20.140625" style="31" bestFit="1" customWidth="1"/>
    <col min="119" max="134" width="4.7109375" style="31" customWidth="1"/>
    <col min="135" max="16384" width="3.57421875" style="31" customWidth="1"/>
  </cols>
  <sheetData>
    <row r="1" spans="2:39" ht="15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49">
        <f>IF(AC10="","",AC10)</f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29:39" ht="9.75" customHeight="1"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</row>
    <row r="3" spans="2:128" ht="15.75" customHeight="1">
      <c r="B3" s="38" t="s">
        <v>109</v>
      </c>
      <c r="E3" s="375" t="str">
        <f>Cover!A6</f>
        <v>อาคารพาณิชย์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7"/>
      <c r="V3" s="380" t="s">
        <v>112</v>
      </c>
      <c r="W3" s="380"/>
      <c r="X3" s="381"/>
      <c r="Y3" s="382">
        <f ca="1">TODAY()</f>
        <v>40280</v>
      </c>
      <c r="Z3" s="364"/>
      <c r="AA3" s="365"/>
      <c r="AC3" s="149" t="s">
        <v>2</v>
      </c>
      <c r="AD3" s="150"/>
      <c r="AE3" s="150"/>
      <c r="AF3" s="148"/>
      <c r="AG3" s="148"/>
      <c r="AH3" s="148"/>
      <c r="AI3" s="148"/>
      <c r="AJ3" s="148"/>
      <c r="AK3" s="148"/>
      <c r="AL3" s="148"/>
      <c r="AM3" s="148"/>
      <c r="BY3" s="34"/>
      <c r="BZ3" s="34"/>
      <c r="CA3" s="34"/>
      <c r="CB3" s="34"/>
      <c r="CC3" s="34"/>
      <c r="CD3" s="34"/>
      <c r="CE3" s="40"/>
      <c r="CF3" s="39"/>
      <c r="CG3" s="39"/>
      <c r="CH3" s="40"/>
      <c r="CI3" s="40"/>
      <c r="CJ3" s="40"/>
      <c r="CK3" s="40"/>
      <c r="CL3" s="40"/>
      <c r="CM3" s="40"/>
      <c r="CN3" s="40"/>
      <c r="CO3" s="40"/>
      <c r="CP3" s="40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</row>
    <row r="4" spans="2:128" ht="15.75" customHeight="1">
      <c r="B4" s="38" t="s">
        <v>110</v>
      </c>
      <c r="E4" s="375" t="str">
        <f>Cover!D8</f>
        <v>คุณทดลอง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9" t="s">
        <v>533</v>
      </c>
      <c r="W4" s="380"/>
      <c r="X4" s="380"/>
      <c r="Y4" s="366"/>
      <c r="Z4" s="367"/>
      <c r="AA4" s="368"/>
      <c r="AC4" s="151" t="s">
        <v>3</v>
      </c>
      <c r="AD4" s="150"/>
      <c r="AE4" s="150"/>
      <c r="AF4" s="148"/>
      <c r="AG4" s="148"/>
      <c r="AH4" s="148"/>
      <c r="AI4" s="148"/>
      <c r="AJ4" s="148"/>
      <c r="AK4" s="148"/>
      <c r="AL4" s="148"/>
      <c r="AM4" s="148"/>
      <c r="BY4" s="34"/>
      <c r="BZ4" s="34"/>
      <c r="CA4" s="34"/>
      <c r="CB4" s="34"/>
      <c r="CC4" s="34"/>
      <c r="CD4" s="34"/>
      <c r="CE4" s="40"/>
      <c r="CF4" s="39"/>
      <c r="CG4" s="39"/>
      <c r="CH4" s="40"/>
      <c r="CI4" s="40"/>
      <c r="CJ4" s="40"/>
      <c r="CK4" s="40"/>
      <c r="CL4" s="40"/>
      <c r="CM4" s="40"/>
      <c r="CN4" s="40"/>
      <c r="CO4" s="40"/>
      <c r="CP4" s="40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</row>
    <row r="5" spans="2:128" ht="15.75" customHeight="1">
      <c r="B5" s="38" t="s">
        <v>111</v>
      </c>
      <c r="E5" s="375" t="str">
        <f>Cover!D9</f>
        <v>กทม.</v>
      </c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7"/>
      <c r="V5" s="380"/>
      <c r="W5" s="380"/>
      <c r="X5" s="380"/>
      <c r="Y5" s="363"/>
      <c r="Z5" s="363"/>
      <c r="AA5" s="363"/>
      <c r="AC5" s="148"/>
      <c r="AD5" s="148"/>
      <c r="AE5" s="148"/>
      <c r="AF5" s="148"/>
      <c r="AG5" s="148"/>
      <c r="AH5" s="150"/>
      <c r="AI5" s="148"/>
      <c r="AJ5" s="148"/>
      <c r="AK5" s="148"/>
      <c r="AL5" s="148"/>
      <c r="AM5" s="148"/>
      <c r="BY5" s="34"/>
      <c r="BZ5" s="34"/>
      <c r="CA5" s="34"/>
      <c r="CB5" s="34"/>
      <c r="CC5" s="34"/>
      <c r="CD5" s="34"/>
      <c r="CE5" s="40"/>
      <c r="CF5" s="39"/>
      <c r="CG5" s="39"/>
      <c r="CH5" s="40"/>
      <c r="CI5" s="40"/>
      <c r="CJ5" s="40"/>
      <c r="CK5" s="40"/>
      <c r="CL5" s="40"/>
      <c r="CM5" s="40"/>
      <c r="CN5" s="40"/>
      <c r="CO5" s="40"/>
      <c r="CP5" s="40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41" t="s">
        <v>475</v>
      </c>
      <c r="DG5" s="41" t="s">
        <v>307</v>
      </c>
      <c r="DH5" s="41" t="s">
        <v>476</v>
      </c>
      <c r="DI5" s="41" t="s">
        <v>311</v>
      </c>
      <c r="DJ5" s="41" t="s">
        <v>309</v>
      </c>
      <c r="DK5" s="41" t="s">
        <v>278</v>
      </c>
      <c r="DL5" s="41" t="s">
        <v>310</v>
      </c>
      <c r="DM5" s="41" t="s">
        <v>465</v>
      </c>
      <c r="DN5" s="41" t="s">
        <v>466</v>
      </c>
      <c r="DO5" s="34"/>
      <c r="DP5" s="34"/>
      <c r="DQ5" s="34"/>
      <c r="DR5" s="34"/>
      <c r="DS5" s="34"/>
      <c r="DT5" s="34"/>
      <c r="DU5" s="34"/>
      <c r="DV5" s="34"/>
      <c r="DW5" s="34"/>
      <c r="DX5" s="34"/>
    </row>
    <row r="6" spans="2:128" ht="9.7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BY6" s="34"/>
      <c r="BZ6" s="34"/>
      <c r="CA6" s="34"/>
      <c r="CB6" s="34"/>
      <c r="CC6" s="34"/>
      <c r="CD6" s="34"/>
      <c r="CE6" s="40"/>
      <c r="CF6" s="39"/>
      <c r="CG6" s="39"/>
      <c r="CH6" s="40"/>
      <c r="CI6" s="40"/>
      <c r="CJ6" s="40"/>
      <c r="CK6" s="40"/>
      <c r="CL6" s="40"/>
      <c r="CM6" s="40"/>
      <c r="CN6" s="40"/>
      <c r="CO6" s="40"/>
      <c r="CP6" s="40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spans="2:128" s="35" customFormat="1" ht="15.75" customHeight="1">
      <c r="B7" s="378" t="s">
        <v>31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C7" s="148" t="s">
        <v>27</v>
      </c>
      <c r="AD7" s="152"/>
      <c r="AE7" s="152"/>
      <c r="AF7" s="152"/>
      <c r="AG7" s="152"/>
      <c r="AH7" s="152"/>
      <c r="AI7" s="152"/>
      <c r="AJ7" s="153"/>
      <c r="AK7" s="152"/>
      <c r="AL7" s="152"/>
      <c r="AM7" s="152"/>
      <c r="BY7" s="40"/>
      <c r="BZ7" s="40"/>
      <c r="CA7" s="40"/>
      <c r="CB7" s="40"/>
      <c r="CC7" s="40"/>
      <c r="CD7" s="40"/>
      <c r="CE7" s="40"/>
      <c r="CF7" s="39"/>
      <c r="CG7" s="39"/>
      <c r="CH7" s="40"/>
      <c r="CI7" s="40"/>
      <c r="CJ7" s="40"/>
      <c r="CK7" s="40"/>
      <c r="CL7" s="396"/>
      <c r="CM7" s="396"/>
      <c r="CN7" s="40"/>
      <c r="CO7" s="40"/>
      <c r="CP7" s="40"/>
      <c r="CQ7" s="40"/>
      <c r="CR7" s="40"/>
      <c r="CS7" s="40"/>
      <c r="CT7" s="40"/>
      <c r="CU7" s="34">
        <f>IF(AND(OR(CU8=1,CU8=2,CU8=3,CU8=4,CU8=5,CU8=6,CU8=7),CX8=1),CU8,IF(AND(OR(CU8=1,CU8=2,CU8=4,CU8=5,CU8=6),CX8=2),CU8,IF(AND(CU8=3,CX8=2),8,IF(AND(CU8=7,CX8=2),9))))</f>
        <v>7</v>
      </c>
      <c r="CV7" s="34"/>
      <c r="CW7" s="34"/>
      <c r="CX7" s="34"/>
      <c r="CY7" s="40"/>
      <c r="CZ7" s="40"/>
      <c r="DA7" s="40"/>
      <c r="DB7" s="40"/>
      <c r="DC7" s="40"/>
      <c r="DD7" s="40"/>
      <c r="DE7" s="40"/>
      <c r="DF7" s="39">
        <v>1</v>
      </c>
      <c r="DG7" s="39">
        <v>2</v>
      </c>
      <c r="DH7" s="39">
        <v>3</v>
      </c>
      <c r="DI7" s="39">
        <v>4</v>
      </c>
      <c r="DJ7" s="39">
        <v>5</v>
      </c>
      <c r="DK7" s="39">
        <v>6</v>
      </c>
      <c r="DL7" s="39">
        <v>7</v>
      </c>
      <c r="DM7" s="39">
        <v>8</v>
      </c>
      <c r="DN7" s="39">
        <v>9</v>
      </c>
      <c r="DO7" s="40"/>
      <c r="DP7" s="40"/>
      <c r="DQ7" s="40"/>
      <c r="DR7" s="40"/>
      <c r="DS7" s="40"/>
      <c r="DT7" s="40"/>
      <c r="DU7" s="40"/>
      <c r="DV7" s="40"/>
      <c r="DW7" s="40"/>
      <c r="DX7" s="40"/>
    </row>
    <row r="8" spans="1:128" s="35" customFormat="1" ht="15.75" customHeight="1" thickBot="1">
      <c r="A8" s="40"/>
      <c r="B8" s="57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39"/>
      <c r="M8" s="40"/>
      <c r="N8" s="40"/>
      <c r="O8" s="40"/>
      <c r="P8" s="40"/>
      <c r="Q8" s="58"/>
      <c r="S8" s="40"/>
      <c r="T8" s="40"/>
      <c r="U8" s="40"/>
      <c r="V8" s="40"/>
      <c r="W8" s="40"/>
      <c r="X8" s="350" t="str">
        <f>IF(Y="","Y",IF(Y&lt;&gt;"","Y = "&amp;ROUND(Y,2)&amp;" m."))</f>
        <v>Y = 2 m.</v>
      </c>
      <c r="Y8" s="40"/>
      <c r="Z8" s="40"/>
      <c r="AA8" s="40"/>
      <c r="AB8" s="40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40"/>
      <c r="AO8" s="40"/>
      <c r="AP8" s="40"/>
      <c r="AQ8" s="40"/>
      <c r="AR8" s="40"/>
      <c r="BY8" s="40"/>
      <c r="BZ8" s="40"/>
      <c r="CA8" s="40"/>
      <c r="CB8" s="40"/>
      <c r="CC8" s="40"/>
      <c r="CD8" s="40"/>
      <c r="CE8" s="40"/>
      <c r="CF8" s="39"/>
      <c r="CG8" s="39"/>
      <c r="CH8" s="40"/>
      <c r="CI8" s="40"/>
      <c r="CJ8" s="40"/>
      <c r="CK8" s="40"/>
      <c r="CL8" s="63"/>
      <c r="CM8" s="63"/>
      <c r="CN8" s="40"/>
      <c r="CO8" s="40"/>
      <c r="CP8" s="40" t="s">
        <v>264</v>
      </c>
      <c r="CQ8" s="39">
        <f>'Steel Table'!ED39</f>
        <v>2.072</v>
      </c>
      <c r="CR8" s="40"/>
      <c r="CS8" s="40"/>
      <c r="CT8" s="40"/>
      <c r="CU8" s="34">
        <f>VLOOKUP(AC32,CU10:CV16,2,FALSE)</f>
        <v>7</v>
      </c>
      <c r="CV8" s="34">
        <f>IF(AND(OR(CU8=1,CU8=2,CU8=3,CU8=4,CU8=5,CU8=6,CU8=7),CX8=1),CU8+1,IF(AND(OR(CU8=1,CU8=2,CU8=4,CU8=5,CU8=6),CX8=2),CU8+1,IF(AND(CU8=3,CX8=2),9,IF(AND(CU8=7,CX8=2),10))))</f>
        <v>8</v>
      </c>
      <c r="CW8" s="34"/>
      <c r="CX8" s="34">
        <f>VLOOKUP(AC34,CW10:CX11,2,FALSE)</f>
        <v>1</v>
      </c>
      <c r="CY8" s="40"/>
      <c r="CZ8" s="40"/>
      <c r="DA8" s="40"/>
      <c r="DB8" s="40"/>
      <c r="DC8" s="40"/>
      <c r="DD8" s="40"/>
      <c r="DE8" s="40">
        <v>1</v>
      </c>
      <c r="DF8" s="40" t="str">
        <f>'Steel Table'!C6</f>
        <v>WF-100x100x6x8 mm.</v>
      </c>
      <c r="DG8" s="40" t="str">
        <f>'Steel Table'!S6</f>
        <v>I-100x75x5x8 mm.</v>
      </c>
      <c r="DH8" s="40" t="str">
        <f>'Steel Table'!AJ6</f>
        <v>[-75x40x5x7 mm.</v>
      </c>
      <c r="DI8" s="40" t="str">
        <f>'Steel Table'!BC6</f>
        <v>Tube-25x25x2 mm.</v>
      </c>
      <c r="DJ8" s="40" t="str">
        <f>'Steel Table'!BO6</f>
        <v>Tube-50x25x2 mm.</v>
      </c>
      <c r="DK8" s="40" t="str">
        <f>'Steel Table'!CD6</f>
        <v>Pipe-D21.7x2 mm.</v>
      </c>
      <c r="DL8" s="40" t="str">
        <f>'Steel Table'!CO6</f>
        <v>[-60x30x10x1.6 mm.</v>
      </c>
      <c r="DM8" s="40" t="str">
        <f>'Steel Table'!AJ27</f>
        <v>2[]-75x40x5x7 mm.</v>
      </c>
      <c r="DN8" s="40" t="str">
        <f>'Steel Table'!DG6</f>
        <v>2[]-60x30x10x1.6 mm.</v>
      </c>
      <c r="DO8" s="40"/>
      <c r="DP8" s="40"/>
      <c r="DQ8" s="40"/>
      <c r="DR8" s="40"/>
      <c r="DS8" s="40"/>
      <c r="DT8" s="40"/>
      <c r="DU8" s="40"/>
      <c r="DV8" s="40"/>
      <c r="DW8" s="40"/>
      <c r="DX8" s="40"/>
    </row>
    <row r="9" spans="1:128" s="35" customFormat="1" ht="15.75" customHeight="1" thickBot="1">
      <c r="A9" s="40"/>
      <c r="B9" s="34" t="s">
        <v>32</v>
      </c>
      <c r="C9" s="40"/>
      <c r="D9" s="40"/>
      <c r="E9" s="40"/>
      <c r="F9" s="40"/>
      <c r="G9" s="40"/>
      <c r="H9" s="40"/>
      <c r="I9" s="40"/>
      <c r="J9" s="40"/>
      <c r="K9" s="40"/>
      <c r="L9" s="39"/>
      <c r="M9" s="36" t="s">
        <v>0</v>
      </c>
      <c r="N9" s="359">
        <v>2400</v>
      </c>
      <c r="O9" s="359"/>
      <c r="P9" s="359"/>
      <c r="Q9" s="40"/>
      <c r="R9" s="315"/>
      <c r="S9" s="360"/>
      <c r="T9" s="361"/>
      <c r="U9" s="361"/>
      <c r="V9" s="361"/>
      <c r="W9" s="362"/>
      <c r="X9" s="350"/>
      <c r="Y9" s="52"/>
      <c r="Z9" s="52"/>
      <c r="AA9" s="40"/>
      <c r="AB9" s="40"/>
      <c r="AC9" s="353" t="s">
        <v>534</v>
      </c>
      <c r="AD9" s="354"/>
      <c r="AE9" s="355"/>
      <c r="AF9" s="153"/>
      <c r="AG9" s="153"/>
      <c r="AH9" s="153"/>
      <c r="AI9" s="153"/>
      <c r="AJ9" s="153"/>
      <c r="AK9" s="153"/>
      <c r="AL9" s="153"/>
      <c r="AM9" s="153"/>
      <c r="AN9" s="40"/>
      <c r="AO9" s="40"/>
      <c r="AP9" s="40"/>
      <c r="AQ9" s="40"/>
      <c r="AR9" s="40"/>
      <c r="BY9" s="40"/>
      <c r="BZ9" s="40"/>
      <c r="CA9" s="40"/>
      <c r="CB9" s="40"/>
      <c r="CC9" s="40"/>
      <c r="CD9" s="40"/>
      <c r="CE9" s="40"/>
      <c r="CF9" s="39"/>
      <c r="CG9" s="39"/>
      <c r="CH9" s="40"/>
      <c r="CI9" s="40"/>
      <c r="CJ9" s="40"/>
      <c r="CK9" s="40"/>
      <c r="CL9" s="63"/>
      <c r="CM9" s="63"/>
      <c r="CN9" s="40"/>
      <c r="CO9" s="40"/>
      <c r="CP9" s="40" t="s">
        <v>422</v>
      </c>
      <c r="CQ9" s="39">
        <f>'Steel Table'!EE39</f>
        <v>1.63</v>
      </c>
      <c r="CR9" s="40"/>
      <c r="CS9" s="40"/>
      <c r="CT9" s="40"/>
      <c r="CU9" s="34"/>
      <c r="CV9" s="34"/>
      <c r="CW9" s="34"/>
      <c r="CX9" s="34"/>
      <c r="CY9" s="40"/>
      <c r="CZ9" s="40"/>
      <c r="DA9" s="40"/>
      <c r="DB9" s="40"/>
      <c r="DC9" s="40"/>
      <c r="DD9" s="40"/>
      <c r="DE9" s="40">
        <v>2</v>
      </c>
      <c r="DF9" s="40" t="str">
        <f>'Steel Table'!C7</f>
        <v>WF-125X125x6.5x9 mm.</v>
      </c>
      <c r="DG9" s="40" t="str">
        <f>'Steel Table'!S7</f>
        <v>I-125x75x5.5x9.5 mm.</v>
      </c>
      <c r="DH9" s="40" t="str">
        <f>'Steel Table'!AJ7</f>
        <v>[-100x50x5x7.5 mm.</v>
      </c>
      <c r="DI9" s="40" t="str">
        <f>'Steel Table'!BC7</f>
        <v>Tube-25x25x2.3 mm.</v>
      </c>
      <c r="DJ9" s="40" t="str">
        <f>'Steel Table'!BO7</f>
        <v>Tube-50x25x2.3 mm.</v>
      </c>
      <c r="DK9" s="40" t="str">
        <f>'Steel Table'!CD7</f>
        <v>Pipe-D27.2x2 mm.</v>
      </c>
      <c r="DL9" s="40" t="str">
        <f>'Steel Table'!CO7</f>
        <v>[-60x30x10x2 mm.</v>
      </c>
      <c r="DM9" s="40" t="str">
        <f>'Steel Table'!AJ28</f>
        <v>2[]-100x50x5x7.5 mm.</v>
      </c>
      <c r="DN9" s="40" t="str">
        <f>'Steel Table'!DG7</f>
        <v>2[]-60x30x10x2 mm.</v>
      </c>
      <c r="DO9" s="40"/>
      <c r="DP9" s="40"/>
      <c r="DQ9" s="40"/>
      <c r="DR9" s="40"/>
      <c r="DS9" s="40"/>
      <c r="DT9" s="40"/>
      <c r="DU9" s="40"/>
      <c r="DV9" s="40"/>
      <c r="DW9" s="40"/>
      <c r="DX9" s="40"/>
    </row>
    <row r="10" spans="1:128" s="35" customFormat="1" ht="15.75" customHeight="1" thickBot="1">
      <c r="A10" s="40"/>
      <c r="B10" s="31" t="s">
        <v>33</v>
      </c>
      <c r="C10" s="40"/>
      <c r="D10" s="40"/>
      <c r="E10" s="40"/>
      <c r="F10" s="40"/>
      <c r="G10" s="40"/>
      <c r="H10" s="40"/>
      <c r="I10" s="40"/>
      <c r="J10" s="40"/>
      <c r="K10" s="40"/>
      <c r="L10" s="39"/>
      <c r="M10" s="36" t="s">
        <v>0</v>
      </c>
      <c r="N10" s="370">
        <f>0.6*fy</f>
        <v>1440</v>
      </c>
      <c r="O10" s="370"/>
      <c r="P10" s="370"/>
      <c r="Q10" s="40"/>
      <c r="R10" s="315"/>
      <c r="S10" s="356"/>
      <c r="T10" s="356"/>
      <c r="U10" s="356"/>
      <c r="V10" s="356"/>
      <c r="W10" s="357"/>
      <c r="X10" s="350"/>
      <c r="Y10" s="74"/>
      <c r="Z10" s="74"/>
      <c r="AA10" s="52"/>
      <c r="AB10" s="52"/>
      <c r="AC10" s="347"/>
      <c r="AD10" s="348"/>
      <c r="AE10" s="404"/>
      <c r="AF10" s="153"/>
      <c r="AG10" s="153"/>
      <c r="AH10" s="153"/>
      <c r="AI10" s="153"/>
      <c r="AJ10" s="153"/>
      <c r="AK10" s="153"/>
      <c r="AL10" s="153"/>
      <c r="AM10" s="153"/>
      <c r="AN10" s="40"/>
      <c r="AO10" s="40"/>
      <c r="AP10" s="40"/>
      <c r="AQ10" s="40"/>
      <c r="AR10" s="40"/>
      <c r="BY10" s="40"/>
      <c r="BZ10" s="40"/>
      <c r="CA10" s="40"/>
      <c r="CB10" s="40">
        <v>2</v>
      </c>
      <c r="CC10" s="40"/>
      <c r="CD10" s="40"/>
      <c r="CE10" s="40"/>
      <c r="CF10" s="39"/>
      <c r="CG10" s="39"/>
      <c r="CH10" s="40"/>
      <c r="CI10" s="40"/>
      <c r="CJ10" s="40"/>
      <c r="CK10" s="40"/>
      <c r="CL10" s="63"/>
      <c r="CM10" s="63"/>
      <c r="CN10" s="40"/>
      <c r="CO10" s="40"/>
      <c r="CP10" s="40" t="s">
        <v>87</v>
      </c>
      <c r="CQ10" s="39">
        <f>'Steel Table'!EF39</f>
        <v>11.6</v>
      </c>
      <c r="CR10" s="40">
        <f>IF(CX$14=1,CQ10,IF(CX$14=2,CQ11))</f>
        <v>11.6</v>
      </c>
      <c r="CS10" s="40"/>
      <c r="CT10" s="40"/>
      <c r="CU10" s="55" t="s">
        <v>306</v>
      </c>
      <c r="CV10" s="56">
        <v>1</v>
      </c>
      <c r="CW10" s="40" t="s">
        <v>462</v>
      </c>
      <c r="CX10" s="40">
        <v>1</v>
      </c>
      <c r="CY10" s="40"/>
      <c r="CZ10" s="40"/>
      <c r="DA10" s="40"/>
      <c r="DB10" s="40"/>
      <c r="DC10" s="40"/>
      <c r="DD10" s="40"/>
      <c r="DE10" s="40">
        <v>3</v>
      </c>
      <c r="DF10" s="40" t="str">
        <f>'Steel Table'!C8</f>
        <v>WF-150X75x6x9 mm.</v>
      </c>
      <c r="DG10" s="40" t="str">
        <f>'Steel Table'!S8</f>
        <v>I-150x75x5.5x9.5 mm.</v>
      </c>
      <c r="DH10" s="40" t="str">
        <f>'Steel Table'!AJ8</f>
        <v>[-125x65x6x8 mm.</v>
      </c>
      <c r="DI10" s="40" t="str">
        <f>'Steel Table'!BC8</f>
        <v>Tube-25x25x2.6 mm.</v>
      </c>
      <c r="DJ10" s="40" t="str">
        <f>'Steel Table'!BO8</f>
        <v>Tube-50x25x3.2 mm.</v>
      </c>
      <c r="DK10" s="40" t="str">
        <f>'Steel Table'!CD8</f>
        <v>Pipe-D27.2x2.3 mm.</v>
      </c>
      <c r="DL10" s="40" t="str">
        <f>'Steel Table'!CO8</f>
        <v>[-60x30x10x2.3 mm.</v>
      </c>
      <c r="DM10" s="40" t="str">
        <f>'Steel Table'!AJ29</f>
        <v>2[]-125x65x6x8 mm.</v>
      </c>
      <c r="DN10" s="40" t="str">
        <f>'Steel Table'!DG8</f>
        <v>2[]-60x30x10x2.3 mm.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</row>
    <row r="11" spans="1:128" s="35" customFormat="1" ht="15.75" customHeight="1">
      <c r="A11" s="40"/>
      <c r="B11" s="31" t="s">
        <v>34</v>
      </c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36" t="s">
        <v>0</v>
      </c>
      <c r="N11" s="370">
        <f>2.1*10^6</f>
        <v>2100000</v>
      </c>
      <c r="O11" s="370"/>
      <c r="P11" s="370"/>
      <c r="Q11" s="315"/>
      <c r="R11" s="315"/>
      <c r="S11" s="358" t="str">
        <f>IF(X="","X",IF(X&lt;&gt;"","X = "&amp;ROUND(X,2)&amp;" m. "))</f>
        <v>X = 4 m. </v>
      </c>
      <c r="T11" s="358"/>
      <c r="U11" s="358"/>
      <c r="V11" s="358"/>
      <c r="W11" s="358"/>
      <c r="X11" s="40"/>
      <c r="Y11" s="52"/>
      <c r="Z11" s="52"/>
      <c r="AA11" s="40"/>
      <c r="AB11" s="40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0"/>
      <c r="AO11" s="40"/>
      <c r="AP11" s="40"/>
      <c r="AQ11" s="40"/>
      <c r="AR11" s="40"/>
      <c r="BY11" s="40"/>
      <c r="BZ11" s="40"/>
      <c r="CA11" s="40"/>
      <c r="CB11" s="40"/>
      <c r="CC11" s="40"/>
      <c r="CD11" s="40"/>
      <c r="CE11" s="39" t="s">
        <v>61</v>
      </c>
      <c r="CF11" s="39" t="s">
        <v>72</v>
      </c>
      <c r="CG11" s="39" t="s">
        <v>75</v>
      </c>
      <c r="CH11" s="39" t="s">
        <v>77</v>
      </c>
      <c r="CI11" s="396" t="s">
        <v>78</v>
      </c>
      <c r="CJ11" s="396"/>
      <c r="CK11" s="396" t="s">
        <v>81</v>
      </c>
      <c r="CL11" s="396"/>
      <c r="CM11" s="371" t="s">
        <v>84</v>
      </c>
      <c r="CN11" s="371"/>
      <c r="CO11" s="40"/>
      <c r="CP11" s="40" t="s">
        <v>88</v>
      </c>
      <c r="CQ11" s="39">
        <f>'Steel Table'!EG39</f>
        <v>2.56</v>
      </c>
      <c r="CR11" s="40">
        <f>IF(CX$14=1,CQ11,IF(CX$14=2,CQ10))</f>
        <v>2.56</v>
      </c>
      <c r="CS11" s="40"/>
      <c r="CT11" s="40"/>
      <c r="CU11" s="67" t="s">
        <v>307</v>
      </c>
      <c r="CV11" s="68">
        <v>2</v>
      </c>
      <c r="CW11" s="40" t="s">
        <v>463</v>
      </c>
      <c r="CX11" s="40">
        <v>2</v>
      </c>
      <c r="CY11" s="40"/>
      <c r="CZ11" s="40"/>
      <c r="DA11" s="40"/>
      <c r="DB11" s="40"/>
      <c r="DC11" s="40"/>
      <c r="DD11" s="40"/>
      <c r="DE11" s="40">
        <v>4</v>
      </c>
      <c r="DF11" s="40" t="str">
        <f>'Steel Table'!C9</f>
        <v>WF-150x100x6x9 mm.</v>
      </c>
      <c r="DG11" s="40" t="str">
        <f>'Steel Table'!S9</f>
        <v>I-150x125x8.5x14 mm.</v>
      </c>
      <c r="DH11" s="40" t="str">
        <f>'Steel Table'!AJ9</f>
        <v>[-150x75x6.5x10 mm.</v>
      </c>
      <c r="DI11" s="40" t="str">
        <f>'Steel Table'!BC9</f>
        <v>Tube-25x25x3.2 mm.</v>
      </c>
      <c r="DJ11" s="40" t="str">
        <f>'Steel Table'!BO9</f>
        <v>Tube-50x25x3.6 mm.</v>
      </c>
      <c r="DK11" s="40" t="str">
        <f>'Steel Table'!CD9</f>
        <v>Pipe-D34x2.3 mm.</v>
      </c>
      <c r="DL11" s="40" t="str">
        <f>'Steel Table'!CO9</f>
        <v>[-70x40x25x1.6 mm.</v>
      </c>
      <c r="DM11" s="40" t="str">
        <f>'Steel Table'!AJ30</f>
        <v>2[]-150x75x6.5x10 mm.</v>
      </c>
      <c r="DN11" s="40" t="str">
        <f>'Steel Table'!DG9</f>
        <v>2[]-70x40x25x1.6 mm.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</row>
    <row r="12" spans="1:128" s="35" customFormat="1" ht="15.75" customHeight="1">
      <c r="A12" s="40"/>
      <c r="B12" s="34"/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134"/>
      <c r="N12" s="396"/>
      <c r="O12" s="396"/>
      <c r="P12" s="396"/>
      <c r="Q12" s="40"/>
      <c r="S12" s="40"/>
      <c r="T12" s="40"/>
      <c r="U12" s="39"/>
      <c r="V12" s="74"/>
      <c r="W12" s="74"/>
      <c r="X12" s="39"/>
      <c r="Y12" s="76"/>
      <c r="Z12" s="76"/>
      <c r="AA12" s="52"/>
      <c r="AB12" s="52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40"/>
      <c r="AO12" s="40"/>
      <c r="AP12" s="40"/>
      <c r="AQ12" s="40"/>
      <c r="AR12" s="40"/>
      <c r="BY12" s="40"/>
      <c r="BZ12" s="40"/>
      <c r="CA12" s="40"/>
      <c r="CB12" s="40">
        <f>θ*(PI()/180)</f>
        <v>0.4636476090008061</v>
      </c>
      <c r="CC12" s="40"/>
      <c r="CD12" s="40"/>
      <c r="CE12" s="36" t="s">
        <v>73</v>
      </c>
      <c r="CF12" s="36" t="s">
        <v>74</v>
      </c>
      <c r="CG12" s="39" t="s">
        <v>76</v>
      </c>
      <c r="CH12" s="40"/>
      <c r="CI12" s="39" t="s">
        <v>79</v>
      </c>
      <c r="CJ12" s="40" t="s">
        <v>80</v>
      </c>
      <c r="CK12" s="39" t="s">
        <v>82</v>
      </c>
      <c r="CL12" s="30" t="s">
        <v>83</v>
      </c>
      <c r="CM12" s="30" t="s">
        <v>85</v>
      </c>
      <c r="CN12" s="39" t="s">
        <v>86</v>
      </c>
      <c r="CO12" s="40"/>
      <c r="CP12" s="40" t="s">
        <v>89</v>
      </c>
      <c r="CQ12" s="39">
        <f>'Steel Table'!EH39</f>
        <v>3.88</v>
      </c>
      <c r="CR12" s="40">
        <f>IF(CX$14=1,CQ12,IF(CX$14=2,CQ13))</f>
        <v>3.88</v>
      </c>
      <c r="CS12" s="40"/>
      <c r="CT12" s="40"/>
      <c r="CU12" s="67" t="s">
        <v>308</v>
      </c>
      <c r="CV12" s="68">
        <v>3</v>
      </c>
      <c r="CW12" s="40" t="s">
        <v>318</v>
      </c>
      <c r="CX12" s="40">
        <v>1</v>
      </c>
      <c r="CY12" s="40"/>
      <c r="CZ12" s="40"/>
      <c r="DA12" s="40"/>
      <c r="DB12" s="40"/>
      <c r="DC12" s="40"/>
      <c r="DD12" s="40"/>
      <c r="DE12" s="40">
        <v>5</v>
      </c>
      <c r="DF12" s="40" t="str">
        <f>'Steel Table'!C10</f>
        <v>WF-150X150x7x10 mm.</v>
      </c>
      <c r="DG12" s="40" t="str">
        <f>'Steel Table'!S10</f>
        <v>I-180x100x6x10 mm.</v>
      </c>
      <c r="DH12" s="40" t="str">
        <f>'Steel Table'!AJ10</f>
        <v>[-150x75x9x12.5 mm.</v>
      </c>
      <c r="DI12" s="40" t="str">
        <f>'Steel Table'!BC10</f>
        <v>Tube-32x32x2.3 mm.</v>
      </c>
      <c r="DJ12" s="40" t="str">
        <f>'Steel Table'!BO10</f>
        <v>Tube-75x38x2.3 mm.</v>
      </c>
      <c r="DK12" s="40" t="str">
        <f>'Steel Table'!CD10</f>
        <v>Pipe-D42.7x2.3 mm.</v>
      </c>
      <c r="DL12" s="40" t="str">
        <f>'Steel Table'!CO10</f>
        <v>[-70x40x25x2.3 mm.</v>
      </c>
      <c r="DM12" s="40" t="str">
        <f>'Steel Table'!AJ31</f>
        <v>2[]-150x75x9x12.5 mm.</v>
      </c>
      <c r="DN12" s="40" t="str">
        <f>'Steel Table'!DG10</f>
        <v>2[]-70x40x25x2.3 mm.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</row>
    <row r="13" spans="1:128" s="35" customFormat="1" ht="15.75" customHeight="1">
      <c r="A13" s="40"/>
      <c r="B13" s="57" t="s">
        <v>42</v>
      </c>
      <c r="C13" s="40"/>
      <c r="D13" s="40"/>
      <c r="E13" s="40"/>
      <c r="F13" s="40"/>
      <c r="G13" s="40"/>
      <c r="H13" s="40"/>
      <c r="I13" s="40"/>
      <c r="J13" s="40"/>
      <c r="K13" s="40"/>
      <c r="L13" s="39"/>
      <c r="M13" s="134"/>
      <c r="N13" s="396"/>
      <c r="O13" s="396"/>
      <c r="P13" s="396"/>
      <c r="Q13" s="40"/>
      <c r="R13" s="58" t="s">
        <v>50</v>
      </c>
      <c r="S13" s="40"/>
      <c r="T13" s="40"/>
      <c r="U13" s="40"/>
      <c r="V13" s="52"/>
      <c r="W13" s="52"/>
      <c r="X13" s="40"/>
      <c r="Y13" s="52"/>
      <c r="Z13" s="52"/>
      <c r="AA13" s="40"/>
      <c r="AB13" s="40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40"/>
      <c r="AO13" s="40"/>
      <c r="AP13" s="40"/>
      <c r="AQ13" s="40"/>
      <c r="AR13" s="40"/>
      <c r="BY13" s="40" t="s">
        <v>55</v>
      </c>
      <c r="BZ13" s="40"/>
      <c r="CA13" s="40" t="s">
        <v>0</v>
      </c>
      <c r="CB13" s="81">
        <f>SIN(CB12)</f>
        <v>0.4472135954999579</v>
      </c>
      <c r="CC13" s="40"/>
      <c r="CD13" s="35">
        <v>1</v>
      </c>
      <c r="CP13" s="35" t="s">
        <v>90</v>
      </c>
      <c r="CQ13" s="36">
        <f>'Steel Table'!EI39</f>
        <v>1.32</v>
      </c>
      <c r="CR13" s="40">
        <f>IF(CX$14=1,CQ13,IF(CX$14=2,CQ12))</f>
        <v>1.32</v>
      </c>
      <c r="CS13" s="40"/>
      <c r="CT13" s="40"/>
      <c r="CU13" s="67" t="s">
        <v>311</v>
      </c>
      <c r="CV13" s="68">
        <v>4</v>
      </c>
      <c r="CW13" s="40" t="s">
        <v>319</v>
      </c>
      <c r="CX13" s="40">
        <v>2</v>
      </c>
      <c r="CY13" s="40"/>
      <c r="CZ13" s="40"/>
      <c r="DA13" s="40"/>
      <c r="DB13" s="40"/>
      <c r="DC13" s="40"/>
      <c r="DD13" s="40"/>
      <c r="DE13" s="40">
        <v>6</v>
      </c>
      <c r="DF13" s="40" t="str">
        <f>'Steel Table'!C11</f>
        <v>WF-175X175x7.5x11 mm.</v>
      </c>
      <c r="DG13" s="40" t="str">
        <f>'Steel Table'!S11</f>
        <v>I-200x100x7x10 mm.</v>
      </c>
      <c r="DH13" s="40" t="str">
        <f>'Steel Table'!AJ11</f>
        <v>[-180x75x7x10.5 mm.</v>
      </c>
      <c r="DI13" s="40" t="str">
        <f>'Steel Table'!BC11</f>
        <v>Tube-32x32x3.2 mm.</v>
      </c>
      <c r="DJ13" s="40" t="str">
        <f>'Steel Table'!BO11</f>
        <v>Tube-75x38x3.2 mm.</v>
      </c>
      <c r="DK13" s="40" t="str">
        <f>'Steel Table'!CD11</f>
        <v>Pipe-D42.7x2.5 mm.</v>
      </c>
      <c r="DL13" s="40" t="str">
        <f>'Steel Table'!CO11</f>
        <v>[-75x45x15x1.6 mm.</v>
      </c>
      <c r="DM13" s="40" t="str">
        <f>'Steel Table'!AJ32</f>
        <v>2[]-180x75x7x10.5 mm.</v>
      </c>
      <c r="DN13" s="40" t="str">
        <f>'Steel Table'!DG11</f>
        <v>2[]-75x45x15x1.6 mm.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</row>
    <row r="14" spans="1:128" s="35" customFormat="1" ht="15.75" customHeight="1">
      <c r="A14" s="40"/>
      <c r="B14" s="34" t="s">
        <v>35</v>
      </c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75" t="s">
        <v>0</v>
      </c>
      <c r="N14" s="352">
        <v>50</v>
      </c>
      <c r="O14" s="352"/>
      <c r="P14" s="352"/>
      <c r="Q14" s="40"/>
      <c r="R14" s="35" t="s">
        <v>52</v>
      </c>
      <c r="S14" s="40"/>
      <c r="T14" s="40"/>
      <c r="U14" s="39"/>
      <c r="V14" s="76"/>
      <c r="W14" s="75" t="s">
        <v>0</v>
      </c>
      <c r="X14" s="352">
        <v>4</v>
      </c>
      <c r="Y14" s="352"/>
      <c r="Z14" s="352"/>
      <c r="AA14" s="52"/>
      <c r="AB14" s="52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40"/>
      <c r="AO14" s="40"/>
      <c r="AP14" s="40"/>
      <c r="AQ14" s="40"/>
      <c r="AR14" s="40"/>
      <c r="BY14" s="40"/>
      <c r="BZ14" s="40"/>
      <c r="CA14" s="40"/>
      <c r="CB14" s="40">
        <f>((2*Sinθ)/(1+(Sinθ)^2))</f>
        <v>0.7453559924999299</v>
      </c>
      <c r="CC14" s="40"/>
      <c r="CD14" s="40">
        <v>2</v>
      </c>
      <c r="CE14" s="40" t="s">
        <v>62</v>
      </c>
      <c r="CF14" s="75">
        <v>2.25</v>
      </c>
      <c r="CG14" s="39">
        <v>2.872</v>
      </c>
      <c r="CH14" s="40"/>
      <c r="CI14" s="39">
        <v>15.6</v>
      </c>
      <c r="CJ14" s="39">
        <v>3.32</v>
      </c>
      <c r="CK14" s="40"/>
      <c r="CL14" s="63"/>
      <c r="CM14" s="30">
        <v>5.2</v>
      </c>
      <c r="CN14" s="39">
        <v>1.71</v>
      </c>
      <c r="CO14" s="40"/>
      <c r="CP14" s="40" t="s">
        <v>229</v>
      </c>
      <c r="CQ14" s="39">
        <f>'Steel Table'!EJ39</f>
        <v>2.37</v>
      </c>
      <c r="CR14" s="40">
        <f>IF(CX$14=1,CQ14,IF(CX$14=2,CQ15))</f>
        <v>2.37</v>
      </c>
      <c r="CS14" s="40"/>
      <c r="CT14" s="40"/>
      <c r="CU14" s="67" t="s">
        <v>309</v>
      </c>
      <c r="CV14" s="68">
        <v>5</v>
      </c>
      <c r="CW14" s="40"/>
      <c r="CX14" s="40">
        <f>VLOOKUP(AH32,CW12:CX13,2,FALSE)</f>
        <v>1</v>
      </c>
      <c r="CY14" s="40"/>
      <c r="CZ14" s="40"/>
      <c r="DA14" s="40"/>
      <c r="DB14" s="40"/>
      <c r="DC14" s="40"/>
      <c r="DD14" s="40"/>
      <c r="DE14" s="40">
        <v>7</v>
      </c>
      <c r="DF14" s="40" t="str">
        <f>'Steel Table'!C12</f>
        <v>WF-200x100x4.5x7 mm.</v>
      </c>
      <c r="DG14" s="40" t="str">
        <f>'Steel Table'!S12</f>
        <v>I-200x150x9x16 mm.</v>
      </c>
      <c r="DH14" s="40" t="str">
        <f>'Steel Table'!AJ12</f>
        <v>[-180x75x7.5x11 mm.</v>
      </c>
      <c r="DI14" s="40" t="str">
        <f>'Steel Table'!BC12</f>
        <v>Tube-38x38x2.3 mm.</v>
      </c>
      <c r="DJ14" s="40" t="str">
        <f>'Steel Table'!BO12</f>
        <v>Tube-75x45x1.6 mm.</v>
      </c>
      <c r="DK14" s="40" t="str">
        <f>'Steel Table'!CD12</f>
        <v>Pipe-D48.6x2.3 mm.</v>
      </c>
      <c r="DL14" s="40" t="str">
        <f>'Steel Table'!CO12</f>
        <v>[-75x45x15x2 mm.</v>
      </c>
      <c r="DM14" s="40" t="str">
        <f>'Steel Table'!AJ33</f>
        <v>2[]-180x75x7.5x11 mm.</v>
      </c>
      <c r="DN14" s="40" t="str">
        <f>'Steel Table'!DG12</f>
        <v>2[]-75x45x15x2 mm.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</row>
    <row r="15" spans="1:128" s="35" customFormat="1" ht="15.75" customHeight="1">
      <c r="A15" s="40"/>
      <c r="B15" s="95" t="s">
        <v>36</v>
      </c>
      <c r="C15" s="52"/>
      <c r="D15" s="52"/>
      <c r="E15" s="52"/>
      <c r="F15" s="52"/>
      <c r="G15" s="40"/>
      <c r="H15" s="40"/>
      <c r="I15" s="40"/>
      <c r="J15" s="40"/>
      <c r="K15" s="40"/>
      <c r="L15" s="39"/>
      <c r="M15" s="75" t="s">
        <v>0</v>
      </c>
      <c r="N15" s="352">
        <v>50</v>
      </c>
      <c r="O15" s="352"/>
      <c r="P15" s="352"/>
      <c r="Q15" s="40"/>
      <c r="R15" s="40" t="s">
        <v>53</v>
      </c>
      <c r="S15" s="40"/>
      <c r="T15" s="40"/>
      <c r="U15" s="40"/>
      <c r="V15" s="40"/>
      <c r="W15" s="75" t="s">
        <v>0</v>
      </c>
      <c r="X15" s="352">
        <v>2</v>
      </c>
      <c r="Y15" s="352"/>
      <c r="Z15" s="352"/>
      <c r="AA15" s="40"/>
      <c r="AB15" s="40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40"/>
      <c r="AO15" s="40"/>
      <c r="AP15" s="40"/>
      <c r="AQ15" s="40"/>
      <c r="AR15" s="40"/>
      <c r="BY15" s="40"/>
      <c r="BZ15" s="40"/>
      <c r="CA15" s="40"/>
      <c r="CB15" s="40">
        <f>CB14*P</f>
        <v>37.26779962499649</v>
      </c>
      <c r="CC15" s="40"/>
      <c r="CD15" s="40">
        <v>3</v>
      </c>
      <c r="CE15" s="40" t="s">
        <v>63</v>
      </c>
      <c r="CF15" s="75">
        <v>3.25</v>
      </c>
      <c r="CG15" s="39">
        <v>4.137</v>
      </c>
      <c r="CH15" s="40"/>
      <c r="CI15" s="39">
        <v>37.1</v>
      </c>
      <c r="CJ15" s="39">
        <v>11.8</v>
      </c>
      <c r="CK15" s="40"/>
      <c r="CL15" s="63"/>
      <c r="CM15" s="30">
        <v>9.9</v>
      </c>
      <c r="CN15" s="39">
        <v>4.24</v>
      </c>
      <c r="CO15" s="40"/>
      <c r="CP15" s="40" t="s">
        <v>230</v>
      </c>
      <c r="CQ15" s="39">
        <f>'Steel Table'!EK39</f>
        <v>1.11</v>
      </c>
      <c r="CR15" s="40">
        <f>IF(CX$14=1,CQ15,IF(CX$14=2,CQ14))</f>
        <v>1.11</v>
      </c>
      <c r="CS15" s="40"/>
      <c r="CT15" s="40"/>
      <c r="CU15" s="67" t="s">
        <v>278</v>
      </c>
      <c r="CV15" s="68">
        <v>6</v>
      </c>
      <c r="CW15" s="40"/>
      <c r="CX15" s="40"/>
      <c r="CY15" s="40"/>
      <c r="CZ15" s="40"/>
      <c r="DA15" s="40"/>
      <c r="DB15" s="40"/>
      <c r="DC15" s="40"/>
      <c r="DD15" s="40"/>
      <c r="DE15" s="40">
        <v>8</v>
      </c>
      <c r="DF15" s="40" t="str">
        <f>'Steel Table'!C13</f>
        <v>WF-200x100x5.5x8 mm.</v>
      </c>
      <c r="DG15" s="40" t="str">
        <f>'Steel Table'!S13</f>
        <v>I-250x125x7.5x12.5 mm.</v>
      </c>
      <c r="DH15" s="40" t="str">
        <f>'Steel Table'!AJ13</f>
        <v>[-180x75x8x13.5 mm.</v>
      </c>
      <c r="DI15" s="40" t="str">
        <f>'Steel Table'!BC13</f>
        <v>Tube-38x38x3.2 mm.</v>
      </c>
      <c r="DJ15" s="40" t="str">
        <f>'Steel Table'!BO13</f>
        <v>Tube-75x45x2.3 mm.</v>
      </c>
      <c r="DK15" s="40" t="str">
        <f>'Steel Table'!CD13</f>
        <v>Pipe-D48.6x2.5 mm.</v>
      </c>
      <c r="DL15" s="40" t="str">
        <f>'Steel Table'!CO13</f>
        <v>[-75x45x15x2.3 mm.</v>
      </c>
      <c r="DM15" s="40" t="str">
        <f>'Steel Table'!AJ34</f>
        <v>2[]-180x75x8x13.5 mm.</v>
      </c>
      <c r="DN15" s="40" t="str">
        <f>'Steel Table'!DG13</f>
        <v>2[]-75x45x15x2.3 mm.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</row>
    <row r="16" spans="1:128" s="35" customFormat="1" ht="15.75" customHeight="1">
      <c r="A16" s="40"/>
      <c r="B16" s="31" t="s">
        <v>37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75" t="s">
        <v>0</v>
      </c>
      <c r="N16" s="403">
        <f>X16</f>
        <v>26.56505117707799</v>
      </c>
      <c r="O16" s="396"/>
      <c r="P16" s="396"/>
      <c r="Q16" s="40"/>
      <c r="R16" s="40" t="s">
        <v>51</v>
      </c>
      <c r="S16" s="40"/>
      <c r="T16" s="40"/>
      <c r="U16" s="40"/>
      <c r="V16" s="40"/>
      <c r="W16" s="75" t="s">
        <v>0</v>
      </c>
      <c r="X16" s="403">
        <f>DEGREES(ATAN(Y/X))</f>
        <v>26.56505117707799</v>
      </c>
      <c r="Y16" s="403"/>
      <c r="Z16" s="403"/>
      <c r="AA16" s="408" t="s">
        <v>54</v>
      </c>
      <c r="AB16" s="408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40"/>
      <c r="AO16" s="40"/>
      <c r="AP16" s="40"/>
      <c r="AQ16" s="40"/>
      <c r="AR16" s="40"/>
      <c r="BY16" s="40" t="s">
        <v>56</v>
      </c>
      <c r="BZ16" s="40"/>
      <c r="CA16" s="40" t="s">
        <v>0</v>
      </c>
      <c r="CB16" s="40">
        <f>COS(CB12)</f>
        <v>0.8944271909999159</v>
      </c>
      <c r="CC16" s="40"/>
      <c r="CD16" s="40">
        <v>4</v>
      </c>
      <c r="CE16" s="40" t="s">
        <v>64</v>
      </c>
      <c r="CF16" s="75">
        <v>4.06</v>
      </c>
      <c r="CG16" s="39">
        <v>5.172</v>
      </c>
      <c r="CH16" s="40"/>
      <c r="CI16" s="39">
        <v>80.7</v>
      </c>
      <c r="CJ16" s="39">
        <v>19</v>
      </c>
      <c r="CK16" s="40"/>
      <c r="CL16" s="63"/>
      <c r="CM16" s="30">
        <v>16.1</v>
      </c>
      <c r="CN16" s="39">
        <v>6.06</v>
      </c>
      <c r="CO16" s="40"/>
      <c r="CP16" s="40" t="s">
        <v>324</v>
      </c>
      <c r="CQ16" s="39">
        <f>'Steel Table'!EL39</f>
        <v>60</v>
      </c>
      <c r="CR16" s="52"/>
      <c r="CS16" s="52"/>
      <c r="CT16" s="52"/>
      <c r="CU16" s="85" t="s">
        <v>310</v>
      </c>
      <c r="CV16" s="86">
        <v>7</v>
      </c>
      <c r="CW16" s="40"/>
      <c r="CX16" s="40"/>
      <c r="CY16" s="52"/>
      <c r="CZ16" s="52"/>
      <c r="DA16" s="52"/>
      <c r="DB16" s="52"/>
      <c r="DC16" s="52"/>
      <c r="DD16" s="52"/>
      <c r="DE16" s="40">
        <v>9</v>
      </c>
      <c r="DF16" s="40" t="str">
        <f>'Steel Table'!C14</f>
        <v>WF-200x150x6x9 mm.</v>
      </c>
      <c r="DG16" s="40" t="str">
        <f>'Steel Table'!S14</f>
        <v>I-250x125x10x19 mm.</v>
      </c>
      <c r="DH16" s="40" t="str">
        <f>'Steel Table'!AJ14</f>
        <v>[-180x75x8.5x13.5 mm.</v>
      </c>
      <c r="DI16" s="40" t="str">
        <f>'Steel Table'!BC14</f>
        <v>Tube-50x50x1.6 mm.</v>
      </c>
      <c r="DJ16" s="40" t="str">
        <f>'Steel Table'!BO14</f>
        <v>Tube-75x45x3.2 mm.</v>
      </c>
      <c r="DK16" s="40" t="str">
        <f>'Steel Table'!CD14</f>
        <v>Pipe-D48.6x2.8 mm.</v>
      </c>
      <c r="DL16" s="40" t="str">
        <f>'Steel Table'!CO14</f>
        <v>[-90x45x20x1.6 mm.</v>
      </c>
      <c r="DM16" s="40" t="str">
        <f>'Steel Table'!AJ35</f>
        <v>2[]-180x75x8.5x13.5 mm.</v>
      </c>
      <c r="DN16" s="40" t="str">
        <f>'Steel Table'!DG14</f>
        <v>2[]-90x45x20x1.6 mm.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</row>
    <row r="17" spans="1:128" s="35" customFormat="1" ht="15.75" customHeight="1">
      <c r="A17" s="40"/>
      <c r="B17" s="31" t="s">
        <v>38</v>
      </c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75" t="s">
        <v>0</v>
      </c>
      <c r="N17" s="352">
        <v>50</v>
      </c>
      <c r="O17" s="352"/>
      <c r="P17" s="352"/>
      <c r="Q17" s="9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9"/>
      <c r="AC17" s="153"/>
      <c r="AD17" s="153"/>
      <c r="AE17" s="153"/>
      <c r="AF17" s="153"/>
      <c r="AG17" s="153"/>
      <c r="AH17" s="153"/>
      <c r="AI17" s="153"/>
      <c r="AJ17" s="153"/>
      <c r="AK17" s="330"/>
      <c r="AL17" s="153"/>
      <c r="AM17" s="153"/>
      <c r="AN17" s="40"/>
      <c r="AO17" s="40"/>
      <c r="AP17" s="40"/>
      <c r="AQ17" s="40"/>
      <c r="AR17" s="40"/>
      <c r="BY17" s="40"/>
      <c r="BZ17" s="40"/>
      <c r="CA17" s="40"/>
      <c r="CB17" s="40"/>
      <c r="CC17" s="40"/>
      <c r="CD17" s="40">
        <v>5</v>
      </c>
      <c r="CE17" s="40" t="s">
        <v>65</v>
      </c>
      <c r="CF17" s="75">
        <v>5.5</v>
      </c>
      <c r="CG17" s="39">
        <v>7.007</v>
      </c>
      <c r="CH17" s="40"/>
      <c r="CI17" s="39">
        <v>107</v>
      </c>
      <c r="CJ17" s="39">
        <v>24.5</v>
      </c>
      <c r="CK17" s="52"/>
      <c r="CL17" s="52"/>
      <c r="CM17" s="39">
        <v>21.3</v>
      </c>
      <c r="CN17" s="39">
        <v>7.81</v>
      </c>
      <c r="CO17" s="52"/>
      <c r="CP17" s="52" t="s">
        <v>323</v>
      </c>
      <c r="CQ17" s="39">
        <f>'Steel Table'!EM39</f>
        <v>30</v>
      </c>
      <c r="CR17" s="96"/>
      <c r="CS17" s="40"/>
      <c r="CT17" s="40"/>
      <c r="CU17" s="40"/>
      <c r="CV17" s="108"/>
      <c r="CW17" s="40"/>
      <c r="CX17" s="88"/>
      <c r="CY17" s="88"/>
      <c r="CZ17" s="136"/>
      <c r="DA17" s="63"/>
      <c r="DB17" s="101"/>
      <c r="DC17" s="101"/>
      <c r="DD17" s="101"/>
      <c r="DE17" s="40">
        <v>10</v>
      </c>
      <c r="DF17" s="40" t="str">
        <f>'Steel Table'!C15</f>
        <v>WF-200X200x8x12 mm.</v>
      </c>
      <c r="DG17" s="40" t="str">
        <f>'Steel Table'!S15</f>
        <v>I-300x150x8x13 mm.</v>
      </c>
      <c r="DH17" s="40" t="str">
        <f>'Steel Table'!AJ15</f>
        <v>[-250x90x9x13 mm.</v>
      </c>
      <c r="DI17" s="40" t="str">
        <f>'Steel Table'!BC15</f>
        <v>Tube-50x50x2 mm.</v>
      </c>
      <c r="DJ17" s="40" t="str">
        <f>'Steel Table'!BO15</f>
        <v>Tube-100x50x2 mm.</v>
      </c>
      <c r="DK17" s="40" t="str">
        <f>'Steel Table'!CD15</f>
        <v>Pipe-D48.6x3.2 mm.</v>
      </c>
      <c r="DL17" s="40" t="str">
        <f>'Steel Table'!CO15</f>
        <v>[-90x45x20x2.3 mm.</v>
      </c>
      <c r="DM17" s="40" t="str">
        <f>'Steel Table'!AJ36</f>
        <v>2[]-250x90x9x13 mm.</v>
      </c>
      <c r="DN17" s="40" t="str">
        <f>'Steel Table'!DG15</f>
        <v>2[]-90x45x20x2.3 mm.</v>
      </c>
      <c r="DO17" s="52"/>
      <c r="DP17" s="40"/>
      <c r="DQ17" s="40"/>
      <c r="DR17" s="40"/>
      <c r="DS17" s="40"/>
      <c r="DT17" s="40"/>
      <c r="DU17" s="40"/>
      <c r="DV17" s="40"/>
      <c r="DW17" s="40"/>
      <c r="DX17" s="40"/>
    </row>
    <row r="18" spans="1:128" s="35" customFormat="1" ht="15.75" customHeight="1">
      <c r="A18" s="40"/>
      <c r="B18" s="31" t="s">
        <v>41</v>
      </c>
      <c r="C18" s="40"/>
      <c r="D18" s="40"/>
      <c r="E18" s="40"/>
      <c r="F18" s="40"/>
      <c r="G18" s="40"/>
      <c r="H18" s="40"/>
      <c r="I18" s="40"/>
      <c r="J18" s="40"/>
      <c r="K18" s="52"/>
      <c r="L18" s="52"/>
      <c r="M18" s="75" t="s">
        <v>0</v>
      </c>
      <c r="N18" s="372">
        <f>IF(θ&lt;=18,"-",IF(θ&gt;18,Wo))</f>
        <v>37.26779962499649</v>
      </c>
      <c r="O18" s="372"/>
      <c r="P18" s="372"/>
      <c r="Q18" s="324">
        <f>IF(θ&gt;18,"",IF(θ&lt;=18,"เนื่องจาก "&amp;ROUND(θ,2)&amp;" &lt; 18 องศาเป็นโครงหลังคาแบนไม่คิดแรงลม"))</f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9"/>
      <c r="AC18" s="153"/>
      <c r="AD18" s="153"/>
      <c r="AE18" s="153"/>
      <c r="AF18" s="153"/>
      <c r="AG18" s="153"/>
      <c r="AH18" s="153"/>
      <c r="AI18" s="153"/>
      <c r="AJ18" s="153"/>
      <c r="AK18" s="330"/>
      <c r="AL18" s="153"/>
      <c r="AM18" s="153"/>
      <c r="AN18" s="40"/>
      <c r="AO18" s="40"/>
      <c r="AP18" s="40"/>
      <c r="AQ18" s="40"/>
      <c r="AR18" s="40"/>
      <c r="BU18" s="35" t="s">
        <v>59</v>
      </c>
      <c r="BY18" s="40"/>
      <c r="BZ18" s="40"/>
      <c r="CA18" s="40"/>
      <c r="CB18" s="40"/>
      <c r="CC18" s="40"/>
      <c r="CD18" s="40">
        <v>6</v>
      </c>
      <c r="CE18" s="40" t="s">
        <v>66</v>
      </c>
      <c r="CF18" s="75">
        <v>4.51</v>
      </c>
      <c r="CG18" s="39">
        <v>5.747</v>
      </c>
      <c r="CH18" s="52"/>
      <c r="CI18" s="39">
        <v>137</v>
      </c>
      <c r="CJ18" s="75">
        <v>20.6</v>
      </c>
      <c r="CK18" s="40"/>
      <c r="CL18" s="40"/>
      <c r="CM18" s="93">
        <v>21.9</v>
      </c>
      <c r="CN18" s="75">
        <v>6.22</v>
      </c>
      <c r="CO18" s="40"/>
      <c r="CP18" s="40" t="s">
        <v>325</v>
      </c>
      <c r="CQ18" s="39">
        <f>'Steel Table'!EN39</f>
        <v>10</v>
      </c>
      <c r="CR18" s="96"/>
      <c r="CS18" s="40"/>
      <c r="CT18" s="40"/>
      <c r="CU18" s="314">
        <v>1</v>
      </c>
      <c r="CV18" s="108"/>
      <c r="CW18" s="40"/>
      <c r="CX18" s="88"/>
      <c r="CY18" s="88"/>
      <c r="CZ18" s="63"/>
      <c r="DA18" s="63"/>
      <c r="DB18" s="101"/>
      <c r="DC18" s="101"/>
      <c r="DD18" s="101"/>
      <c r="DE18" s="40">
        <v>11</v>
      </c>
      <c r="DF18" s="40" t="str">
        <f>'Steel Table'!C16</f>
        <v>WF-200X200x12x12 mm.</v>
      </c>
      <c r="DG18" s="40" t="str">
        <f>'Steel Table'!S16</f>
        <v>I-300x150x10x18.5 mm.</v>
      </c>
      <c r="DH18" s="40" t="str">
        <f>'Steel Table'!AJ16</f>
        <v>[-250x90x11x14.5 mm.</v>
      </c>
      <c r="DI18" s="40" t="str">
        <f>'Steel Table'!BC16</f>
        <v>Tube-50x50x2.3 mm.</v>
      </c>
      <c r="DJ18" s="40" t="str">
        <f>'Steel Table'!BO16</f>
        <v>Tube-100x50x2.3 mm.</v>
      </c>
      <c r="DK18" s="40" t="str">
        <f>'Steel Table'!CD16</f>
        <v>Pipe-D60.5x2.3 mm.</v>
      </c>
      <c r="DL18" s="40" t="str">
        <f>'Steel Table'!CO16</f>
        <v>[-90x45x20x3.2 mm.</v>
      </c>
      <c r="DM18" s="40" t="str">
        <f>'Steel Table'!AJ37</f>
        <v>2[]-250x90x11x14.5 mm.</v>
      </c>
      <c r="DN18" s="40" t="str">
        <f>'Steel Table'!DG16</f>
        <v>2[]-90x45x20x3.2 mm.</v>
      </c>
      <c r="DO18" s="52"/>
      <c r="DP18" s="40"/>
      <c r="DQ18" s="40"/>
      <c r="DR18" s="40"/>
      <c r="DS18" s="40"/>
      <c r="DT18" s="40"/>
      <c r="DU18" s="40"/>
      <c r="DV18" s="40"/>
      <c r="DW18" s="40"/>
      <c r="DX18" s="40"/>
    </row>
    <row r="19" spans="1:128" s="35" customFormat="1" ht="15.75" customHeight="1">
      <c r="A19" s="52"/>
      <c r="B19" s="31" t="s">
        <v>39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75" t="s">
        <v>0</v>
      </c>
      <c r="N19" s="372">
        <f>LL+N15</f>
        <v>100</v>
      </c>
      <c r="O19" s="396"/>
      <c r="P19" s="396"/>
      <c r="Q19" s="40"/>
      <c r="R19" s="40"/>
      <c r="S19" s="40"/>
      <c r="T19" s="40"/>
      <c r="U19" s="40"/>
      <c r="V19" s="106"/>
      <c r="W19" s="106"/>
      <c r="X19" s="40"/>
      <c r="Y19" s="40"/>
      <c r="Z19" s="40"/>
      <c r="AA19" s="40"/>
      <c r="AB19" s="99"/>
      <c r="AC19" s="153"/>
      <c r="AD19" s="153"/>
      <c r="AE19" s="153"/>
      <c r="AF19" s="153"/>
      <c r="AG19" s="153"/>
      <c r="AH19" s="150"/>
      <c r="AI19" s="153"/>
      <c r="AJ19" s="153"/>
      <c r="AK19" s="153"/>
      <c r="AL19" s="153"/>
      <c r="AM19" s="153"/>
      <c r="AN19" s="40"/>
      <c r="AO19" s="40"/>
      <c r="AP19" s="40"/>
      <c r="AQ19" s="40"/>
      <c r="AR19" s="40"/>
      <c r="BU19" s="35" t="s">
        <v>60</v>
      </c>
      <c r="BY19" s="40"/>
      <c r="BZ19" s="40"/>
      <c r="CA19" s="40"/>
      <c r="CB19" s="40"/>
      <c r="CC19" s="40"/>
      <c r="CD19" s="40">
        <v>7</v>
      </c>
      <c r="CE19" s="40" t="s">
        <v>67</v>
      </c>
      <c r="CF19" s="39">
        <v>6.13</v>
      </c>
      <c r="CG19" s="39">
        <v>7.807</v>
      </c>
      <c r="CH19" s="52"/>
      <c r="CI19" s="39">
        <v>181</v>
      </c>
      <c r="CJ19" s="75">
        <v>26.6</v>
      </c>
      <c r="CK19" s="40"/>
      <c r="CL19" s="40"/>
      <c r="CM19" s="93">
        <v>29</v>
      </c>
      <c r="CN19" s="75">
        <v>8.02</v>
      </c>
      <c r="CO19" s="40"/>
      <c r="CP19" s="40" t="s">
        <v>137</v>
      </c>
      <c r="CQ19" s="39">
        <f>'Steel Table'!EO39</f>
        <v>1.6</v>
      </c>
      <c r="CR19" s="74"/>
      <c r="CS19" s="52"/>
      <c r="CT19" s="52">
        <v>1</v>
      </c>
      <c r="CU19" s="52" t="str">
        <f>VLOOKUP(1,$DE$8:$DN$78,CV$8,TRUE)</f>
        <v>[-60x30x10x1.6 mm.</v>
      </c>
      <c r="CV19" s="103"/>
      <c r="CW19" s="35" t="str">
        <f>VLOOKUP(CU18,CT19:CU90,2,TRUE)</f>
        <v>[-60x30x10x1.6 mm.</v>
      </c>
      <c r="CX19" s="94"/>
      <c r="CY19" s="94"/>
      <c r="CZ19" s="63"/>
      <c r="DA19" s="63"/>
      <c r="DB19" s="74"/>
      <c r="DC19" s="74"/>
      <c r="DD19" s="52"/>
      <c r="DE19" s="40">
        <v>12</v>
      </c>
      <c r="DF19" s="40" t="str">
        <f>'Steel Table'!C17</f>
        <v>WF-200X200x10x16 mm.</v>
      </c>
      <c r="DG19" s="40" t="str">
        <f>'Steel Table'!S17</f>
        <v>I-300x150x11.5x22 mm.</v>
      </c>
      <c r="DH19" s="40" t="str">
        <f>'Steel Table'!AJ17</f>
        <v>[-300x90x9x13 mm.</v>
      </c>
      <c r="DI19" s="40" t="str">
        <f>'Steel Table'!BC17</f>
        <v>Tube-50x50x3.2 mm.</v>
      </c>
      <c r="DJ19" s="40" t="str">
        <f>'Steel Table'!BO17</f>
        <v>Tube-100x50x3.2 mm.</v>
      </c>
      <c r="DK19" s="40" t="str">
        <f>'Steel Table'!CD17</f>
        <v>Pipe-D60.5x3.2 mm.</v>
      </c>
      <c r="DL19" s="40" t="str">
        <f>'Steel Table'!CO17</f>
        <v>[-100x50x20x1.6 mm.</v>
      </c>
      <c r="DM19" s="40" t="str">
        <f>'Steel Table'!AJ38</f>
        <v>2[]-300x90x9x13 mm.</v>
      </c>
      <c r="DN19" s="40" t="str">
        <f>'Steel Table'!DG17</f>
        <v>2[]-100x50x20x1.6 mm.</v>
      </c>
      <c r="DO19" s="52"/>
      <c r="DP19" s="40"/>
      <c r="DQ19" s="40"/>
      <c r="DR19" s="40"/>
      <c r="DS19" s="40"/>
      <c r="DT19" s="40"/>
      <c r="DU19" s="40"/>
      <c r="DV19" s="40"/>
      <c r="DW19" s="40"/>
      <c r="DX19" s="40"/>
    </row>
    <row r="20" spans="1:128" s="35" customFormat="1" ht="15.75" customHeight="1">
      <c r="A20" s="52"/>
      <c r="B20" s="34" t="s">
        <v>40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75" t="s">
        <v>0</v>
      </c>
      <c r="N20" s="351">
        <v>1</v>
      </c>
      <c r="O20" s="351"/>
      <c r="P20" s="351"/>
      <c r="Q20" s="40"/>
      <c r="R20" s="40"/>
      <c r="S20" s="40"/>
      <c r="T20" s="40"/>
      <c r="U20" s="40"/>
      <c r="V20" s="106"/>
      <c r="W20" s="106"/>
      <c r="X20" s="40"/>
      <c r="Y20" s="40"/>
      <c r="Z20" s="40"/>
      <c r="AA20" s="40"/>
      <c r="AB20" s="99"/>
      <c r="AC20" s="153"/>
      <c r="AD20" s="153"/>
      <c r="AE20" s="153"/>
      <c r="AF20" s="153"/>
      <c r="AG20" s="153"/>
      <c r="AH20" s="150"/>
      <c r="AI20" s="153"/>
      <c r="AJ20" s="153"/>
      <c r="AK20" s="153"/>
      <c r="AL20" s="153"/>
      <c r="AM20" s="153"/>
      <c r="AN20" s="40"/>
      <c r="AO20" s="40"/>
      <c r="AP20" s="40"/>
      <c r="AQ20" s="40"/>
      <c r="AR20" s="40"/>
      <c r="BY20" s="40" t="s">
        <v>47</v>
      </c>
      <c r="BZ20" s="40"/>
      <c r="CA20" s="40" t="s">
        <v>0</v>
      </c>
      <c r="CB20" s="101">
        <f>IF(Mx&gt;My,Mx,IF(Mx&lt;My,My))</f>
        <v>257.44595980947577</v>
      </c>
      <c r="CC20" s="40"/>
      <c r="CD20" s="40">
        <v>8</v>
      </c>
      <c r="CE20" s="40" t="s">
        <v>68</v>
      </c>
      <c r="CF20" s="39">
        <v>4.96</v>
      </c>
      <c r="CG20" s="39">
        <v>6.322</v>
      </c>
      <c r="CH20" s="52"/>
      <c r="CI20" s="39">
        <v>210</v>
      </c>
      <c r="CJ20" s="75">
        <v>21.9</v>
      </c>
      <c r="CK20" s="52"/>
      <c r="CL20" s="52"/>
      <c r="CM20" s="93">
        <v>28</v>
      </c>
      <c r="CN20" s="75">
        <v>6.33</v>
      </c>
      <c r="CO20" s="52"/>
      <c r="CP20" s="52" t="s">
        <v>138</v>
      </c>
      <c r="CQ20" s="75">
        <f>'Steel Table'!EP39</f>
        <v>0</v>
      </c>
      <c r="CR20" s="74"/>
      <c r="CS20" s="52"/>
      <c r="CT20" s="52">
        <v>2</v>
      </c>
      <c r="CU20" s="52" t="str">
        <f>VLOOKUP(2,$DE$8:$DN$78,CV$8,TRUE)</f>
        <v>[-60x30x10x2 mm.</v>
      </c>
      <c r="CV20" s="103"/>
      <c r="CW20" s="52"/>
      <c r="CX20" s="94"/>
      <c r="CY20" s="94"/>
      <c r="CZ20" s="63"/>
      <c r="DA20" s="63"/>
      <c r="DB20" s="74"/>
      <c r="DC20" s="74"/>
      <c r="DD20" s="52"/>
      <c r="DE20" s="40">
        <v>13</v>
      </c>
      <c r="DF20" s="40" t="str">
        <f>'Steel Table'!C18</f>
        <v>WF-250x125x5x8 mm.</v>
      </c>
      <c r="DG20" s="40" t="str">
        <f>'Steel Table'!S18</f>
        <v>I-350x150x9x15 mm.</v>
      </c>
      <c r="DH20" s="40" t="str">
        <f>'Steel Table'!AJ18</f>
        <v>[-300x90x10x15.5 mm.</v>
      </c>
      <c r="DI20" s="40" t="str">
        <f>'Steel Table'!BC18</f>
        <v>Tube-50x50x3.6 mm.</v>
      </c>
      <c r="DJ20" s="40" t="str">
        <f>'Steel Table'!BO18</f>
        <v>Tube-100x50x3.6 mm.</v>
      </c>
      <c r="DK20" s="40" t="str">
        <f>'Steel Table'!CD18</f>
        <v>Pipe-D60.5x4 mm.</v>
      </c>
      <c r="DL20" s="40" t="str">
        <f>'Steel Table'!CO18</f>
        <v>[-100x50x20x2 mm.</v>
      </c>
      <c r="DM20" s="40" t="str">
        <f>'Steel Table'!AJ39</f>
        <v>2[]-300x90x10x15.5 mm.</v>
      </c>
      <c r="DN20" s="40" t="str">
        <f>'Steel Table'!DG18</f>
        <v>2[]-100x50x20x2 mm.</v>
      </c>
      <c r="DO20" s="52"/>
      <c r="DP20" s="40"/>
      <c r="DQ20" s="40"/>
      <c r="DR20" s="40"/>
      <c r="DS20" s="40"/>
      <c r="DT20" s="40"/>
      <c r="DU20" s="40"/>
      <c r="DV20" s="40"/>
      <c r="DW20" s="40"/>
      <c r="DX20" s="40"/>
    </row>
    <row r="21" spans="1:128" s="35" customFormat="1" ht="15.75" customHeight="1">
      <c r="A21" s="52"/>
      <c r="B21" s="95" t="s">
        <v>43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75" t="s">
        <v>0</v>
      </c>
      <c r="N21" s="372">
        <f>N19*N20</f>
        <v>100</v>
      </c>
      <c r="O21" s="372"/>
      <c r="P21" s="372"/>
      <c r="Q21" s="40"/>
      <c r="R21" s="40"/>
      <c r="S21" s="40"/>
      <c r="T21" s="40"/>
      <c r="U21" s="40"/>
      <c r="V21" s="106"/>
      <c r="W21" s="106"/>
      <c r="X21" s="40"/>
      <c r="Y21" s="40"/>
      <c r="Z21" s="40"/>
      <c r="AA21" s="40"/>
      <c r="AB21" s="99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40"/>
      <c r="AO21" s="40"/>
      <c r="AP21" s="40"/>
      <c r="AQ21" s="40"/>
      <c r="AR21" s="40"/>
      <c r="BY21" s="40"/>
      <c r="BZ21" s="40"/>
      <c r="CA21" s="40"/>
      <c r="CB21" s="40"/>
      <c r="CC21" s="40"/>
      <c r="CD21" s="40">
        <v>9</v>
      </c>
      <c r="CE21" s="40" t="s">
        <v>69</v>
      </c>
      <c r="CF21" s="39">
        <v>6.76</v>
      </c>
      <c r="CG21" s="39">
        <v>8.607</v>
      </c>
      <c r="CH21" s="52"/>
      <c r="CI21" s="39">
        <v>280</v>
      </c>
      <c r="CJ21" s="75">
        <v>28.3</v>
      </c>
      <c r="CK21" s="52"/>
      <c r="CL21" s="52"/>
      <c r="CM21" s="93">
        <v>37.4</v>
      </c>
      <c r="CN21" s="75">
        <v>8.19</v>
      </c>
      <c r="CO21" s="52"/>
      <c r="CP21" s="52" t="s">
        <v>172</v>
      </c>
      <c r="CQ21" s="39">
        <f>'Steel Table'!EQ39</f>
        <v>0</v>
      </c>
      <c r="CR21" s="40"/>
      <c r="CS21" s="40"/>
      <c r="CT21" s="52">
        <v>3</v>
      </c>
      <c r="CU21" s="52" t="str">
        <f>VLOOKUP(3,$DE$8:$DN$78,CV$8,TRUE)</f>
        <v>[-60x30x10x2.3 mm.</v>
      </c>
      <c r="CV21" s="104"/>
      <c r="CW21" s="40"/>
      <c r="CX21" s="40"/>
      <c r="CY21" s="40"/>
      <c r="CZ21" s="40"/>
      <c r="DA21" s="40"/>
      <c r="DB21" s="40"/>
      <c r="DC21" s="40"/>
      <c r="DD21" s="40"/>
      <c r="DE21" s="40">
        <v>14</v>
      </c>
      <c r="DF21" s="40" t="str">
        <f>'Steel Table'!C19</f>
        <v>WF-250x125x6x9 mm.</v>
      </c>
      <c r="DG21" s="40" t="str">
        <f>'Steel Table'!S19</f>
        <v>I-350x150x12x24 mm.</v>
      </c>
      <c r="DH21" s="40" t="str">
        <f>'Steel Table'!AJ19</f>
        <v>[-300x90x12x16 mm.</v>
      </c>
      <c r="DI21" s="40" t="str">
        <f>'Steel Table'!BC19</f>
        <v>Tube-50x50x4 mm.</v>
      </c>
      <c r="DJ21" s="40" t="str">
        <f>'Steel Table'!BO19</f>
        <v>Tube-100x50x4 mm.</v>
      </c>
      <c r="DK21" s="40" t="str">
        <f>'Steel Table'!CD19</f>
        <v>Pipe-D76.3x2.8 mm.</v>
      </c>
      <c r="DL21" s="40" t="str">
        <f>'Steel Table'!CO19</f>
        <v>[-100x50x20x2.3 mm.</v>
      </c>
      <c r="DM21" s="40" t="str">
        <f>'Steel Table'!AJ40</f>
        <v>2[]-300x90x12x16 mm.</v>
      </c>
      <c r="DN21" s="40" t="str">
        <f>'Steel Table'!DG19</f>
        <v>2[]-100x50x20x2.3 mm.</v>
      </c>
      <c r="DO21" s="52"/>
      <c r="DP21" s="40"/>
      <c r="DQ21" s="40"/>
      <c r="DR21" s="40"/>
      <c r="DS21" s="40"/>
      <c r="DT21" s="40"/>
      <c r="DU21" s="40"/>
      <c r="DV21" s="40"/>
      <c r="DW21" s="40"/>
      <c r="DX21" s="40"/>
    </row>
    <row r="22" spans="1:128" s="35" customFormat="1" ht="15.75" customHeight="1">
      <c r="A22" s="52"/>
      <c r="B22" s="95" t="s">
        <v>92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75" t="s">
        <v>0</v>
      </c>
      <c r="N22" s="396">
        <f>IF(CB10=1,6,IF(CB10&gt;1,CB28))</f>
        <v>2.25</v>
      </c>
      <c r="O22" s="396"/>
      <c r="P22" s="396"/>
      <c r="Q22" s="40"/>
      <c r="R22" s="40"/>
      <c r="S22" s="40"/>
      <c r="T22" s="40"/>
      <c r="U22" s="40"/>
      <c r="V22" s="108"/>
      <c r="W22" s="109"/>
      <c r="X22" s="40"/>
      <c r="Y22" s="40"/>
      <c r="Z22" s="40"/>
      <c r="AA22" s="40"/>
      <c r="AB22" s="99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40"/>
      <c r="AO22" s="40"/>
      <c r="AP22" s="40"/>
      <c r="AQ22" s="40"/>
      <c r="AR22" s="40"/>
      <c r="BY22" s="40"/>
      <c r="BZ22" s="40"/>
      <c r="CA22" s="40"/>
      <c r="CB22" s="40"/>
      <c r="CC22" s="40"/>
      <c r="CD22" s="40">
        <v>10</v>
      </c>
      <c r="CE22" s="40" t="s">
        <v>70</v>
      </c>
      <c r="CF22" s="75">
        <v>5.5</v>
      </c>
      <c r="CG22" s="39">
        <v>7.012</v>
      </c>
      <c r="CH22" s="52"/>
      <c r="CI22" s="39">
        <v>248</v>
      </c>
      <c r="CJ22" s="75">
        <v>41.1</v>
      </c>
      <c r="CK22" s="40"/>
      <c r="CL22" s="40"/>
      <c r="CM22" s="39">
        <v>33</v>
      </c>
      <c r="CN22" s="39">
        <v>9.37</v>
      </c>
      <c r="CO22" s="40"/>
      <c r="CP22" s="40" t="s">
        <v>173</v>
      </c>
      <c r="CQ22" s="39">
        <f>'Steel Table'!ER39</f>
        <v>0</v>
      </c>
      <c r="CR22" s="40"/>
      <c r="CS22" s="40"/>
      <c r="CT22" s="52">
        <v>4</v>
      </c>
      <c r="CU22" s="52" t="str">
        <f>VLOOKUP(4,$DE$8:$DN$78,CV$8,TRUE)</f>
        <v>[-70x40x25x1.6 mm.</v>
      </c>
      <c r="CV22" s="104"/>
      <c r="CW22" s="40"/>
      <c r="CX22" s="40"/>
      <c r="CY22" s="40"/>
      <c r="CZ22" s="40"/>
      <c r="DA22" s="40"/>
      <c r="DB22" s="40"/>
      <c r="DC22" s="40"/>
      <c r="DD22" s="40"/>
      <c r="DE22" s="40">
        <v>15</v>
      </c>
      <c r="DF22" s="40" t="str">
        <f>'Steel Table'!C20</f>
        <v>WF-250X250x11x11 mm.</v>
      </c>
      <c r="DG22" s="40" t="str">
        <f>'Steel Table'!S20</f>
        <v>I-400x150x10x18 mm.</v>
      </c>
      <c r="DH22" s="40" t="str">
        <f>'Steel Table'!AJ20</f>
        <v>[-380x100x10.5x16 mm.</v>
      </c>
      <c r="DI22" s="40" t="str">
        <f>'Steel Table'!BC20</f>
        <v>Tube-50x50x5 mm.</v>
      </c>
      <c r="DJ22" s="40" t="str">
        <f>'Steel Table'!BO20</f>
        <v>Tube-100x50x4.5 mm.</v>
      </c>
      <c r="DK22" s="40" t="str">
        <f>'Steel Table'!CD20</f>
        <v>Pipe-D76.3x3.2 mm.</v>
      </c>
      <c r="DL22" s="40" t="str">
        <f>'Steel Table'!CO20</f>
        <v>[-100x50x20x2.8 mm.</v>
      </c>
      <c r="DM22" s="40" t="str">
        <f>'Steel Table'!AJ41</f>
        <v>2[]-380x100x10.5x16 mm.</v>
      </c>
      <c r="DN22" s="40" t="str">
        <f>'Steel Table'!DG20</f>
        <v>2[]-100x50x20x2.8 mm.</v>
      </c>
      <c r="DO22" s="52"/>
      <c r="DP22" s="40"/>
      <c r="DQ22" s="40"/>
      <c r="DR22" s="40"/>
      <c r="DS22" s="40"/>
      <c r="DT22" s="40"/>
      <c r="DU22" s="40"/>
      <c r="DV22" s="40"/>
      <c r="DW22" s="40"/>
      <c r="DX22" s="40"/>
    </row>
    <row r="23" spans="1:128" s="35" customFormat="1" ht="15.75" customHeight="1">
      <c r="A23" s="40"/>
      <c r="B23" s="34" t="s">
        <v>45</v>
      </c>
      <c r="C23" s="40"/>
      <c r="D23" s="40"/>
      <c r="E23" s="40"/>
      <c r="F23" s="40"/>
      <c r="G23" s="40"/>
      <c r="H23" s="40"/>
      <c r="I23" s="40"/>
      <c r="J23" s="40"/>
      <c r="K23" s="40"/>
      <c r="L23" s="39"/>
      <c r="M23" s="75" t="s">
        <v>0</v>
      </c>
      <c r="N23" s="372">
        <f>N21+N22</f>
        <v>102.25</v>
      </c>
      <c r="O23" s="396"/>
      <c r="P23" s="396"/>
      <c r="Q23" s="40"/>
      <c r="R23" s="40"/>
      <c r="S23" s="40"/>
      <c r="T23" s="40"/>
      <c r="U23" s="40"/>
      <c r="V23" s="103"/>
      <c r="W23" s="103"/>
      <c r="X23" s="40"/>
      <c r="Y23" s="40"/>
      <c r="Z23" s="40"/>
      <c r="AA23" s="40"/>
      <c r="AB23" s="99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40"/>
      <c r="AO23" s="40"/>
      <c r="AP23" s="40"/>
      <c r="AQ23" s="40"/>
      <c r="AR23" s="40"/>
      <c r="BY23" s="40"/>
      <c r="BZ23" s="40" t="s">
        <v>87</v>
      </c>
      <c r="CA23" s="40"/>
      <c r="CB23" s="40">
        <f>VLOOKUP(CB$10,CD$13:CN$27,6,TRUE)</f>
        <v>15.6</v>
      </c>
      <c r="CC23" s="40"/>
      <c r="CD23" s="40">
        <v>11</v>
      </c>
      <c r="CE23" s="40" t="s">
        <v>71</v>
      </c>
      <c r="CF23" s="75">
        <v>7.51</v>
      </c>
      <c r="CG23" s="39">
        <v>9.57</v>
      </c>
      <c r="CH23" s="52"/>
      <c r="CI23" s="39">
        <v>332</v>
      </c>
      <c r="CJ23" s="75">
        <v>53.8</v>
      </c>
      <c r="CK23" s="40"/>
      <c r="CL23" s="40"/>
      <c r="CM23" s="39">
        <v>44.3</v>
      </c>
      <c r="CN23" s="39">
        <v>12.2</v>
      </c>
      <c r="CO23" s="40"/>
      <c r="CP23" s="40"/>
      <c r="CQ23" s="40"/>
      <c r="CR23" s="96"/>
      <c r="CS23" s="40"/>
      <c r="CT23" s="52">
        <v>5</v>
      </c>
      <c r="CU23" s="52" t="str">
        <f>VLOOKUP(5,$DE$8:$DN$78,CV$8,TRUE)</f>
        <v>[-70x40x25x2.3 mm.</v>
      </c>
      <c r="CV23" s="108"/>
      <c r="CW23" s="40"/>
      <c r="CX23" s="88"/>
      <c r="CY23" s="88"/>
      <c r="CZ23" s="136"/>
      <c r="DA23" s="63"/>
      <c r="DB23" s="101"/>
      <c r="DC23" s="101"/>
      <c r="DD23" s="40"/>
      <c r="DE23" s="40">
        <v>16</v>
      </c>
      <c r="DF23" s="40" t="str">
        <f>'Steel Table'!C21</f>
        <v>WF-250X250x8x13 mm.</v>
      </c>
      <c r="DG23" s="40" t="str">
        <f>'Steel Table'!S21</f>
        <v>I-400x150x12.5x25 mm.</v>
      </c>
      <c r="DH23" s="40" t="str">
        <f>'Steel Table'!AJ21</f>
        <v>[-380x100x13x16.5 mm.</v>
      </c>
      <c r="DI23" s="40" t="str">
        <f>'Steel Table'!BC21</f>
        <v>Tube-75x75x2.3 mm.</v>
      </c>
      <c r="DJ23" s="40" t="str">
        <f>'Steel Table'!BO21</f>
        <v>Tube-125x75x2.3 mm.</v>
      </c>
      <c r="DK23" s="40" t="str">
        <f>'Steel Table'!CD21</f>
        <v>Pipe-D76.3x4 mm.</v>
      </c>
      <c r="DL23" s="40" t="str">
        <f>'Steel Table'!CO21</f>
        <v>[-100x50x20x3.2 mm.</v>
      </c>
      <c r="DM23" s="40" t="str">
        <f>'Steel Table'!AJ42</f>
        <v>2[]-380x100x13x16.5 mm.</v>
      </c>
      <c r="DN23" s="40" t="str">
        <f>'Steel Table'!DG21</f>
        <v>2[]-100x50x20x3.2 mm.</v>
      </c>
      <c r="DO23" s="52"/>
      <c r="DP23" s="40"/>
      <c r="DQ23" s="40"/>
      <c r="DR23" s="40"/>
      <c r="DS23" s="40"/>
      <c r="DT23" s="40"/>
      <c r="DU23" s="40"/>
      <c r="DV23" s="40"/>
      <c r="DW23" s="40"/>
      <c r="DX23" s="40"/>
    </row>
    <row r="24" spans="1:128" s="35" customFormat="1" ht="15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39"/>
      <c r="M24" s="75"/>
      <c r="N24" s="403"/>
      <c r="O24" s="403"/>
      <c r="P24" s="403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99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40"/>
      <c r="AO24" s="40"/>
      <c r="AP24" s="40"/>
      <c r="AQ24" s="40"/>
      <c r="AR24" s="40"/>
      <c r="BY24" s="40"/>
      <c r="BZ24" s="40" t="s">
        <v>88</v>
      </c>
      <c r="CA24" s="40"/>
      <c r="CB24" s="40">
        <f>VLOOKUP(CB$10,CD$13:CN$27,7,TRUE)</f>
        <v>3.32</v>
      </c>
      <c r="CC24" s="40"/>
      <c r="CD24" s="40">
        <v>12</v>
      </c>
      <c r="CE24" s="40" t="s">
        <v>116</v>
      </c>
      <c r="CF24" s="39">
        <v>9.85</v>
      </c>
      <c r="CG24" s="39">
        <v>12.55</v>
      </c>
      <c r="CH24" s="52"/>
      <c r="CI24" s="39">
        <v>445</v>
      </c>
      <c r="CJ24" s="75">
        <v>91</v>
      </c>
      <c r="CK24" s="40"/>
      <c r="CL24" s="40"/>
      <c r="CM24" s="93">
        <v>59.3</v>
      </c>
      <c r="CN24" s="93">
        <v>18.2</v>
      </c>
      <c r="CO24" s="40"/>
      <c r="CP24" s="40"/>
      <c r="CQ24" s="40"/>
      <c r="CR24" s="96"/>
      <c r="CS24" s="40"/>
      <c r="CT24" s="52">
        <v>6</v>
      </c>
      <c r="CU24" s="52" t="str">
        <f>VLOOKUP(6,$DE$8:$DN$78,CV$8,TRUE)</f>
        <v>[-75x45x15x1.6 mm.</v>
      </c>
      <c r="CV24" s="108"/>
      <c r="CW24" s="40"/>
      <c r="CX24" s="88"/>
      <c r="CY24" s="88"/>
      <c r="CZ24" s="63"/>
      <c r="DA24" s="63"/>
      <c r="DB24" s="101"/>
      <c r="DC24" s="101"/>
      <c r="DD24" s="101"/>
      <c r="DE24" s="40">
        <v>17</v>
      </c>
      <c r="DF24" s="40" t="str">
        <f>'Steel Table'!C22</f>
        <v>WF-250X250x9x14 mm.</v>
      </c>
      <c r="DG24" s="40" t="str">
        <f>'Steel Table'!S22</f>
        <v>I-450x175x11x20 mm.</v>
      </c>
      <c r="DH24" s="40" t="str">
        <f>'Steel Table'!AJ22</f>
        <v>[-380x100x13x20 mm.</v>
      </c>
      <c r="DI24" s="40" t="str">
        <f>'Steel Table'!BC22</f>
        <v>Tube-75x75x3.2 mm.</v>
      </c>
      <c r="DJ24" s="40" t="str">
        <f>'Steel Table'!BO22</f>
        <v>Tube-125x75x3.2 mm.</v>
      </c>
      <c r="DK24" s="40" t="str">
        <f>'Steel Table'!CD22</f>
        <v>Pipe-D89.1x2.8 mm.</v>
      </c>
      <c r="DL24" s="40" t="str">
        <f>'Steel Table'!CO22</f>
        <v>[-100x50x20x4 mm.</v>
      </c>
      <c r="DM24" s="40" t="str">
        <f>'Steel Table'!AJ43</f>
        <v>2[]-380x100x13x20 mm.</v>
      </c>
      <c r="DN24" s="40" t="str">
        <f>'Steel Table'!DG22</f>
        <v>2[]-100x50x20x4 mm.</v>
      </c>
      <c r="DO24" s="52"/>
      <c r="DP24" s="40"/>
      <c r="DQ24" s="40"/>
      <c r="DR24" s="40"/>
      <c r="DS24" s="40"/>
      <c r="DT24" s="40"/>
      <c r="DU24" s="40"/>
      <c r="DV24" s="40"/>
      <c r="DW24" s="40"/>
      <c r="DX24" s="40"/>
    </row>
    <row r="25" spans="1:128" s="35" customFormat="1" ht="15.75" customHeight="1">
      <c r="A25" s="40"/>
      <c r="B25" s="58" t="s">
        <v>44</v>
      </c>
      <c r="C25" s="40"/>
      <c r="D25" s="40"/>
      <c r="E25" s="40"/>
      <c r="F25" s="40"/>
      <c r="G25" s="40"/>
      <c r="H25" s="40"/>
      <c r="I25" s="40"/>
      <c r="J25" s="40"/>
      <c r="K25" s="40"/>
      <c r="L25" s="39"/>
      <c r="M25" s="75"/>
      <c r="N25" s="403"/>
      <c r="O25" s="403"/>
      <c r="P25" s="403"/>
      <c r="Q25" s="40"/>
      <c r="R25" s="40"/>
      <c r="S25" s="40"/>
      <c r="T25" s="40"/>
      <c r="U25" s="40"/>
      <c r="V25" s="52"/>
      <c r="W25" s="52"/>
      <c r="X25" s="40"/>
      <c r="Y25" s="40"/>
      <c r="Z25" s="40"/>
      <c r="AA25" s="40"/>
      <c r="AB25" s="99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40"/>
      <c r="AO25" s="40"/>
      <c r="AP25" s="40"/>
      <c r="AQ25" s="40"/>
      <c r="AR25" s="40"/>
      <c r="BY25" s="40"/>
      <c r="BZ25" s="40" t="s">
        <v>89</v>
      </c>
      <c r="CA25" s="40"/>
      <c r="CB25" s="40">
        <f>VLOOKUP(CB$10,CD$13:CN$27,10,TRUE)</f>
        <v>5.2</v>
      </c>
      <c r="CC25" s="40"/>
      <c r="CD25" s="40">
        <v>13</v>
      </c>
      <c r="CE25" s="40" t="s">
        <v>117</v>
      </c>
      <c r="CF25" s="39">
        <v>9.52</v>
      </c>
      <c r="CG25" s="39">
        <v>12.13</v>
      </c>
      <c r="CH25" s="52"/>
      <c r="CI25" s="39">
        <v>716</v>
      </c>
      <c r="CJ25" s="75">
        <v>84.1</v>
      </c>
      <c r="CK25" s="40"/>
      <c r="CL25" s="40"/>
      <c r="CM25" s="93">
        <v>71.6</v>
      </c>
      <c r="CN25" s="75">
        <v>15.8</v>
      </c>
      <c r="CO25" s="40"/>
      <c r="CP25" s="40"/>
      <c r="CQ25" s="40"/>
      <c r="CR25" s="96"/>
      <c r="CS25" s="40"/>
      <c r="CT25" s="52">
        <v>7</v>
      </c>
      <c r="CU25" s="52" t="str">
        <f>VLOOKUP(7,$DE$8:$DN$78,CV$8,TRUE)</f>
        <v>[-75x45x15x2 mm.</v>
      </c>
      <c r="CV25" s="108"/>
      <c r="CW25" s="40"/>
      <c r="CX25" s="88"/>
      <c r="CY25" s="88"/>
      <c r="CZ25" s="63"/>
      <c r="DA25" s="63"/>
      <c r="DB25" s="101"/>
      <c r="DC25" s="101"/>
      <c r="DD25" s="101"/>
      <c r="DE25" s="40">
        <v>18</v>
      </c>
      <c r="DF25" s="40" t="str">
        <f>'Steel Table'!C23</f>
        <v>WF-250X250x14x14 mm.</v>
      </c>
      <c r="DG25" s="40" t="str">
        <f>'Steel Table'!S23</f>
        <v>I-450x175x13x26 mm.</v>
      </c>
      <c r="DH25" s="40"/>
      <c r="DI25" s="40" t="str">
        <f>'Steel Table'!BC23</f>
        <v>Tube-75x75x4 mm.</v>
      </c>
      <c r="DJ25" s="40" t="str">
        <f>'Steel Table'!BO23</f>
        <v>Tube-125x75x4 mm.</v>
      </c>
      <c r="DK25" s="40" t="str">
        <f>'Steel Table'!CD23</f>
        <v>Pipe-D89.1x3.2 mm.</v>
      </c>
      <c r="DL25" s="40" t="str">
        <f>'Steel Table'!CO23</f>
        <v>[-100x50x20x4.5 mm.</v>
      </c>
      <c r="DM25" s="40"/>
      <c r="DN25" s="40" t="str">
        <f>'Steel Table'!DG23</f>
        <v>2[]-100x50x20x4.5 mm.</v>
      </c>
      <c r="DO25" s="52"/>
      <c r="DP25" s="40"/>
      <c r="DQ25" s="40"/>
      <c r="DR25" s="40"/>
      <c r="DS25" s="40"/>
      <c r="DT25" s="40"/>
      <c r="DU25" s="40"/>
      <c r="DV25" s="40"/>
      <c r="DW25" s="40"/>
      <c r="DX25" s="40"/>
    </row>
    <row r="26" spans="1:128" s="35" customFormat="1" ht="15.75" customHeight="1">
      <c r="A26" s="52"/>
      <c r="B26" s="9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75" t="s">
        <v>0</v>
      </c>
      <c r="N26" s="351">
        <v>4</v>
      </c>
      <c r="O26" s="351"/>
      <c r="P26" s="351"/>
      <c r="Q26" s="40"/>
      <c r="R26" s="40"/>
      <c r="S26" s="40"/>
      <c r="T26" s="40"/>
      <c r="U26" s="40"/>
      <c r="V26" s="39"/>
      <c r="W26" s="39"/>
      <c r="X26" s="40"/>
      <c r="Y26" s="40"/>
      <c r="Z26" s="40"/>
      <c r="AA26" s="40"/>
      <c r="AB26" s="99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40"/>
      <c r="AO26" s="40"/>
      <c r="AP26" s="40"/>
      <c r="AQ26" s="40"/>
      <c r="AR26" s="40"/>
      <c r="BY26" s="40"/>
      <c r="BZ26" s="40" t="s">
        <v>90</v>
      </c>
      <c r="CA26" s="40"/>
      <c r="CB26" s="40">
        <f>VLOOKUP(CB$10,CD$13:CN$27,11,TRUE)</f>
        <v>1.71</v>
      </c>
      <c r="CC26" s="40"/>
      <c r="CD26" s="40">
        <v>14</v>
      </c>
      <c r="CE26" s="40" t="s">
        <v>118</v>
      </c>
      <c r="CF26" s="39">
        <v>11.7</v>
      </c>
      <c r="CG26" s="39">
        <v>14.95</v>
      </c>
      <c r="CH26" s="52"/>
      <c r="CI26" s="39">
        <v>871</v>
      </c>
      <c r="CJ26" s="39">
        <v>100</v>
      </c>
      <c r="CK26" s="40"/>
      <c r="CL26" s="40"/>
      <c r="CM26" s="39">
        <v>87.1</v>
      </c>
      <c r="CN26" s="39">
        <v>18.9</v>
      </c>
      <c r="CO26" s="40"/>
      <c r="CP26" s="40"/>
      <c r="CQ26" s="40"/>
      <c r="CR26" s="40"/>
      <c r="CS26" s="40"/>
      <c r="CT26" s="52">
        <v>8</v>
      </c>
      <c r="CU26" s="52" t="str">
        <f>VLOOKUP(8,$DE$8:$DN$78,CV$8,TRUE)</f>
        <v>[-75x45x15x2.3 mm.</v>
      </c>
      <c r="CV26" s="104"/>
      <c r="CW26" s="40"/>
      <c r="CX26" s="40"/>
      <c r="CY26" s="40"/>
      <c r="CZ26" s="40"/>
      <c r="DA26" s="40"/>
      <c r="DB26" s="40"/>
      <c r="DC26" s="40"/>
      <c r="DD26" s="40"/>
      <c r="DE26" s="40">
        <v>19</v>
      </c>
      <c r="DF26" s="40" t="str">
        <f>'Steel Table'!C24</f>
        <v>WF-300X150x5.5x8 mm.</v>
      </c>
      <c r="DG26" s="40" t="str">
        <f>'Steel Table'!S24</f>
        <v>I-600x190x13x25 mm.</v>
      </c>
      <c r="DH26" s="40"/>
      <c r="DI26" s="40" t="str">
        <f>'Steel Table'!BC24</f>
        <v>Tube-75x75x4.5 mm.</v>
      </c>
      <c r="DJ26" s="40" t="str">
        <f>'Steel Table'!BO24</f>
        <v>Tube-125x75x4.5 mm.</v>
      </c>
      <c r="DK26" s="40" t="str">
        <f>'Steel Table'!CD24</f>
        <v>Pipe-D101.6x3.2 mm.</v>
      </c>
      <c r="DL26" s="40" t="str">
        <f>'Steel Table'!CO24</f>
        <v>[-120x40x20x3.2 mm.</v>
      </c>
      <c r="DM26" s="40"/>
      <c r="DN26" s="40" t="str">
        <f>'Steel Table'!DG24</f>
        <v>2[]-120x40x20x3.2 mm.</v>
      </c>
      <c r="DO26" s="40"/>
      <c r="DP26" s="40"/>
      <c r="DQ26" s="40"/>
      <c r="DR26" s="40"/>
      <c r="DS26" s="40"/>
      <c r="DT26" s="40"/>
      <c r="DU26" s="40"/>
      <c r="DV26" s="40"/>
      <c r="DW26" s="40"/>
      <c r="DX26" s="40"/>
    </row>
    <row r="27" spans="1:128" s="35" customFormat="1" ht="15.75" customHeight="1">
      <c r="A27" s="52"/>
      <c r="B27" s="9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75" t="s">
        <v>0</v>
      </c>
      <c r="N27" s="372">
        <f>W*Sinθ</f>
        <v>45.7275901398707</v>
      </c>
      <c r="O27" s="372"/>
      <c r="P27" s="372"/>
      <c r="Q27" s="40"/>
      <c r="R27" s="40"/>
      <c r="S27" s="40"/>
      <c r="T27" s="40"/>
      <c r="U27" s="40"/>
      <c r="V27" s="106"/>
      <c r="W27" s="106"/>
      <c r="X27" s="40"/>
      <c r="Y27" s="40"/>
      <c r="Z27" s="40"/>
      <c r="AA27" s="40"/>
      <c r="AB27" s="99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40"/>
      <c r="AO27" s="40"/>
      <c r="AP27" s="40"/>
      <c r="AQ27" s="40"/>
      <c r="AR27" s="40"/>
      <c r="BW27" s="373" t="str">
        <f>VLOOKUP(CB$10,CD13:CN27,2,TRUE)</f>
        <v>[-60x30x10x2.3 mm.</v>
      </c>
      <c r="BX27" s="373"/>
      <c r="BY27" s="373"/>
      <c r="BZ27" s="373"/>
      <c r="CA27" s="373"/>
      <c r="CB27" s="373"/>
      <c r="CC27" s="40"/>
      <c r="CD27" s="40">
        <v>15</v>
      </c>
      <c r="CE27" s="40" t="s">
        <v>119</v>
      </c>
      <c r="CF27" s="39">
        <v>14.9</v>
      </c>
      <c r="CG27" s="39">
        <v>18.92</v>
      </c>
      <c r="CH27" s="40"/>
      <c r="CI27" s="39">
        <v>1690</v>
      </c>
      <c r="CJ27" s="39">
        <v>129</v>
      </c>
      <c r="CK27" s="40"/>
      <c r="CL27" s="40"/>
      <c r="CM27" s="39">
        <v>135</v>
      </c>
      <c r="CN27" s="39">
        <v>23.8</v>
      </c>
      <c r="CO27" s="40"/>
      <c r="CP27" s="40"/>
      <c r="CQ27" s="40"/>
      <c r="CR27" s="40"/>
      <c r="CS27" s="40"/>
      <c r="CT27" s="52">
        <v>9</v>
      </c>
      <c r="CU27" s="52" t="str">
        <f>VLOOKUP(9,$DE$8:$DN$78,CV$8,TRUE)</f>
        <v>[-90x45x20x1.6 mm.</v>
      </c>
      <c r="CV27" s="40"/>
      <c r="CW27" s="40"/>
      <c r="CX27" s="40"/>
      <c r="CY27" s="40"/>
      <c r="CZ27" s="40"/>
      <c r="DA27" s="40"/>
      <c r="DB27" s="40"/>
      <c r="DC27" s="40"/>
      <c r="DD27" s="40"/>
      <c r="DE27" s="40">
        <v>20</v>
      </c>
      <c r="DF27" s="40" t="str">
        <f>'Steel Table'!C25</f>
        <v>WF-300X150x6.5x9 mm.</v>
      </c>
      <c r="DG27" s="40" t="str">
        <f>'Steel Table'!S25</f>
        <v>I-600x190x16x35 mm.</v>
      </c>
      <c r="DH27" s="40"/>
      <c r="DI27" s="40" t="str">
        <f>'Steel Table'!BC25</f>
        <v>Tube-100x100x2.3 mm.</v>
      </c>
      <c r="DJ27" s="40" t="str">
        <f>'Steel Table'!BO25</f>
        <v>Tube-125x75x6 mm.</v>
      </c>
      <c r="DK27" s="40" t="str">
        <f>'Steel Table'!CD25</f>
        <v>Pipe-D101.6x4 mm.</v>
      </c>
      <c r="DL27" s="40" t="str">
        <f>'Steel Table'!CO25</f>
        <v>[-120x60x25x2.3 mm.</v>
      </c>
      <c r="DM27" s="40"/>
      <c r="DN27" s="40" t="str">
        <f>'Steel Table'!DG25</f>
        <v>2[]-120x60x25x2.3 mm.</v>
      </c>
      <c r="DO27" s="40"/>
      <c r="DP27" s="40"/>
      <c r="DQ27" s="40"/>
      <c r="DR27" s="40"/>
      <c r="DS27" s="40"/>
      <c r="DT27" s="40"/>
      <c r="DU27" s="40"/>
      <c r="DV27" s="40"/>
      <c r="DW27" s="40"/>
      <c r="DX27" s="40"/>
    </row>
    <row r="28" spans="1:128" s="35" customFormat="1" ht="15.75" customHeight="1">
      <c r="A28" s="52"/>
      <c r="B28" s="9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75" t="s">
        <v>0</v>
      </c>
      <c r="N28" s="372">
        <f>W*Cosθ</f>
        <v>91.4551802797414</v>
      </c>
      <c r="O28" s="372"/>
      <c r="P28" s="372"/>
      <c r="Q28" s="40"/>
      <c r="R28" s="40"/>
      <c r="S28" s="40"/>
      <c r="T28" s="40"/>
      <c r="U28" s="40"/>
      <c r="V28" s="106"/>
      <c r="W28" s="106"/>
      <c r="X28" s="40"/>
      <c r="Y28" s="40"/>
      <c r="Z28" s="40"/>
      <c r="AA28" s="40"/>
      <c r="AB28" s="99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40"/>
      <c r="AO28" s="40"/>
      <c r="AP28" s="40"/>
      <c r="AQ28" s="40"/>
      <c r="AR28" s="40"/>
      <c r="BY28" s="40"/>
      <c r="BZ28" s="40" t="s">
        <v>91</v>
      </c>
      <c r="CA28" s="40"/>
      <c r="CB28" s="40">
        <f>VLOOKUP(CB$10,CD$13:CN$27,3,TRUE)</f>
        <v>2.25</v>
      </c>
      <c r="CC28" s="40"/>
      <c r="CD28" s="40"/>
      <c r="CE28" s="40"/>
      <c r="CF28" s="39"/>
      <c r="CG28" s="39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52">
        <v>10</v>
      </c>
      <c r="CU28" s="52" t="str">
        <f>VLOOKUP(10,$DE$8:$DN$78,CV$8,TRUE)</f>
        <v>[-90x45x20x2.3 mm.</v>
      </c>
      <c r="CV28" s="40"/>
      <c r="CW28" s="40"/>
      <c r="CX28" s="40"/>
      <c r="CY28" s="40"/>
      <c r="CZ28" s="40"/>
      <c r="DA28" s="40"/>
      <c r="DB28" s="40"/>
      <c r="DC28" s="40"/>
      <c r="DD28" s="40"/>
      <c r="DE28" s="40">
        <v>21</v>
      </c>
      <c r="DF28" s="40" t="str">
        <f>'Steel Table'!C26</f>
        <v>WF-300x200x8x12 mm.</v>
      </c>
      <c r="DG28" s="40"/>
      <c r="DH28" s="40"/>
      <c r="DI28" s="40" t="str">
        <f>'Steel Table'!BC26</f>
        <v>Tube-100x100x3.2 mm.</v>
      </c>
      <c r="DJ28" s="40" t="str">
        <f>'Steel Table'!BO26</f>
        <v>Tube-150x50x3.2 mm.</v>
      </c>
      <c r="DK28" s="40" t="str">
        <f>'Steel Table'!CD26</f>
        <v>Pipe-D114.3x3.2 mm.</v>
      </c>
      <c r="DL28" s="40" t="str">
        <f>'Steel Table'!CO26</f>
        <v>[-120x60x25x3.2 mm.</v>
      </c>
      <c r="DM28" s="40"/>
      <c r="DN28" s="40" t="str">
        <f>'Steel Table'!DG26</f>
        <v>2[]-120x60x25x3.2 mm.</v>
      </c>
      <c r="DO28" s="40"/>
      <c r="DP28" s="40"/>
      <c r="DQ28" s="40"/>
      <c r="DR28" s="40"/>
      <c r="DS28" s="40"/>
      <c r="DT28" s="40"/>
      <c r="DU28" s="40"/>
      <c r="DV28" s="40"/>
      <c r="DW28" s="40"/>
      <c r="DX28" s="40"/>
    </row>
    <row r="29" spans="1:128" s="35" customFormat="1" ht="15.75" customHeight="1">
      <c r="A29" s="52"/>
      <c r="B29" s="95" t="s">
        <v>57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75" t="s">
        <v>0</v>
      </c>
      <c r="N29" s="372">
        <f>IF(θ&gt;=18,((Wy+Wo)*L^2)/8,IF(θ&lt;18,(Wy*L^2)/8))</f>
        <v>257.44595980947577</v>
      </c>
      <c r="O29" s="372"/>
      <c r="P29" s="372"/>
      <c r="Q29" s="40"/>
      <c r="R29" s="40"/>
      <c r="S29" s="40"/>
      <c r="T29" s="40"/>
      <c r="U29" s="40"/>
      <c r="V29" s="106"/>
      <c r="W29" s="106"/>
      <c r="X29" s="40"/>
      <c r="Y29" s="40"/>
      <c r="Z29" s="40"/>
      <c r="AA29" s="40"/>
      <c r="AB29" s="99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40"/>
      <c r="AO29" s="40"/>
      <c r="AP29" s="40"/>
      <c r="AQ29" s="40"/>
      <c r="AR29" s="40"/>
      <c r="BY29" s="40"/>
      <c r="BZ29" s="40"/>
      <c r="CA29" s="40"/>
      <c r="CB29" s="40"/>
      <c r="CC29" s="40"/>
      <c r="CD29" s="40"/>
      <c r="CE29" s="40"/>
      <c r="CF29" s="39"/>
      <c r="CG29" s="39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52">
        <v>11</v>
      </c>
      <c r="CU29" s="52" t="str">
        <f>VLOOKUP(11,$DE$8:$DN$78,CV$8,TRUE)</f>
        <v>[-90x45x20x3.2 mm.</v>
      </c>
      <c r="CV29" s="40"/>
      <c r="CW29" s="40"/>
      <c r="CX29" s="40"/>
      <c r="CY29" s="40"/>
      <c r="CZ29" s="40"/>
      <c r="DA29" s="40"/>
      <c r="DB29" s="40"/>
      <c r="DC29" s="40"/>
      <c r="DD29" s="40"/>
      <c r="DE29" s="40">
        <v>22</v>
      </c>
      <c r="DF29" s="40" t="str">
        <f>'Steel Table'!C27</f>
        <v>WF-300x200x9x14 mm.</v>
      </c>
      <c r="DG29" s="40"/>
      <c r="DH29" s="40"/>
      <c r="DI29" s="40" t="str">
        <f>'Steel Table'!BC27</f>
        <v>Tube-100x100x4 mm.</v>
      </c>
      <c r="DJ29" s="40" t="str">
        <f>'Steel Table'!BO27</f>
        <v>Tube-150x50x4.5 mm.</v>
      </c>
      <c r="DK29" s="40" t="str">
        <f>'Steel Table'!CD27</f>
        <v>Pipe-D114.3x3.5 mm.</v>
      </c>
      <c r="DL29" s="40" t="str">
        <f>'Steel Table'!CO27</f>
        <v>[-120x60x25x4.5 mm.</v>
      </c>
      <c r="DM29" s="40"/>
      <c r="DN29" s="40" t="str">
        <f>'Steel Table'!DG27</f>
        <v>2[]-120x60x25x4.5 mm.</v>
      </c>
      <c r="DO29" s="40"/>
      <c r="DP29" s="40"/>
      <c r="DQ29" s="40"/>
      <c r="DR29" s="40"/>
      <c r="DS29" s="40"/>
      <c r="DT29" s="40"/>
      <c r="DU29" s="40"/>
      <c r="DV29" s="40"/>
      <c r="DW29" s="40"/>
      <c r="DX29" s="40"/>
    </row>
    <row r="30" spans="1:128" s="35" customFormat="1" ht="15.75" customHeight="1">
      <c r="A30" s="40"/>
      <c r="B30" s="95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39"/>
      <c r="M30" s="75" t="s">
        <v>0</v>
      </c>
      <c r="N30" s="372">
        <f>(Wx*L^2)/8</f>
        <v>91.4551802797414</v>
      </c>
      <c r="O30" s="372"/>
      <c r="P30" s="372"/>
      <c r="Q30" s="98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99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40"/>
      <c r="AO30" s="40"/>
      <c r="AP30" s="40"/>
      <c r="AQ30" s="40"/>
      <c r="AR30" s="40"/>
      <c r="BY30" s="117">
        <f>((Mx*100)/CR12)+((My*100)/CR13)</f>
        <v>13563.627898194014</v>
      </c>
      <c r="BZ30" s="40"/>
      <c r="CA30" s="40"/>
      <c r="CB30" s="40"/>
      <c r="CC30" s="40"/>
      <c r="CD30" s="40"/>
      <c r="CE30" s="40"/>
      <c r="CF30" s="39"/>
      <c r="CG30" s="39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52">
        <v>12</v>
      </c>
      <c r="CU30" s="52" t="str">
        <f>VLOOKUP(12,$DE$8:$DN$78,CV$8,TRUE)</f>
        <v>[-100x50x20x1.6 mm.</v>
      </c>
      <c r="CV30" s="52"/>
      <c r="CW30" s="52"/>
      <c r="CX30" s="52"/>
      <c r="CY30" s="52"/>
      <c r="CZ30" s="40"/>
      <c r="DA30" s="40"/>
      <c r="DB30" s="40"/>
      <c r="DC30" s="40"/>
      <c r="DD30" s="40"/>
      <c r="DE30" s="40">
        <v>23</v>
      </c>
      <c r="DF30" s="40" t="str">
        <f>'Steel Table'!C28</f>
        <v>WF-300X300x12x12 mm.</v>
      </c>
      <c r="DG30" s="40"/>
      <c r="DH30" s="40"/>
      <c r="DI30" s="40" t="str">
        <f>'Steel Table'!BC28</f>
        <v>Tube-100x100x4.5 mm.</v>
      </c>
      <c r="DJ30" s="40" t="str">
        <f>'Steel Table'!BO28</f>
        <v>Tube-150x50x6.3 mm.</v>
      </c>
      <c r="DK30" s="40" t="str">
        <f>'Steel Table'!CD28</f>
        <v>Pipe-D114.3x4.5 mm.</v>
      </c>
      <c r="DL30" s="40" t="str">
        <f>'Steel Table'!CO28</f>
        <v>[-125x50x20x2.3 mm.</v>
      </c>
      <c r="DM30" s="40"/>
      <c r="DN30" s="40" t="str">
        <f>'Steel Table'!DG28</f>
        <v>2[]-125x50x20x2.3 mm.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0"/>
    </row>
    <row r="31" spans="1:128" s="35" customFormat="1" ht="15.75" customHeight="1">
      <c r="A31" s="40"/>
      <c r="B31" s="34" t="str">
        <f>IF(Mx&gt;My,BU18,IF(Mx&lt;My,BU19))</f>
        <v>ค่าโมดูลัสหน้าตัดที่ต้องการได้ Sx=Mx/Fb , cm.^3</v>
      </c>
      <c r="C31" s="40"/>
      <c r="D31" s="40"/>
      <c r="E31" s="40"/>
      <c r="F31" s="40"/>
      <c r="G31" s="40"/>
      <c r="H31" s="40"/>
      <c r="I31" s="40"/>
      <c r="J31" s="40"/>
      <c r="K31" s="40"/>
      <c r="L31" s="39"/>
      <c r="M31" s="75" t="s">
        <v>0</v>
      </c>
      <c r="N31" s="403">
        <f>(Mmax*100)/Fb</f>
        <v>17.878191653435817</v>
      </c>
      <c r="O31" s="403"/>
      <c r="P31" s="403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99"/>
      <c r="AC31" s="405" t="s">
        <v>113</v>
      </c>
      <c r="AD31" s="406"/>
      <c r="AE31" s="406"/>
      <c r="AF31" s="406"/>
      <c r="AG31" s="406"/>
      <c r="AH31" s="407"/>
      <c r="AI31" s="153"/>
      <c r="AJ31" s="153"/>
      <c r="AK31" s="153"/>
      <c r="AL31" s="153"/>
      <c r="AM31" s="153"/>
      <c r="AN31" s="40"/>
      <c r="AO31" s="40"/>
      <c r="AP31" s="40"/>
      <c r="AQ31" s="40"/>
      <c r="AR31" s="40"/>
      <c r="BY31" s="40"/>
      <c r="BZ31" s="40"/>
      <c r="CA31" s="40"/>
      <c r="CB31" s="40"/>
      <c r="CC31" s="40"/>
      <c r="CD31" s="40"/>
      <c r="CE31" s="40"/>
      <c r="CF31" s="39"/>
      <c r="CG31" s="39"/>
      <c r="CH31" s="63"/>
      <c r="CI31" s="63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52">
        <v>13</v>
      </c>
      <c r="CU31" s="52" t="str">
        <f>VLOOKUP(13,$DE$8:$DN$78,CV$8,TRUE)</f>
        <v>[-100x50x20x2 mm.</v>
      </c>
      <c r="CV31" s="52"/>
      <c r="CW31" s="40"/>
      <c r="CX31" s="40"/>
      <c r="CY31" s="40"/>
      <c r="CZ31" s="40"/>
      <c r="DA31" s="40"/>
      <c r="DB31" s="40"/>
      <c r="DC31" s="40"/>
      <c r="DD31" s="40"/>
      <c r="DE31" s="40">
        <v>24</v>
      </c>
      <c r="DF31" s="40" t="str">
        <f>'Steel Table'!C29</f>
        <v>WF-300X300x9x14 mm.</v>
      </c>
      <c r="DG31" s="40"/>
      <c r="DH31" s="40"/>
      <c r="DI31" s="40" t="str">
        <f>'Steel Table'!BC29</f>
        <v>Tube-100x100x6 mm.</v>
      </c>
      <c r="DJ31" s="40" t="str">
        <f>'Steel Table'!BO29</f>
        <v>Tube-200x100x4.5 mm.</v>
      </c>
      <c r="DK31" s="40" t="str">
        <f>'Steel Table'!CD29</f>
        <v>Pipe-D139.8x3.6 mm.</v>
      </c>
      <c r="DL31" s="40" t="str">
        <f>'Steel Table'!CO29</f>
        <v>[-125x50x20x3.2 mm.</v>
      </c>
      <c r="DM31" s="40"/>
      <c r="DN31" s="40" t="str">
        <f>'Steel Table'!DG29</f>
        <v>2[]-125x50x20x3.2 mm.</v>
      </c>
      <c r="DO31" s="40"/>
      <c r="DP31" s="40"/>
      <c r="DQ31" s="40"/>
      <c r="DR31" s="40"/>
      <c r="DS31" s="40"/>
      <c r="DT31" s="40"/>
      <c r="DU31" s="40"/>
      <c r="DV31" s="40"/>
      <c r="DW31" s="40"/>
      <c r="DX31" s="40"/>
    </row>
    <row r="32" spans="1:128" s="35" customFormat="1" ht="15.75" customHeight="1">
      <c r="A32" s="40"/>
      <c r="B32" s="34"/>
      <c r="C32" s="40"/>
      <c r="D32" s="40"/>
      <c r="E32" s="40"/>
      <c r="F32" s="40"/>
      <c r="G32" s="40"/>
      <c r="H32" s="40"/>
      <c r="I32" s="40"/>
      <c r="J32" s="40"/>
      <c r="K32" s="40"/>
      <c r="L32" s="39"/>
      <c r="M32" s="75"/>
      <c r="N32" s="94"/>
      <c r="O32" s="94"/>
      <c r="P32" s="94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99"/>
      <c r="AC32" s="397" t="s">
        <v>310</v>
      </c>
      <c r="AD32" s="398"/>
      <c r="AE32" s="398"/>
      <c r="AF32" s="398"/>
      <c r="AG32" s="399"/>
      <c r="AH32" s="397" t="s">
        <v>318</v>
      </c>
      <c r="AI32" s="398"/>
      <c r="AJ32" s="399"/>
      <c r="AK32" s="153"/>
      <c r="AL32" s="153"/>
      <c r="AM32" s="153"/>
      <c r="AN32" s="40"/>
      <c r="AO32" s="40"/>
      <c r="AP32" s="40"/>
      <c r="AQ32" s="40"/>
      <c r="AR32" s="40"/>
      <c r="BY32" s="40"/>
      <c r="BZ32" s="40"/>
      <c r="CA32" s="40"/>
      <c r="CB32" s="40"/>
      <c r="CC32" s="40"/>
      <c r="CD32" s="40"/>
      <c r="CE32" s="40"/>
      <c r="CF32" s="39"/>
      <c r="CG32" s="39"/>
      <c r="CH32" s="63"/>
      <c r="CI32" s="63"/>
      <c r="CJ32" s="117"/>
      <c r="CK32" s="40"/>
      <c r="CL32" s="40"/>
      <c r="CM32" s="40"/>
      <c r="CN32" s="40"/>
      <c r="CO32" s="40"/>
      <c r="CP32" s="40"/>
      <c r="CQ32" s="40"/>
      <c r="CR32" s="40"/>
      <c r="CS32" s="40"/>
      <c r="CT32" s="52">
        <v>14</v>
      </c>
      <c r="CU32" s="52" t="str">
        <f>VLOOKUP(14,$DE$8:$DN$78,CV$8,TRUE)</f>
        <v>[-100x50x20x2.3 mm.</v>
      </c>
      <c r="CV32" s="52"/>
      <c r="CW32" s="40"/>
      <c r="CX32" s="40"/>
      <c r="CY32" s="40"/>
      <c r="CZ32" s="40"/>
      <c r="DA32" s="40"/>
      <c r="DB32" s="40"/>
      <c r="DC32" s="40"/>
      <c r="DD32" s="40"/>
      <c r="DE32" s="40">
        <v>25</v>
      </c>
      <c r="DF32" s="40" t="str">
        <f>'Steel Table'!C30</f>
        <v>WF-300X300x10x15 mm.</v>
      </c>
      <c r="DG32" s="40"/>
      <c r="DH32" s="40"/>
      <c r="DI32" s="40" t="str">
        <f>'Steel Table'!BC30</f>
        <v>Tube-125x125x3.2 mm.</v>
      </c>
      <c r="DJ32" s="40" t="str">
        <f>'Steel Table'!BO30</f>
        <v>Tube-200x100x6 mm.</v>
      </c>
      <c r="DK32" s="40" t="str">
        <f>'Steel Table'!CD30</f>
        <v>Pipe-D139.8x4 mm.</v>
      </c>
      <c r="DL32" s="40" t="str">
        <f>'Steel Table'!CO30</f>
        <v>[-125x50x20x4 mm.</v>
      </c>
      <c r="DM32" s="40"/>
      <c r="DN32" s="40" t="str">
        <f>'Steel Table'!DG30</f>
        <v>2[]-125x50x20x4 mm.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</row>
    <row r="33" spans="1:128" s="35" customFormat="1" ht="15.75" customHeight="1">
      <c r="A33" s="40"/>
      <c r="B33" s="58" t="s">
        <v>95</v>
      </c>
      <c r="C33" s="40"/>
      <c r="D33" s="40"/>
      <c r="E33" s="40"/>
      <c r="F33" s="374" t="str">
        <f>IF(CB10=1,"-",IF(CB10&gt;1,CW19))</f>
        <v>[-60x30x10x1.6 mm.</v>
      </c>
      <c r="G33" s="374"/>
      <c r="H33" s="374"/>
      <c r="I33" s="374"/>
      <c r="J33" s="374"/>
      <c r="K33" s="374"/>
      <c r="L33" s="36" t="s">
        <v>89</v>
      </c>
      <c r="M33" s="36" t="s">
        <v>0</v>
      </c>
      <c r="N33" s="373">
        <f>IF(CB10=1,"-",IF(CB10&gt;1,CR12))</f>
        <v>3.88</v>
      </c>
      <c r="O33" s="373"/>
      <c r="P33" s="400" t="s">
        <v>93</v>
      </c>
      <c r="Q33" s="400"/>
      <c r="R33" s="52" t="s">
        <v>90</v>
      </c>
      <c r="S33" s="39" t="s">
        <v>0</v>
      </c>
      <c r="T33" s="396">
        <f>IF(CB10=1,"-",IF(CB10&gt;1,CR13))</f>
        <v>1.32</v>
      </c>
      <c r="U33" s="396"/>
      <c r="V33" s="400" t="s">
        <v>93</v>
      </c>
      <c r="W33" s="400"/>
      <c r="X33" s="52"/>
      <c r="Y33" s="52"/>
      <c r="Z33" s="52"/>
      <c r="AA33" s="52"/>
      <c r="AB33" s="99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40"/>
      <c r="AO33" s="40"/>
      <c r="AP33" s="40"/>
      <c r="AQ33" s="40"/>
      <c r="AR33" s="40"/>
      <c r="BY33" s="40"/>
      <c r="BZ33" s="40"/>
      <c r="CA33" s="40"/>
      <c r="CB33" s="40"/>
      <c r="CC33" s="40"/>
      <c r="CD33" s="40"/>
      <c r="CE33" s="40"/>
      <c r="CF33" s="39"/>
      <c r="CG33" s="39"/>
      <c r="CH33" s="63"/>
      <c r="CI33" s="63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52">
        <v>15</v>
      </c>
      <c r="CU33" s="52" t="str">
        <f>VLOOKUP(15,$DE$8:$DN$78,CV$8,TRUE)</f>
        <v>[-100x50x20x2.8 mm.</v>
      </c>
      <c r="CV33" s="52"/>
      <c r="CW33" s="40"/>
      <c r="CX33" s="40"/>
      <c r="CY33" s="40"/>
      <c r="CZ33" s="40"/>
      <c r="DA33" s="40"/>
      <c r="DB33" s="40"/>
      <c r="DC33" s="40"/>
      <c r="DD33" s="40"/>
      <c r="DE33" s="40">
        <v>26</v>
      </c>
      <c r="DF33" s="40" t="str">
        <f>'Steel Table'!C31</f>
        <v>WF-300X300x15x15 mm.</v>
      </c>
      <c r="DG33" s="40"/>
      <c r="DH33" s="40"/>
      <c r="DI33" s="40" t="str">
        <f>'Steel Table'!BC31</f>
        <v>Tube-125x125x4.5 mm.</v>
      </c>
      <c r="DJ33" s="40" t="str">
        <f>'Steel Table'!BO31</f>
        <v>Tube-200x100x6.3 mm.</v>
      </c>
      <c r="DK33" s="40" t="str">
        <f>'Steel Table'!CD31</f>
        <v>Pipe-D139.8x4.5 mm.</v>
      </c>
      <c r="DL33" s="40" t="str">
        <f>'Steel Table'!CO31</f>
        <v>[-125x50x20x4.5 mm.</v>
      </c>
      <c r="DM33" s="40"/>
      <c r="DN33" s="40" t="str">
        <f>'Steel Table'!DG31</f>
        <v>2[]-125x50x20x4.5 mm.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</row>
    <row r="34" spans="1:128" s="35" customFormat="1" ht="15.75" customHeight="1">
      <c r="A34" s="40"/>
      <c r="B34" s="34"/>
      <c r="C34" s="40"/>
      <c r="D34" s="40"/>
      <c r="E34" s="40"/>
      <c r="F34" s="40"/>
      <c r="G34" s="40"/>
      <c r="H34" s="40"/>
      <c r="I34" s="40"/>
      <c r="J34" s="40"/>
      <c r="K34" s="40"/>
      <c r="L34" s="39" t="s">
        <v>87</v>
      </c>
      <c r="M34" s="39" t="s">
        <v>0</v>
      </c>
      <c r="N34" s="396">
        <f>IF(CB10=1,"-",IF(CB10&gt;1,CR10))</f>
        <v>11.6</v>
      </c>
      <c r="O34" s="396"/>
      <c r="P34" s="400" t="s">
        <v>94</v>
      </c>
      <c r="Q34" s="400"/>
      <c r="R34" s="52" t="s">
        <v>88</v>
      </c>
      <c r="S34" s="39" t="s">
        <v>0</v>
      </c>
      <c r="T34" s="396">
        <f>IF(CB10=1,"-",IF(CB10&gt;1,CR11))</f>
        <v>2.56</v>
      </c>
      <c r="U34" s="396"/>
      <c r="V34" s="400" t="s">
        <v>94</v>
      </c>
      <c r="W34" s="400"/>
      <c r="X34" s="52"/>
      <c r="Y34" s="52"/>
      <c r="Z34" s="52"/>
      <c r="AA34" s="52"/>
      <c r="AB34" s="99"/>
      <c r="AC34" s="397" t="s">
        <v>462</v>
      </c>
      <c r="AD34" s="398"/>
      <c r="AE34" s="398"/>
      <c r="AF34" s="398"/>
      <c r="AG34" s="399"/>
      <c r="AH34" s="155"/>
      <c r="AI34" s="156"/>
      <c r="AJ34" s="156"/>
      <c r="AK34" s="156"/>
      <c r="AL34" s="156"/>
      <c r="AM34" s="156"/>
      <c r="AN34" s="123"/>
      <c r="AO34" s="123"/>
      <c r="AP34" s="123"/>
      <c r="AQ34" s="40"/>
      <c r="AR34" s="40"/>
      <c r="BY34" s="40"/>
      <c r="BZ34" s="40"/>
      <c r="CA34" s="40"/>
      <c r="CB34" s="40"/>
      <c r="CC34" s="40"/>
      <c r="CD34" s="40"/>
      <c r="CE34" s="40"/>
      <c r="CF34" s="39"/>
      <c r="CG34" s="39"/>
      <c r="CH34" s="101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52">
        <v>16</v>
      </c>
      <c r="CU34" s="52" t="str">
        <f>VLOOKUP(16,$DE$8:$DN$78,CV$8,TRUE)</f>
        <v>[-100x50x20x3.2 mm.</v>
      </c>
      <c r="CV34" s="52"/>
      <c r="CW34" s="40"/>
      <c r="CX34" s="40"/>
      <c r="CY34" s="40"/>
      <c r="CZ34" s="40"/>
      <c r="DA34" s="40"/>
      <c r="DB34" s="40"/>
      <c r="DC34" s="40"/>
      <c r="DD34" s="40"/>
      <c r="DE34" s="40">
        <v>27</v>
      </c>
      <c r="DF34" s="40" t="str">
        <f>'Steel Table'!C32</f>
        <v>WF-300X300x11x17 mm.</v>
      </c>
      <c r="DG34" s="40"/>
      <c r="DH34" s="40"/>
      <c r="DI34" s="40" t="str">
        <f>'Steel Table'!BC32</f>
        <v>Tube-125x125x5 mm.</v>
      </c>
      <c r="DJ34" s="40"/>
      <c r="DK34" s="40" t="str">
        <f>'Steel Table'!CD32</f>
        <v>Pipe-D139.8x6 mm.</v>
      </c>
      <c r="DL34" s="40" t="str">
        <f>'Steel Table'!CO32</f>
        <v>[-150x50x20x2.3 mm.</v>
      </c>
      <c r="DM34" s="40"/>
      <c r="DN34" s="40" t="str">
        <f>'Steel Table'!DG32</f>
        <v>2[]-150x50x20x2.3 mm.</v>
      </c>
      <c r="DO34" s="40"/>
      <c r="DP34" s="40"/>
      <c r="DQ34" s="40"/>
      <c r="DR34" s="40"/>
      <c r="DS34" s="40"/>
      <c r="DT34" s="40"/>
      <c r="DU34" s="40"/>
      <c r="DV34" s="40"/>
      <c r="DW34" s="40"/>
      <c r="DX34" s="40"/>
    </row>
    <row r="35" spans="1:128" s="35" customFormat="1" ht="15.75" customHeight="1">
      <c r="A35" s="40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40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99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52"/>
      <c r="AO35" s="52"/>
      <c r="AP35" s="52"/>
      <c r="AQ35" s="40"/>
      <c r="AR35" s="40"/>
      <c r="BY35" s="40"/>
      <c r="BZ35" s="40"/>
      <c r="CA35" s="40"/>
      <c r="CB35" s="40"/>
      <c r="CC35" s="40"/>
      <c r="CD35" s="40"/>
      <c r="CE35" s="40"/>
      <c r="CF35" s="39"/>
      <c r="CG35" s="39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52">
        <v>17</v>
      </c>
      <c r="CU35" s="52" t="str">
        <f>VLOOKUP(17,$DE$8:$DN$78,CV$8,TRUE)</f>
        <v>[-100x50x20x4 mm.</v>
      </c>
      <c r="CV35" s="52"/>
      <c r="CW35" s="40"/>
      <c r="CX35" s="40"/>
      <c r="CY35" s="40"/>
      <c r="CZ35" s="40"/>
      <c r="DA35" s="40"/>
      <c r="DB35" s="40"/>
      <c r="DC35" s="40"/>
      <c r="DD35" s="40"/>
      <c r="DE35" s="40">
        <v>28</v>
      </c>
      <c r="DF35" s="40" t="str">
        <f>'Steel Table'!C33</f>
        <v>WF-350X175x6x9 mm.</v>
      </c>
      <c r="DG35" s="40"/>
      <c r="DH35" s="40"/>
      <c r="DI35" s="40" t="str">
        <f>'Steel Table'!BC33</f>
        <v>Tube-125x125x6 mm.</v>
      </c>
      <c r="DJ35" s="40"/>
      <c r="DK35" s="40" t="str">
        <f>'Steel Table'!CD33</f>
        <v>Pipe-D165.2x4.5 mm.</v>
      </c>
      <c r="DL35" s="40" t="str">
        <f>'Steel Table'!CO33</f>
        <v>[-150x50x20x3.2 mm.</v>
      </c>
      <c r="DM35" s="40"/>
      <c r="DN35" s="40" t="str">
        <f>'Steel Table'!DG33</f>
        <v>2[]-150x50x20x3.2 mm.</v>
      </c>
      <c r="DO35" s="40"/>
      <c r="DP35" s="40"/>
      <c r="DQ35" s="40"/>
      <c r="DR35" s="40"/>
      <c r="DS35" s="40"/>
      <c r="DT35" s="40"/>
      <c r="DU35" s="40"/>
      <c r="DV35" s="40"/>
      <c r="DW35" s="40"/>
      <c r="DX35" s="40"/>
    </row>
    <row r="36" spans="1:128" s="35" customFormat="1" ht="15.75" customHeight="1">
      <c r="A36" s="40"/>
      <c r="B36" s="105" t="s">
        <v>96</v>
      </c>
      <c r="U36" s="52"/>
      <c r="V36" s="52"/>
      <c r="W36" s="52"/>
      <c r="X36" s="52"/>
      <c r="Y36" s="52"/>
      <c r="Z36" s="52"/>
      <c r="AA36" s="52"/>
      <c r="AB36" s="99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40"/>
      <c r="AO36" s="40"/>
      <c r="AP36" s="40"/>
      <c r="AQ36" s="40"/>
      <c r="AR36" s="40"/>
      <c r="BY36" s="40"/>
      <c r="BZ36" s="40"/>
      <c r="CA36" s="40"/>
      <c r="CB36" s="40"/>
      <c r="CC36" s="40"/>
      <c r="CD36" s="40"/>
      <c r="CE36" s="40"/>
      <c r="CF36" s="39"/>
      <c r="CG36" s="39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52">
        <v>18</v>
      </c>
      <c r="CU36" s="52" t="str">
        <f>VLOOKUP(18,$DE$8:$DN$78,CV$8,TRUE)</f>
        <v>[-100x50x20x4.5 mm.</v>
      </c>
      <c r="CV36" s="52"/>
      <c r="CW36" s="40"/>
      <c r="CX36" s="40"/>
      <c r="CY36" s="40"/>
      <c r="CZ36" s="40"/>
      <c r="DA36" s="40"/>
      <c r="DB36" s="40"/>
      <c r="DC36" s="40"/>
      <c r="DD36" s="40"/>
      <c r="DE36" s="40">
        <v>29</v>
      </c>
      <c r="DF36" s="40" t="str">
        <f>'Steel Table'!C34</f>
        <v>WF-350X175x7x11 mm.</v>
      </c>
      <c r="DG36" s="40"/>
      <c r="DH36" s="40"/>
      <c r="DI36" s="40" t="str">
        <f>'Steel Table'!BC34</f>
        <v>Tube-150x150x4.5 mm.</v>
      </c>
      <c r="DJ36" s="40"/>
      <c r="DK36" s="40" t="str">
        <f>'Steel Table'!CD34</f>
        <v>Pipe-D165.2x5 mm.</v>
      </c>
      <c r="DL36" s="40" t="str">
        <f>'Steel Table'!CO34</f>
        <v>[-150x50x20x4.5 mm.</v>
      </c>
      <c r="DM36" s="40"/>
      <c r="DN36" s="40" t="str">
        <f>'Steel Table'!DG34</f>
        <v>2[]-150x50x20x4.5 mm.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</row>
    <row r="37" spans="1:128" s="35" customFormat="1" ht="15.75" customHeight="1">
      <c r="A37" s="40"/>
      <c r="C37" s="52"/>
      <c r="D37" s="52"/>
      <c r="E37" s="52"/>
      <c r="F37" s="128"/>
      <c r="G37" s="128"/>
      <c r="H37" s="128"/>
      <c r="I37" s="129"/>
      <c r="J37" s="130"/>
      <c r="K37" s="130"/>
      <c r="L37" s="76"/>
      <c r="M37" s="131"/>
      <c r="N37" s="71" t="s">
        <v>98</v>
      </c>
      <c r="O37" s="371" t="s">
        <v>100</v>
      </c>
      <c r="P37" s="71" t="s">
        <v>99</v>
      </c>
      <c r="Q37" s="396"/>
      <c r="R37" s="371" t="s">
        <v>101</v>
      </c>
      <c r="S37" s="371"/>
      <c r="T37" s="371"/>
      <c r="U37" s="52"/>
      <c r="V37" s="52"/>
      <c r="W37" s="52"/>
      <c r="X37" s="52"/>
      <c r="Y37" s="52"/>
      <c r="Z37" s="52"/>
      <c r="AA37" s="52"/>
      <c r="AB37" s="99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40"/>
      <c r="AO37" s="40"/>
      <c r="AP37" s="40"/>
      <c r="AQ37" s="40"/>
      <c r="AR37" s="40"/>
      <c r="BY37" s="40"/>
      <c r="BZ37" s="40"/>
      <c r="CA37" s="40"/>
      <c r="CB37" s="40"/>
      <c r="CC37" s="40"/>
      <c r="CD37" s="40"/>
      <c r="CE37" s="40"/>
      <c r="CF37" s="39"/>
      <c r="CG37" s="39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52">
        <v>19</v>
      </c>
      <c r="CU37" s="52" t="str">
        <f>VLOOKUP(19,$DE$8:$DN$78,CV$8,TRUE)</f>
        <v>[-120x40x20x3.2 mm.</v>
      </c>
      <c r="CV37" s="52"/>
      <c r="CW37" s="40"/>
      <c r="CX37" s="40"/>
      <c r="CY37" s="40"/>
      <c r="CZ37" s="40"/>
      <c r="DA37" s="40"/>
      <c r="DB37" s="40"/>
      <c r="DC37" s="40"/>
      <c r="DD37" s="40"/>
      <c r="DE37" s="40">
        <v>30</v>
      </c>
      <c r="DF37" s="40" t="str">
        <f>'Steel Table'!C35</f>
        <v>WF-350X175x8x13 mm.</v>
      </c>
      <c r="DG37" s="40"/>
      <c r="DH37" s="40"/>
      <c r="DI37" s="40" t="str">
        <f>'Steel Table'!BC35</f>
        <v>Tube-150x150x5 mm.</v>
      </c>
      <c r="DJ37" s="40"/>
      <c r="DK37" s="40" t="str">
        <f>'Steel Table'!CD35</f>
        <v>Pipe-D165.2x6 mm.</v>
      </c>
      <c r="DL37" s="40" t="str">
        <f>'Steel Table'!CO35</f>
        <v>[-150x65x20x2.3 mm.</v>
      </c>
      <c r="DM37" s="40"/>
      <c r="DN37" s="40" t="str">
        <f>'Steel Table'!DG35</f>
        <v>2[]-150x65x20x2.3 mm.</v>
      </c>
      <c r="DO37" s="40"/>
      <c r="DP37" s="40"/>
      <c r="DQ37" s="40"/>
      <c r="DR37" s="40"/>
      <c r="DS37" s="40"/>
      <c r="DT37" s="40"/>
      <c r="DU37" s="40"/>
      <c r="DV37" s="40"/>
      <c r="DW37" s="40"/>
      <c r="DX37" s="40"/>
    </row>
    <row r="38" spans="1:128" s="35" customFormat="1" ht="15.75" customHeight="1">
      <c r="A38" s="40"/>
      <c r="B38" s="52"/>
      <c r="N38" s="36" t="s">
        <v>89</v>
      </c>
      <c r="O38" s="371"/>
      <c r="P38" s="36" t="s">
        <v>90</v>
      </c>
      <c r="Q38" s="396"/>
      <c r="R38" s="371"/>
      <c r="S38" s="371"/>
      <c r="T38" s="371"/>
      <c r="U38" s="52"/>
      <c r="V38" s="52"/>
      <c r="W38" s="52"/>
      <c r="X38" s="52"/>
      <c r="Y38" s="52"/>
      <c r="Z38" s="52"/>
      <c r="AA38" s="52"/>
      <c r="AB38" s="99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40"/>
      <c r="AO38" s="40"/>
      <c r="AP38" s="40"/>
      <c r="AQ38" s="40"/>
      <c r="AR38" s="40"/>
      <c r="BY38" s="40"/>
      <c r="BZ38" s="40"/>
      <c r="CA38" s="40"/>
      <c r="CB38" s="40"/>
      <c r="CC38" s="40"/>
      <c r="CD38" s="40"/>
      <c r="CE38" s="40"/>
      <c r="CF38" s="39"/>
      <c r="CG38" s="39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52">
        <v>20</v>
      </c>
      <c r="CU38" s="52" t="str">
        <f>VLOOKUP(20,$DE$8:$DN$78,CV$8,TRUE)</f>
        <v>[-120x60x25x2.3 mm.</v>
      </c>
      <c r="CV38" s="40"/>
      <c r="CW38" s="40"/>
      <c r="CX38" s="40"/>
      <c r="CY38" s="40"/>
      <c r="CZ38" s="40"/>
      <c r="DA38" s="40"/>
      <c r="DB38" s="40"/>
      <c r="DC38" s="40"/>
      <c r="DD38" s="40"/>
      <c r="DE38" s="40">
        <v>31</v>
      </c>
      <c r="DF38" s="40" t="str">
        <f>'Steel Table'!C36</f>
        <v>WF-350x250x8x12 mm.</v>
      </c>
      <c r="DG38" s="40"/>
      <c r="DH38" s="40"/>
      <c r="DI38" s="40" t="str">
        <f>'Steel Table'!BC36</f>
        <v>Tube-150x150x6 mm.</v>
      </c>
      <c r="DJ38" s="40"/>
      <c r="DK38" s="40" t="str">
        <f>'Steel Table'!CD36</f>
        <v>Pipe-D165.2x7.1 mm.</v>
      </c>
      <c r="DL38" s="40" t="str">
        <f>'Steel Table'!CO36</f>
        <v>[-150x65x20x3.2 mm.</v>
      </c>
      <c r="DM38" s="40"/>
      <c r="DN38" s="40" t="str">
        <f>'Steel Table'!DG36</f>
        <v>2[]-150x65x20x3.2 mm.</v>
      </c>
      <c r="DO38" s="40"/>
      <c r="DP38" s="40"/>
      <c r="DQ38" s="40"/>
      <c r="DR38" s="40"/>
      <c r="DS38" s="40"/>
      <c r="DT38" s="40"/>
      <c r="DU38" s="40"/>
      <c r="DV38" s="40"/>
      <c r="DW38" s="40"/>
      <c r="DX38" s="40"/>
    </row>
    <row r="39" spans="1:128" s="35" customFormat="1" ht="15.75" customHeight="1">
      <c r="A39" s="40"/>
      <c r="B39" s="52"/>
      <c r="C39" s="95" t="s">
        <v>97</v>
      </c>
      <c r="D39" s="52"/>
      <c r="E39" s="52"/>
      <c r="F39" s="128"/>
      <c r="G39" s="128"/>
      <c r="H39" s="128"/>
      <c r="I39" s="321"/>
      <c r="J39" s="130"/>
      <c r="K39" s="130"/>
      <c r="L39" s="76"/>
      <c r="M39" s="39" t="s">
        <v>0</v>
      </c>
      <c r="N39" s="369">
        <f>IF(CB10=1,"-",IF(CB10&gt;1,ROUND(BY30,2)))</f>
        <v>13563.63</v>
      </c>
      <c r="O39" s="369"/>
      <c r="P39" s="369"/>
      <c r="Q39" s="39" t="str">
        <f>IF(N39&lt;=R39,"&lt;",IF(N39&gt;R39,"&gt;"))</f>
        <v>&gt;</v>
      </c>
      <c r="R39" s="370">
        <f>Fb</f>
        <v>1440</v>
      </c>
      <c r="S39" s="370"/>
      <c r="T39" s="370"/>
      <c r="U39" s="396" t="str">
        <f>IF(N39&lt;=R39,"Ok.",IF(N39&gt;R39,"Not. Ok."))</f>
        <v>Not. Ok.</v>
      </c>
      <c r="V39" s="396"/>
      <c r="W39" s="40"/>
      <c r="X39" s="40"/>
      <c r="Y39" s="40"/>
      <c r="Z39" s="40"/>
      <c r="AA39" s="40"/>
      <c r="AB39" s="40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40"/>
      <c r="AO39" s="40"/>
      <c r="AP39" s="40"/>
      <c r="AQ39" s="40"/>
      <c r="AR39" s="40"/>
      <c r="BY39" s="40"/>
      <c r="BZ39" s="40"/>
      <c r="CA39" s="40"/>
      <c r="CB39" s="40"/>
      <c r="CC39" s="40"/>
      <c r="CD39" s="101"/>
      <c r="CE39" s="40"/>
      <c r="CF39" s="39"/>
      <c r="CG39" s="39"/>
      <c r="CH39" s="40"/>
      <c r="CI39" s="39"/>
      <c r="CJ39" s="135"/>
      <c r="CK39" s="40"/>
      <c r="CL39" s="40"/>
      <c r="CM39" s="40"/>
      <c r="CN39" s="40"/>
      <c r="CO39" s="40"/>
      <c r="CP39" s="40"/>
      <c r="CQ39" s="40"/>
      <c r="CR39" s="40"/>
      <c r="CS39" s="40"/>
      <c r="CT39" s="52">
        <v>21</v>
      </c>
      <c r="CU39" s="52" t="str">
        <f>VLOOKUP(21,$DE$8:$DN$78,CV$8,TRUE)</f>
        <v>[-120x60x25x3.2 mm.</v>
      </c>
      <c r="CV39" s="40"/>
      <c r="CW39" s="40"/>
      <c r="CX39" s="40"/>
      <c r="CY39" s="40"/>
      <c r="CZ39" s="40"/>
      <c r="DA39" s="40"/>
      <c r="DB39" s="40"/>
      <c r="DC39" s="40"/>
      <c r="DD39" s="40"/>
      <c r="DE39" s="40">
        <v>32</v>
      </c>
      <c r="DF39" s="40" t="str">
        <f>'Steel Table'!C37</f>
        <v>WF-350x250x9x14 mm.</v>
      </c>
      <c r="DG39" s="40"/>
      <c r="DH39" s="40"/>
      <c r="DI39" s="40" t="str">
        <f>'Steel Table'!BC37</f>
        <v>Tube-150x150x6.3 mm.</v>
      </c>
      <c r="DJ39" s="40"/>
      <c r="DK39" s="40" t="str">
        <f>'Steel Table'!CD37</f>
        <v>Pipe-D216.3x4.5 mm.</v>
      </c>
      <c r="DL39" s="40" t="str">
        <f>'Steel Table'!CO37</f>
        <v>[-150x65x20x4 mm.</v>
      </c>
      <c r="DM39" s="40"/>
      <c r="DN39" s="40" t="str">
        <f>'Steel Table'!DG37</f>
        <v>2[]-150x65x20x4 mm.</v>
      </c>
      <c r="DO39" s="40"/>
      <c r="DP39" s="40"/>
      <c r="DQ39" s="40"/>
      <c r="DR39" s="40"/>
      <c r="DS39" s="40"/>
      <c r="DT39" s="40"/>
      <c r="DU39" s="40"/>
      <c r="DV39" s="40"/>
      <c r="DW39" s="40"/>
      <c r="DX39" s="40"/>
    </row>
    <row r="40" spans="1:128" s="35" customFormat="1" ht="15.75" customHeight="1">
      <c r="A40" s="40"/>
      <c r="B40" s="52"/>
      <c r="C40" s="52"/>
      <c r="D40" s="52"/>
      <c r="E40" s="52"/>
      <c r="F40" s="128"/>
      <c r="G40" s="128"/>
      <c r="H40" s="128"/>
      <c r="I40" s="129"/>
      <c r="J40" s="129"/>
      <c r="K40" s="129"/>
      <c r="L40" s="76"/>
      <c r="M40" s="131"/>
      <c r="N40" s="131"/>
      <c r="O40" s="131"/>
      <c r="P40" s="40"/>
      <c r="Q40" s="40"/>
      <c r="R40" s="34"/>
      <c r="S40" s="34"/>
      <c r="T40" s="34"/>
      <c r="U40" s="34"/>
      <c r="V40" s="34"/>
      <c r="W40" s="34"/>
      <c r="X40" s="34"/>
      <c r="Y40" s="34"/>
      <c r="Z40" s="34"/>
      <c r="AA40" s="40"/>
      <c r="AB40" s="40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40"/>
      <c r="AO40" s="40"/>
      <c r="AP40" s="40"/>
      <c r="AQ40" s="40"/>
      <c r="AR40" s="40"/>
      <c r="BY40" s="40"/>
      <c r="BZ40" s="40"/>
      <c r="CA40" s="40"/>
      <c r="CB40" s="117"/>
      <c r="CC40" s="40"/>
      <c r="CD40" s="117"/>
      <c r="CE40" s="40"/>
      <c r="CF40" s="39"/>
      <c r="CG40" s="39"/>
      <c r="CH40" s="40"/>
      <c r="CI40" s="39"/>
      <c r="CJ40" s="135"/>
      <c r="CK40" s="40"/>
      <c r="CL40" s="40"/>
      <c r="CM40" s="40"/>
      <c r="CN40" s="40"/>
      <c r="CO40" s="40"/>
      <c r="CP40" s="92"/>
      <c r="CQ40" s="40"/>
      <c r="CR40" s="40"/>
      <c r="CS40" s="40"/>
      <c r="CT40" s="52">
        <v>22</v>
      </c>
      <c r="CU40" s="52" t="str">
        <f>VLOOKUP(22,$DE$8:$DN$78,CV$8,TRUE)</f>
        <v>[-120x60x25x4.5 mm.</v>
      </c>
      <c r="CV40" s="40"/>
      <c r="CW40" s="40"/>
      <c r="CX40" s="40"/>
      <c r="CY40" s="40"/>
      <c r="CZ40" s="40"/>
      <c r="DA40" s="40"/>
      <c r="DB40" s="40"/>
      <c r="DC40" s="40"/>
      <c r="DD40" s="40"/>
      <c r="DE40" s="40">
        <v>33</v>
      </c>
      <c r="DF40" s="40" t="str">
        <f>'Steel Table'!C38</f>
        <v>WF-350X350x13x13 mm.</v>
      </c>
      <c r="DG40" s="40"/>
      <c r="DH40" s="40"/>
      <c r="DI40" s="40"/>
      <c r="DJ40" s="40"/>
      <c r="DK40" s="40" t="str">
        <f>'Steel Table'!CD38</f>
        <v>Pipe-D216.3x5.8 mm.</v>
      </c>
      <c r="DL40" s="40" t="str">
        <f>'Steel Table'!CO38</f>
        <v>[-150x75x20x3.2 mm.</v>
      </c>
      <c r="DM40" s="40"/>
      <c r="DN40" s="40" t="str">
        <f>'Steel Table'!DG38</f>
        <v>2[]-150x75x20x3.2 mm.</v>
      </c>
      <c r="DO40" s="40"/>
      <c r="DP40" s="40"/>
      <c r="DQ40" s="40"/>
      <c r="DR40" s="40"/>
      <c r="DS40" s="40"/>
      <c r="DT40" s="40"/>
      <c r="DU40" s="40"/>
      <c r="DV40" s="40"/>
      <c r="DW40" s="40"/>
      <c r="DX40" s="40"/>
    </row>
    <row r="41" spans="1:128" s="35" customFormat="1" ht="15.75" customHeight="1">
      <c r="A41" s="40"/>
      <c r="B41" s="105" t="s">
        <v>102</v>
      </c>
      <c r="C41" s="52"/>
      <c r="D41" s="52"/>
      <c r="E41" s="52"/>
      <c r="F41" s="128"/>
      <c r="G41" s="128"/>
      <c r="H41" s="128"/>
      <c r="I41" s="129"/>
      <c r="J41" s="129"/>
      <c r="K41" s="129"/>
      <c r="L41" s="76"/>
      <c r="M41" s="131"/>
      <c r="N41" s="131"/>
      <c r="O41" s="131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40"/>
      <c r="AO41" s="40"/>
      <c r="AP41" s="40"/>
      <c r="AQ41" s="40"/>
      <c r="AR41" s="40"/>
      <c r="BY41" s="40"/>
      <c r="BZ41" s="40"/>
      <c r="CA41" s="40"/>
      <c r="CB41" s="40"/>
      <c r="CC41" s="40"/>
      <c r="CD41" s="101"/>
      <c r="CE41" s="40"/>
      <c r="CF41" s="39"/>
      <c r="CG41" s="39"/>
      <c r="CH41" s="40"/>
      <c r="CI41" s="39"/>
      <c r="CJ41" s="135"/>
      <c r="CK41" s="40"/>
      <c r="CL41" s="40"/>
      <c r="CM41" s="40"/>
      <c r="CN41" s="40"/>
      <c r="CO41" s="40"/>
      <c r="CP41" s="40"/>
      <c r="CQ41" s="40"/>
      <c r="CR41" s="40"/>
      <c r="CS41" s="40"/>
      <c r="CT41" s="52">
        <v>23</v>
      </c>
      <c r="CU41" s="52" t="str">
        <f>VLOOKUP(23,$DE$8:$DN$78,CV$8,TRUE)</f>
        <v>[-125x50x20x2.3 mm.</v>
      </c>
      <c r="CV41" s="40"/>
      <c r="CW41" s="40"/>
      <c r="CX41" s="40"/>
      <c r="CY41" s="40"/>
      <c r="CZ41" s="40"/>
      <c r="DA41" s="40"/>
      <c r="DB41" s="40"/>
      <c r="DC41" s="40"/>
      <c r="DD41" s="40"/>
      <c r="DE41" s="40">
        <v>34</v>
      </c>
      <c r="DF41" s="40" t="str">
        <f>'Steel Table'!C39</f>
        <v>WF-350X350x10x16 mm.</v>
      </c>
      <c r="DG41" s="40"/>
      <c r="DH41" s="40"/>
      <c r="DI41" s="40"/>
      <c r="DJ41" s="40"/>
      <c r="DK41" s="40" t="str">
        <f>'Steel Table'!CD39</f>
        <v>Pipe-D216.3x7 mm.</v>
      </c>
      <c r="DL41" s="40" t="str">
        <f>'Steel Table'!CO39</f>
        <v>[-150x75x20x4 mm.</v>
      </c>
      <c r="DM41" s="40"/>
      <c r="DN41" s="40" t="str">
        <f>'Steel Table'!DG39</f>
        <v>2[]-150x75x20x4 mm.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0"/>
    </row>
    <row r="42" spans="1:128" s="35" customFormat="1" ht="15.75" customHeight="1">
      <c r="A42" s="40"/>
      <c r="B42" s="95" t="s">
        <v>103</v>
      </c>
      <c r="C42" s="52"/>
      <c r="D42" s="52"/>
      <c r="E42" s="52"/>
      <c r="F42" s="128"/>
      <c r="G42" s="128"/>
      <c r="H42" s="128"/>
      <c r="I42" s="129"/>
      <c r="J42" s="129"/>
      <c r="K42" s="129"/>
      <c r="L42" s="76"/>
      <c r="M42" s="39" t="s">
        <v>0</v>
      </c>
      <c r="N42" s="403">
        <f>(L*100)/360</f>
        <v>1.1111111111111112</v>
      </c>
      <c r="O42" s="403"/>
      <c r="P42" s="403"/>
      <c r="Q42" s="396" t="s">
        <v>104</v>
      </c>
      <c r="R42" s="396"/>
      <c r="S42" s="34"/>
      <c r="T42" s="323"/>
      <c r="U42" s="95"/>
      <c r="V42" s="95"/>
      <c r="W42" s="95"/>
      <c r="X42" s="95"/>
      <c r="Y42" s="95"/>
      <c r="Z42" s="95"/>
      <c r="AA42" s="40"/>
      <c r="AB42" s="40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40"/>
      <c r="AO42" s="40"/>
      <c r="AP42" s="40"/>
      <c r="AQ42" s="40"/>
      <c r="AR42" s="40"/>
      <c r="BY42" s="40"/>
      <c r="BZ42" s="40"/>
      <c r="CA42" s="40"/>
      <c r="CB42" s="40"/>
      <c r="CC42" s="40"/>
      <c r="CD42" s="117"/>
      <c r="CE42" s="40"/>
      <c r="CF42" s="39"/>
      <c r="CG42" s="39"/>
      <c r="CH42" s="40"/>
      <c r="CI42" s="39"/>
      <c r="CJ42" s="84"/>
      <c r="CK42" s="40"/>
      <c r="CL42" s="40"/>
      <c r="CM42" s="40"/>
      <c r="CN42" s="40"/>
      <c r="CO42" s="40"/>
      <c r="CP42" s="40"/>
      <c r="CQ42" s="40"/>
      <c r="CR42" s="40"/>
      <c r="CS42" s="40"/>
      <c r="CT42" s="52">
        <v>24</v>
      </c>
      <c r="CU42" s="52" t="str">
        <f>VLOOKUP(24,$DE$8:$DN$78,CV$8,TRUE)</f>
        <v>[-125x50x20x3.2 mm.</v>
      </c>
      <c r="CV42" s="40"/>
      <c r="CW42" s="40"/>
      <c r="CX42" s="40"/>
      <c r="CY42" s="40"/>
      <c r="CZ42" s="40"/>
      <c r="DA42" s="40"/>
      <c r="DB42" s="40"/>
      <c r="DC42" s="40"/>
      <c r="DD42" s="40"/>
      <c r="DE42" s="40">
        <v>35</v>
      </c>
      <c r="DF42" s="40" t="str">
        <f>'Steel Table'!C40</f>
        <v>WF-350X350x16x16 mm.</v>
      </c>
      <c r="DG42" s="40"/>
      <c r="DH42" s="40"/>
      <c r="DI42" s="40"/>
      <c r="DJ42" s="40"/>
      <c r="DK42" s="40" t="str">
        <f>'Steel Table'!CD40</f>
        <v>Pipe-D216.3x8.2 mm.</v>
      </c>
      <c r="DL42" s="40" t="str">
        <f>'Steel Table'!CO40</f>
        <v>[-150x75x20x4.5 mm.</v>
      </c>
      <c r="DM42" s="40"/>
      <c r="DN42" s="40" t="str">
        <f>'Steel Table'!DG40</f>
        <v>2[]-150x75x20x4.5 mm.</v>
      </c>
      <c r="DO42" s="40"/>
      <c r="DP42" s="40"/>
      <c r="DQ42" s="40"/>
      <c r="DR42" s="40"/>
      <c r="DS42" s="40"/>
      <c r="DT42" s="40"/>
      <c r="DU42" s="40"/>
      <c r="DV42" s="40"/>
      <c r="DW42" s="40"/>
      <c r="DX42" s="40"/>
    </row>
    <row r="43" spans="1:128" s="35" customFormat="1" ht="15.75" customHeight="1">
      <c r="A43" s="40"/>
      <c r="B43" s="34" t="s">
        <v>105</v>
      </c>
      <c r="C43" s="40"/>
      <c r="D43" s="40"/>
      <c r="E43" s="40"/>
      <c r="F43" s="40"/>
      <c r="G43" s="40"/>
      <c r="H43" s="40"/>
      <c r="I43" s="40"/>
      <c r="J43" s="40"/>
      <c r="K43" s="40"/>
      <c r="L43" s="39"/>
      <c r="M43" s="39" t="s">
        <v>0</v>
      </c>
      <c r="N43" s="372">
        <f>IF(CB10=1,"-",IF(CB10&gt;1,(5*W*(L*100)^4)/(384*N11*N34*100)))</f>
        <v>13.99151614668856</v>
      </c>
      <c r="O43" s="372"/>
      <c r="P43" s="372"/>
      <c r="Q43" s="396" t="s">
        <v>104</v>
      </c>
      <c r="R43" s="396"/>
      <c r="S43" s="34"/>
      <c r="T43" s="323"/>
      <c r="U43" s="95"/>
      <c r="V43" s="95"/>
      <c r="W43" s="95"/>
      <c r="X43" s="95"/>
      <c r="Y43" s="95"/>
      <c r="Z43" s="95"/>
      <c r="AA43" s="40"/>
      <c r="AB43" s="40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40"/>
      <c r="AO43" s="40"/>
      <c r="AP43" s="40"/>
      <c r="AQ43" s="40"/>
      <c r="AR43" s="40"/>
      <c r="BY43" s="40"/>
      <c r="BZ43" s="40"/>
      <c r="CA43" s="40"/>
      <c r="CB43" s="40"/>
      <c r="CC43" s="40"/>
      <c r="CD43" s="101"/>
      <c r="CE43" s="40"/>
      <c r="CF43" s="39"/>
      <c r="CG43" s="39"/>
      <c r="CH43" s="40"/>
      <c r="CI43" s="40"/>
      <c r="CJ43" s="39"/>
      <c r="CK43" s="40"/>
      <c r="CL43" s="40"/>
      <c r="CM43" s="40"/>
      <c r="CN43" s="40"/>
      <c r="CO43" s="40"/>
      <c r="CP43" s="40"/>
      <c r="CQ43" s="40"/>
      <c r="CR43" s="40"/>
      <c r="CS43" s="40"/>
      <c r="CT43" s="52">
        <v>25</v>
      </c>
      <c r="CU43" s="52" t="str">
        <f>VLOOKUP(25,$DE$8:$DN$78,CV$8,TRUE)</f>
        <v>[-125x50x20x4 mm.</v>
      </c>
      <c r="CV43" s="40"/>
      <c r="CW43" s="40"/>
      <c r="CX43" s="40"/>
      <c r="CY43" s="40"/>
      <c r="CZ43" s="40"/>
      <c r="DA43" s="40"/>
      <c r="DB43" s="40"/>
      <c r="DC43" s="40"/>
      <c r="DD43" s="40"/>
      <c r="DE43" s="40">
        <v>36</v>
      </c>
      <c r="DF43" s="40" t="str">
        <f>'Steel Table'!C41</f>
        <v>WF-350X350x12x19 mm.</v>
      </c>
      <c r="DG43" s="40"/>
      <c r="DH43" s="40"/>
      <c r="DI43" s="40"/>
      <c r="DJ43" s="40"/>
      <c r="DK43" s="40"/>
      <c r="DL43" s="40" t="str">
        <f>'Steel Table'!CO41</f>
        <v>[-150x75x25x3.2 mm.</v>
      </c>
      <c r="DM43" s="40"/>
      <c r="DN43" s="40" t="str">
        <f>'Steel Table'!DG41</f>
        <v>2[]-150x75x25x3.2 mm.</v>
      </c>
      <c r="DO43" s="40"/>
      <c r="DP43" s="40"/>
      <c r="DQ43" s="40"/>
      <c r="DR43" s="40"/>
      <c r="DS43" s="40"/>
      <c r="DT43" s="40"/>
      <c r="DU43" s="40"/>
      <c r="DV43" s="40"/>
      <c r="DW43" s="40"/>
      <c r="DX43" s="40"/>
    </row>
    <row r="44" spans="1:128" s="35" customFormat="1" ht="15.75" customHeight="1">
      <c r="A44" s="40"/>
      <c r="B44" s="34"/>
      <c r="C44" s="40"/>
      <c r="D44" s="40"/>
      <c r="E44" s="40"/>
      <c r="F44" s="40"/>
      <c r="G44" s="40"/>
      <c r="H44" s="40"/>
      <c r="I44" s="40"/>
      <c r="J44" s="40"/>
      <c r="K44" s="40"/>
      <c r="L44" s="39"/>
      <c r="M44" s="40"/>
      <c r="N44" s="396" t="s">
        <v>107</v>
      </c>
      <c r="O44" s="396"/>
      <c r="P44" s="396"/>
      <c r="Q44" s="40"/>
      <c r="R44" s="396" t="s">
        <v>108</v>
      </c>
      <c r="S44" s="396"/>
      <c r="T44" s="396"/>
      <c r="U44" s="40"/>
      <c r="V44" s="40"/>
      <c r="W44" s="40"/>
      <c r="X44" s="40"/>
      <c r="Y44" s="39"/>
      <c r="Z44" s="40"/>
      <c r="AA44" s="40"/>
      <c r="AB44" s="40"/>
      <c r="AC44" s="155"/>
      <c r="AD44" s="155"/>
      <c r="AE44" s="155"/>
      <c r="AF44" s="155"/>
      <c r="AG44" s="155"/>
      <c r="AH44" s="155"/>
      <c r="AI44" s="153"/>
      <c r="AJ44" s="153"/>
      <c r="AK44" s="153"/>
      <c r="AL44" s="153"/>
      <c r="AM44" s="153"/>
      <c r="AN44" s="40"/>
      <c r="AO44" s="40"/>
      <c r="AP44" s="40"/>
      <c r="AQ44" s="40"/>
      <c r="AR44" s="40"/>
      <c r="BY44" s="40"/>
      <c r="BZ44" s="40"/>
      <c r="CA44" s="40"/>
      <c r="CB44" s="40"/>
      <c r="CC44" s="40"/>
      <c r="CD44" s="117"/>
      <c r="CE44" s="40"/>
      <c r="CF44" s="39"/>
      <c r="CG44" s="39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52">
        <v>26</v>
      </c>
      <c r="CU44" s="52" t="str">
        <f>VLOOKUP(26,$DE$8:$DN$78,CV$8,TRUE)</f>
        <v>[-125x50x20x4.5 mm.</v>
      </c>
      <c r="CV44" s="40"/>
      <c r="CW44" s="40"/>
      <c r="CX44" s="40"/>
      <c r="CY44" s="40"/>
      <c r="CZ44" s="40"/>
      <c r="DA44" s="40"/>
      <c r="DB44" s="40"/>
      <c r="DC44" s="40"/>
      <c r="DD44" s="40"/>
      <c r="DE44" s="40">
        <v>37</v>
      </c>
      <c r="DF44" s="40" t="str">
        <f>'Steel Table'!C42</f>
        <v>WF-350X350x19x19 mm.</v>
      </c>
      <c r="DG44" s="40"/>
      <c r="DH44" s="40"/>
      <c r="DI44" s="40"/>
      <c r="DJ44" s="40"/>
      <c r="DK44" s="40"/>
      <c r="DL44" s="40" t="str">
        <f>'Steel Table'!CO42</f>
        <v>[-150x75x25x4 mm.</v>
      </c>
      <c r="DM44" s="40"/>
      <c r="DN44" s="40" t="str">
        <f>'Steel Table'!DG42</f>
        <v>2[]-150x75x25x4 mm.</v>
      </c>
      <c r="DO44" s="40"/>
      <c r="DP44" s="40"/>
      <c r="DQ44" s="40"/>
      <c r="DR44" s="40"/>
      <c r="DS44" s="40"/>
      <c r="DT44" s="40"/>
      <c r="DU44" s="40"/>
      <c r="DV44" s="40"/>
      <c r="DW44" s="40"/>
      <c r="DX44" s="40"/>
    </row>
    <row r="45" spans="1:128" s="35" customFormat="1" ht="15.75" customHeight="1">
      <c r="A45" s="40"/>
      <c r="B45" s="34" t="s">
        <v>106</v>
      </c>
      <c r="C45" s="40"/>
      <c r="D45" s="40"/>
      <c r="E45" s="40"/>
      <c r="F45" s="40"/>
      <c r="G45" s="40"/>
      <c r="H45" s="40"/>
      <c r="I45" s="40"/>
      <c r="J45" s="39"/>
      <c r="K45" s="69"/>
      <c r="L45" s="69"/>
      <c r="M45" s="69"/>
      <c r="N45" s="401">
        <f>IF(CB10=1,"-",IF(CB10&gt;1,N43))</f>
        <v>13.99151614668856</v>
      </c>
      <c r="O45" s="402"/>
      <c r="P45" s="402"/>
      <c r="Q45" s="39" t="str">
        <f>IF(N45&lt;=R45,"&lt;",IF(N45&gt;R45,"&gt;"))</f>
        <v>&gt;</v>
      </c>
      <c r="R45" s="403">
        <f>N42</f>
        <v>1.1111111111111112</v>
      </c>
      <c r="S45" s="396"/>
      <c r="T45" s="396"/>
      <c r="U45" s="396" t="str">
        <f>IF(N45&lt;=R45,"Ok.",IF(N45&gt;R45,"Not. Ok."))</f>
        <v>Not. Ok.</v>
      </c>
      <c r="V45" s="396"/>
      <c r="W45" s="40"/>
      <c r="X45" s="39"/>
      <c r="Y45" s="69"/>
      <c r="Z45" s="69"/>
      <c r="AA45" s="69"/>
      <c r="AB45" s="40"/>
      <c r="AC45" s="155"/>
      <c r="AD45" s="155"/>
      <c r="AE45" s="155"/>
      <c r="AF45" s="155"/>
      <c r="AG45" s="155"/>
      <c r="AH45" s="155"/>
      <c r="AI45" s="153"/>
      <c r="AJ45" s="153"/>
      <c r="AK45" s="153"/>
      <c r="AL45" s="153"/>
      <c r="AM45" s="153"/>
      <c r="AN45" s="40"/>
      <c r="AO45" s="40"/>
      <c r="AP45" s="40"/>
      <c r="AQ45" s="40"/>
      <c r="AR45" s="40"/>
      <c r="BY45" s="40"/>
      <c r="BZ45" s="40"/>
      <c r="CA45" s="40"/>
      <c r="CB45" s="40"/>
      <c r="CC45" s="40"/>
      <c r="CD45" s="101"/>
      <c r="CE45" s="40"/>
      <c r="CF45" s="39"/>
      <c r="CG45" s="39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52">
        <v>27</v>
      </c>
      <c r="CU45" s="52" t="str">
        <f>VLOOKUP(27,$DE$8:$DN$78,CV$8,TRUE)</f>
        <v>[-150x50x20x2.3 mm.</v>
      </c>
      <c r="CV45" s="40"/>
      <c r="CW45" s="40"/>
      <c r="CX45" s="40"/>
      <c r="CY45" s="40"/>
      <c r="CZ45" s="40"/>
      <c r="DA45" s="40"/>
      <c r="DB45" s="40"/>
      <c r="DC45" s="40"/>
      <c r="DD45" s="40"/>
      <c r="DE45" s="40">
        <v>38</v>
      </c>
      <c r="DF45" s="40" t="str">
        <f>'Steel Table'!C43</f>
        <v>WF-400X200x7x11 mm.</v>
      </c>
      <c r="DG45" s="40"/>
      <c r="DH45" s="40"/>
      <c r="DI45" s="40"/>
      <c r="DJ45" s="40"/>
      <c r="DK45" s="40"/>
      <c r="DL45" s="40" t="str">
        <f>'Steel Table'!CO43</f>
        <v>[-150x75x25x4.5 mm.</v>
      </c>
      <c r="DM45" s="40"/>
      <c r="DN45" s="40" t="str">
        <f>'Steel Table'!DG43</f>
        <v>2[]-150x75x25x4.5 mm.</v>
      </c>
      <c r="DO45" s="40"/>
      <c r="DP45" s="40"/>
      <c r="DQ45" s="40"/>
      <c r="DR45" s="40"/>
      <c r="DS45" s="40"/>
      <c r="DT45" s="40"/>
      <c r="DU45" s="40"/>
      <c r="DV45" s="40"/>
      <c r="DW45" s="40"/>
      <c r="DX45" s="40"/>
    </row>
    <row r="46" spans="1:128" s="35" customFormat="1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39"/>
      <c r="K46" s="52"/>
      <c r="L46" s="52"/>
      <c r="M46" s="52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39"/>
      <c r="Y46" s="69"/>
      <c r="Z46" s="69"/>
      <c r="AA46" s="69"/>
      <c r="AB46" s="40"/>
      <c r="AC46" s="155"/>
      <c r="AD46" s="155"/>
      <c r="AE46" s="155"/>
      <c r="AF46" s="155"/>
      <c r="AG46" s="155"/>
      <c r="AH46" s="155"/>
      <c r="AI46" s="153"/>
      <c r="AJ46" s="153"/>
      <c r="AK46" s="153"/>
      <c r="AL46" s="153"/>
      <c r="AM46" s="153"/>
      <c r="AN46" s="40"/>
      <c r="AO46" s="40"/>
      <c r="AP46" s="40"/>
      <c r="AQ46" s="40"/>
      <c r="AR46" s="40"/>
      <c r="BY46" s="40"/>
      <c r="BZ46" s="40"/>
      <c r="CA46" s="40"/>
      <c r="CB46" s="40"/>
      <c r="CC46" s="40"/>
      <c r="CD46" s="117"/>
      <c r="CE46" s="40"/>
      <c r="CF46" s="39"/>
      <c r="CG46" s="39"/>
      <c r="CH46" s="40"/>
      <c r="CI46" s="39"/>
      <c r="CJ46" s="75"/>
      <c r="CK46" s="40"/>
      <c r="CL46" s="40"/>
      <c r="CM46" s="40"/>
      <c r="CN46" s="40"/>
      <c r="CO46" s="40"/>
      <c r="CP46" s="40"/>
      <c r="CQ46" s="40"/>
      <c r="CR46" s="40"/>
      <c r="CS46" s="40"/>
      <c r="CT46" s="52">
        <v>28</v>
      </c>
      <c r="CU46" s="52" t="str">
        <f>VLOOKUP(28,$DE$8:$DN$78,CV$8,TRUE)</f>
        <v>[-150x50x20x3.2 mm.</v>
      </c>
      <c r="CV46" s="40"/>
      <c r="CW46" s="40"/>
      <c r="CX46" s="40"/>
      <c r="CY46" s="40"/>
      <c r="CZ46" s="40"/>
      <c r="DA46" s="40"/>
      <c r="DB46" s="40"/>
      <c r="DC46" s="40"/>
      <c r="DD46" s="40"/>
      <c r="DE46" s="40">
        <v>39</v>
      </c>
      <c r="DF46" s="40" t="str">
        <f>'Steel Table'!C44</f>
        <v>WF-400X200x8x13 mm.</v>
      </c>
      <c r="DG46" s="40"/>
      <c r="DH46" s="40"/>
      <c r="DI46" s="40"/>
      <c r="DJ46" s="40"/>
      <c r="DK46" s="40"/>
      <c r="DL46" s="40" t="str">
        <f>'Steel Table'!CO44</f>
        <v>[-200x75x20x3.2 mm.</v>
      </c>
      <c r="DM46" s="40"/>
      <c r="DN46" s="40" t="str">
        <f>'Steel Table'!DG44</f>
        <v>2[]-200x75x20x3.2 mm.</v>
      </c>
      <c r="DO46" s="40"/>
      <c r="DP46" s="40"/>
      <c r="DQ46" s="40"/>
      <c r="DR46" s="40"/>
      <c r="DS46" s="40"/>
      <c r="DT46" s="40"/>
      <c r="DU46" s="40"/>
      <c r="DV46" s="40"/>
      <c r="DW46" s="40"/>
      <c r="DX46" s="40"/>
    </row>
    <row r="47" spans="1:128" s="35" customFormat="1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39"/>
      <c r="K47" s="74"/>
      <c r="L47" s="74"/>
      <c r="M47" s="74"/>
      <c r="N47" s="131"/>
      <c r="O47" s="131"/>
      <c r="P47" s="40"/>
      <c r="Q47" s="40"/>
      <c r="R47" s="40"/>
      <c r="S47" s="40"/>
      <c r="T47" s="40"/>
      <c r="U47" s="40"/>
      <c r="V47" s="40"/>
      <c r="W47" s="40"/>
      <c r="X47" s="39"/>
      <c r="Y47" s="69"/>
      <c r="Z47" s="69"/>
      <c r="AA47" s="69"/>
      <c r="AB47" s="40"/>
      <c r="AC47" s="155"/>
      <c r="AD47" s="155"/>
      <c r="AE47" s="155"/>
      <c r="AF47" s="155"/>
      <c r="AG47" s="155"/>
      <c r="AH47" s="155"/>
      <c r="AI47" s="155"/>
      <c r="AJ47" s="155"/>
      <c r="AK47" s="155"/>
      <c r="AL47" s="153"/>
      <c r="AM47" s="153"/>
      <c r="AN47" s="40"/>
      <c r="AO47" s="40"/>
      <c r="AP47" s="40"/>
      <c r="AQ47" s="40"/>
      <c r="AR47" s="40"/>
      <c r="BY47" s="40"/>
      <c r="BZ47" s="40"/>
      <c r="CA47" s="40"/>
      <c r="CB47" s="40"/>
      <c r="CC47" s="40"/>
      <c r="CD47" s="101"/>
      <c r="CE47" s="40"/>
      <c r="CF47" s="39"/>
      <c r="CG47" s="39"/>
      <c r="CH47" s="40"/>
      <c r="CI47" s="39"/>
      <c r="CJ47" s="40"/>
      <c r="CK47" s="40"/>
      <c r="CL47" s="40"/>
      <c r="CM47" s="39"/>
      <c r="CN47" s="140"/>
      <c r="CO47" s="40"/>
      <c r="CP47" s="40"/>
      <c r="CQ47" s="40"/>
      <c r="CR47" s="40"/>
      <c r="CS47" s="40"/>
      <c r="CT47" s="52">
        <v>29</v>
      </c>
      <c r="CU47" s="52" t="str">
        <f>VLOOKUP(29,$DE$8:$DN$78,CV$8,TRUE)</f>
        <v>[-150x50x20x4.5 mm.</v>
      </c>
      <c r="CV47" s="40"/>
      <c r="CW47" s="40"/>
      <c r="CX47" s="40"/>
      <c r="CY47" s="40"/>
      <c r="CZ47" s="40"/>
      <c r="DA47" s="40"/>
      <c r="DB47" s="40"/>
      <c r="DC47" s="40"/>
      <c r="DD47" s="40"/>
      <c r="DE47" s="40">
        <v>40</v>
      </c>
      <c r="DF47" s="40" t="str">
        <f>'Steel Table'!C45</f>
        <v>WF-400X200x9x15 mm.</v>
      </c>
      <c r="DG47" s="40"/>
      <c r="DH47" s="40"/>
      <c r="DI47" s="40"/>
      <c r="DJ47" s="40"/>
      <c r="DK47" s="40"/>
      <c r="DL47" s="40" t="str">
        <f>'Steel Table'!CO45</f>
        <v>[-200x75x20x4 mm.</v>
      </c>
      <c r="DM47" s="40"/>
      <c r="DN47" s="40" t="str">
        <f>'Steel Table'!DG45</f>
        <v>2[]-200x75x20x4 mm.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</row>
    <row r="48" spans="1:128" s="35" customFormat="1" ht="15.75" customHeight="1" thickBo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40"/>
      <c r="N48" s="40"/>
      <c r="O48" s="40"/>
      <c r="P48" s="40"/>
      <c r="Q48" s="40"/>
      <c r="R48" s="40"/>
      <c r="S48" s="31"/>
      <c r="T48" s="31"/>
      <c r="U48" s="31"/>
      <c r="V48" s="32"/>
      <c r="W48" s="32"/>
      <c r="X48" s="32"/>
      <c r="Y48" s="32"/>
      <c r="Z48" s="32"/>
      <c r="AA48" s="32"/>
      <c r="AB48" s="40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40"/>
      <c r="AO48" s="40"/>
      <c r="AP48" s="40"/>
      <c r="AQ48" s="40"/>
      <c r="AR48" s="40"/>
      <c r="BY48" s="40"/>
      <c r="BZ48" s="40"/>
      <c r="CA48" s="40"/>
      <c r="CB48" s="40"/>
      <c r="CC48" s="40"/>
      <c r="CD48" s="40"/>
      <c r="CE48" s="40"/>
      <c r="CF48" s="39"/>
      <c r="CG48" s="39"/>
      <c r="CH48" s="40"/>
      <c r="CI48" s="39"/>
      <c r="CJ48" s="75"/>
      <c r="CK48" s="40"/>
      <c r="CL48" s="40"/>
      <c r="CM48" s="101"/>
      <c r="CN48" s="40"/>
      <c r="CO48" s="40"/>
      <c r="CP48" s="40"/>
      <c r="CQ48" s="40"/>
      <c r="CR48" s="40"/>
      <c r="CS48" s="40"/>
      <c r="CT48" s="52">
        <v>30</v>
      </c>
      <c r="CU48" s="52" t="str">
        <f>VLOOKUP(30,$DE$8:$DN$78,CV$8,TRUE)</f>
        <v>[-150x65x20x2.3 mm.</v>
      </c>
      <c r="CV48" s="40"/>
      <c r="CW48" s="40"/>
      <c r="CX48" s="40"/>
      <c r="CY48" s="40"/>
      <c r="CZ48" s="40"/>
      <c r="DA48" s="40"/>
      <c r="DB48" s="40"/>
      <c r="DC48" s="40"/>
      <c r="DD48" s="40"/>
      <c r="DE48" s="40">
        <v>41</v>
      </c>
      <c r="DF48" s="40" t="str">
        <f>'Steel Table'!C46</f>
        <v>WF-400X300x9x14 mm.</v>
      </c>
      <c r="DG48" s="40"/>
      <c r="DH48" s="40"/>
      <c r="DI48" s="40"/>
      <c r="DJ48" s="40"/>
      <c r="DK48" s="40"/>
      <c r="DL48" s="40" t="str">
        <f>'Steel Table'!CO46</f>
        <v>[-200x75x20x4.5 mm.</v>
      </c>
      <c r="DM48" s="40"/>
      <c r="DN48" s="40" t="str">
        <f>'Steel Table'!DG46</f>
        <v>2[]-200x75x20x4.5 mm.</v>
      </c>
      <c r="DO48" s="40"/>
      <c r="DP48" s="40"/>
      <c r="DQ48" s="40"/>
      <c r="DR48" s="40"/>
      <c r="DS48" s="40"/>
      <c r="DT48" s="40"/>
      <c r="DU48" s="40"/>
      <c r="DV48" s="40"/>
      <c r="DW48" s="40"/>
      <c r="DX48" s="40"/>
    </row>
    <row r="49" spans="1:128" s="35" customFormat="1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40"/>
      <c r="N49" s="40"/>
      <c r="O49" s="40"/>
      <c r="P49" s="40"/>
      <c r="Q49" s="40"/>
      <c r="R49" s="40"/>
      <c r="S49" s="31"/>
      <c r="T49" s="31"/>
      <c r="U49" s="142" t="s">
        <v>114</v>
      </c>
      <c r="V49" s="394" t="str">
        <f>Cover!D10</f>
        <v>สมมุติ</v>
      </c>
      <c r="W49" s="394"/>
      <c r="X49" s="394"/>
      <c r="Y49" s="394"/>
      <c r="Z49" s="394"/>
      <c r="AA49" s="394"/>
      <c r="AB49" s="40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40"/>
      <c r="AO49" s="40"/>
      <c r="AP49" s="40"/>
      <c r="AQ49" s="40"/>
      <c r="AR49" s="40"/>
      <c r="BY49" s="40"/>
      <c r="BZ49" s="40"/>
      <c r="CA49" s="40"/>
      <c r="CB49" s="40"/>
      <c r="CC49" s="40"/>
      <c r="CD49" s="40"/>
      <c r="CE49" s="40"/>
      <c r="CF49" s="39"/>
      <c r="CG49" s="39"/>
      <c r="CH49" s="40"/>
      <c r="CI49" s="39"/>
      <c r="CJ49" s="39"/>
      <c r="CK49" s="40"/>
      <c r="CL49" s="40"/>
      <c r="CM49" s="39"/>
      <c r="CN49" s="141"/>
      <c r="CO49" s="40"/>
      <c r="CP49" s="40"/>
      <c r="CQ49" s="40"/>
      <c r="CR49" s="40"/>
      <c r="CS49" s="40"/>
      <c r="CT49" s="52">
        <v>31</v>
      </c>
      <c r="CU49" s="52" t="str">
        <f>VLOOKUP(31,$DE$8:$DN$78,CV$8,TRUE)</f>
        <v>[-150x65x20x3.2 mm.</v>
      </c>
      <c r="CV49" s="40"/>
      <c r="CW49" s="40"/>
      <c r="CX49" s="40"/>
      <c r="CY49" s="40"/>
      <c r="CZ49" s="40"/>
      <c r="DA49" s="40"/>
      <c r="DB49" s="40"/>
      <c r="DC49" s="40"/>
      <c r="DD49" s="40"/>
      <c r="DE49" s="40">
        <v>42</v>
      </c>
      <c r="DF49" s="40" t="str">
        <f>'Steel Table'!C47</f>
        <v>WF-400X300x10x16 mm.</v>
      </c>
      <c r="DG49" s="40"/>
      <c r="DH49" s="40"/>
      <c r="DI49" s="40"/>
      <c r="DJ49" s="40"/>
      <c r="DK49" s="40"/>
      <c r="DL49" s="40" t="str">
        <f>'Steel Table'!CO47</f>
        <v>[-200x75x25x3.2 mm.</v>
      </c>
      <c r="DM49" s="40"/>
      <c r="DN49" s="40" t="str">
        <f>'Steel Table'!DG47</f>
        <v>2[]-200x75x25x3.2 mm.</v>
      </c>
      <c r="DO49" s="40"/>
      <c r="DP49" s="40"/>
      <c r="DQ49" s="40"/>
      <c r="DR49" s="40"/>
      <c r="DS49" s="40"/>
      <c r="DT49" s="40"/>
      <c r="DU49" s="40"/>
      <c r="DV49" s="40"/>
      <c r="DW49" s="40"/>
      <c r="DX49" s="40"/>
    </row>
    <row r="50" spans="1:128" s="35" customFormat="1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39"/>
      <c r="M50" s="40"/>
      <c r="N50" s="40"/>
      <c r="O50" s="40"/>
      <c r="P50" s="40"/>
      <c r="Q50" s="40"/>
      <c r="R50" s="40"/>
      <c r="S50" s="31"/>
      <c r="T50" s="31"/>
      <c r="U50" s="142" t="s">
        <v>115</v>
      </c>
      <c r="V50" s="395" t="str">
        <f>Cover!H10</f>
        <v>สย.0000</v>
      </c>
      <c r="W50" s="395"/>
      <c r="X50" s="395"/>
      <c r="Y50" s="395"/>
      <c r="Z50" s="395"/>
      <c r="AA50" s="395"/>
      <c r="AB50" s="40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40"/>
      <c r="AO50" s="40"/>
      <c r="AP50" s="40"/>
      <c r="AQ50" s="40"/>
      <c r="AR50" s="40"/>
      <c r="BY50" s="40"/>
      <c r="BZ50" s="40"/>
      <c r="CA50" s="40"/>
      <c r="CB50" s="40"/>
      <c r="CC50" s="40"/>
      <c r="CD50" s="40"/>
      <c r="CE50" s="40"/>
      <c r="CF50" s="39"/>
      <c r="CG50" s="39"/>
      <c r="CH50" s="40"/>
      <c r="CI50" s="39"/>
      <c r="CJ50" s="75"/>
      <c r="CK50" s="40"/>
      <c r="CL50" s="40"/>
      <c r="CM50" s="39"/>
      <c r="CN50" s="141"/>
      <c r="CO50" s="40"/>
      <c r="CP50" s="40"/>
      <c r="CQ50" s="40"/>
      <c r="CR50" s="40"/>
      <c r="CS50" s="324"/>
      <c r="CT50" s="52">
        <v>32</v>
      </c>
      <c r="CU50" s="52" t="str">
        <f>VLOOKUP(32,$DE$8:$DN$78,CV$8,TRUE)</f>
        <v>[-150x65x20x4 mm.</v>
      </c>
      <c r="CV50" s="40"/>
      <c r="CW50" s="40"/>
      <c r="CX50" s="40"/>
      <c r="CY50" s="40"/>
      <c r="CZ50" s="40"/>
      <c r="DA50" s="40"/>
      <c r="DB50" s="40"/>
      <c r="DC50" s="40"/>
      <c r="DD50" s="40"/>
      <c r="DE50" s="40">
        <v>43</v>
      </c>
      <c r="DF50" s="40" t="str">
        <f>'Steel Table'!C48</f>
        <v>WF-400X400x15x15 mm.</v>
      </c>
      <c r="DG50" s="40"/>
      <c r="DH50" s="40"/>
      <c r="DI50" s="40"/>
      <c r="DJ50" s="40"/>
      <c r="DK50" s="40"/>
      <c r="DL50" s="40" t="str">
        <f>'Steel Table'!CO48</f>
        <v>[-200x75x25x4 mm.</v>
      </c>
      <c r="DM50" s="40"/>
      <c r="DN50" s="40" t="str">
        <f>'Steel Table'!DG48</f>
        <v>2[]-200x75x25x4 mm.</v>
      </c>
      <c r="DO50" s="40"/>
      <c r="DP50" s="40"/>
      <c r="DQ50" s="40"/>
      <c r="DR50" s="40"/>
      <c r="DS50" s="40"/>
      <c r="DT50" s="40"/>
      <c r="DU50" s="40"/>
      <c r="DV50" s="40"/>
      <c r="DW50" s="40"/>
      <c r="DX50" s="40"/>
    </row>
    <row r="51" spans="1:128" ht="15.75" customHeight="1">
      <c r="A51" s="34"/>
      <c r="B51" s="34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BY51" s="34"/>
      <c r="BZ51" s="34"/>
      <c r="CA51" s="34"/>
      <c r="CB51" s="34"/>
      <c r="CC51" s="34"/>
      <c r="CD51" s="34"/>
      <c r="CE51" s="40"/>
      <c r="CF51" s="39"/>
      <c r="CG51" s="39"/>
      <c r="CH51" s="40"/>
      <c r="CI51" s="39"/>
      <c r="CJ51" s="40"/>
      <c r="CK51" s="40"/>
      <c r="CL51" s="40"/>
      <c r="CM51" s="39"/>
      <c r="CN51" s="39"/>
      <c r="CO51" s="40"/>
      <c r="CP51" s="40"/>
      <c r="CQ51" s="34"/>
      <c r="CR51" s="34"/>
      <c r="CS51" s="34"/>
      <c r="CT51" s="52">
        <v>33</v>
      </c>
      <c r="CU51" s="52" t="str">
        <f>VLOOKUP(33,$DE$8:$DN$78,CV$8,TRUE)</f>
        <v>[-150x75x20x3.2 mm.</v>
      </c>
      <c r="CV51" s="34"/>
      <c r="CW51" s="34"/>
      <c r="CX51" s="41"/>
      <c r="CY51" s="34"/>
      <c r="CZ51" s="34"/>
      <c r="DA51" s="34"/>
      <c r="DB51" s="34"/>
      <c r="DC51" s="34"/>
      <c r="DD51" s="34"/>
      <c r="DE51" s="40">
        <v>44</v>
      </c>
      <c r="DF51" s="40" t="str">
        <f>'Steel Table'!C49</f>
        <v>WF-400X400x11x18 mm.</v>
      </c>
      <c r="DG51" s="34"/>
      <c r="DH51" s="34"/>
      <c r="DI51" s="34"/>
      <c r="DJ51" s="34"/>
      <c r="DK51" s="40"/>
      <c r="DL51" s="40" t="str">
        <f>'Steel Table'!CO49</f>
        <v>[-200x75x25x4.5 mm.</v>
      </c>
      <c r="DM51" s="34"/>
      <c r="DN51" s="40" t="str">
        <f>'Steel Table'!DG49</f>
        <v>2[]-200x75x25x4.5 mm.</v>
      </c>
      <c r="DO51" s="34"/>
      <c r="DP51" s="34"/>
      <c r="DQ51" s="34"/>
      <c r="DR51" s="34"/>
      <c r="DS51" s="34"/>
      <c r="DT51" s="34"/>
      <c r="DU51" s="34"/>
      <c r="DV51" s="34"/>
      <c r="DW51" s="34"/>
      <c r="DX51" s="34"/>
    </row>
    <row r="52" spans="1:128" ht="15.75" customHeight="1">
      <c r="A52" s="34"/>
      <c r="B52" s="34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94"/>
      <c r="P52" s="94"/>
      <c r="Q52" s="94"/>
      <c r="R52" s="94"/>
      <c r="S52" s="94"/>
      <c r="T52" s="94"/>
      <c r="U52" s="94"/>
      <c r="V52" s="94"/>
      <c r="W52" s="94"/>
      <c r="X52" s="326"/>
      <c r="Y52" s="326"/>
      <c r="Z52" s="326"/>
      <c r="AA52" s="326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BY52" s="34"/>
      <c r="BZ52" s="34"/>
      <c r="CA52" s="34"/>
      <c r="CB52" s="34"/>
      <c r="CC52" s="34"/>
      <c r="CD52" s="34"/>
      <c r="CE52" s="40"/>
      <c r="CF52" s="39"/>
      <c r="CG52" s="39"/>
      <c r="CH52" s="40"/>
      <c r="CI52" s="39"/>
      <c r="CJ52" s="40"/>
      <c r="CK52" s="40"/>
      <c r="CL52" s="40"/>
      <c r="CM52" s="39"/>
      <c r="CN52" s="39"/>
      <c r="CO52" s="40"/>
      <c r="CP52" s="40"/>
      <c r="CQ52" s="34"/>
      <c r="CR52" s="34"/>
      <c r="CS52" s="34"/>
      <c r="CT52" s="52">
        <v>34</v>
      </c>
      <c r="CU52" s="52" t="str">
        <f>VLOOKUP(34,$DE$8:$DN$78,CV$8,TRUE)</f>
        <v>[-150x75x20x4 mm.</v>
      </c>
      <c r="CV52" s="34"/>
      <c r="CW52" s="34"/>
      <c r="CX52" s="41"/>
      <c r="CY52" s="34"/>
      <c r="CZ52" s="327"/>
      <c r="DA52" s="34"/>
      <c r="DB52" s="34"/>
      <c r="DC52" s="34"/>
      <c r="DD52" s="34"/>
      <c r="DE52" s="40">
        <v>45</v>
      </c>
      <c r="DF52" s="40" t="str">
        <f>'Steel Table'!C50</f>
        <v>WF-400X400x18x18 mm.</v>
      </c>
      <c r="DG52" s="34"/>
      <c r="DH52" s="34"/>
      <c r="DI52" s="34"/>
      <c r="DJ52" s="34"/>
      <c r="DK52" s="40"/>
      <c r="DL52" s="40" t="str">
        <f>'Steel Table'!CO50</f>
        <v>[-250x75x25x4.5 mm.</v>
      </c>
      <c r="DM52" s="34"/>
      <c r="DN52" s="40" t="str">
        <f>'Steel Table'!DG50</f>
        <v>2[]-250x75x25x4.5 mm.</v>
      </c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pans="1:128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41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BY53" s="34"/>
      <c r="BZ53" s="34"/>
      <c r="CA53" s="34"/>
      <c r="CB53" s="34"/>
      <c r="CC53" s="34"/>
      <c r="CD53" s="34"/>
      <c r="CE53" s="40"/>
      <c r="CF53" s="39"/>
      <c r="CG53" s="39"/>
      <c r="CH53" s="40"/>
      <c r="CI53" s="39"/>
      <c r="CJ53" s="40"/>
      <c r="CK53" s="40"/>
      <c r="CL53" s="40"/>
      <c r="CM53" s="39"/>
      <c r="CN53" s="84"/>
      <c r="CO53" s="40"/>
      <c r="CP53" s="40"/>
      <c r="CQ53" s="34"/>
      <c r="CR53" s="34"/>
      <c r="CS53" s="34"/>
      <c r="CT53" s="52">
        <v>35</v>
      </c>
      <c r="CU53" s="52" t="str">
        <f>VLOOKUP(35,$DE$8:$DN$78,CV$8,TRUE)</f>
        <v>[-150x75x20x4.5 mm.</v>
      </c>
      <c r="CV53" s="34"/>
      <c r="CW53" s="34"/>
      <c r="CX53" s="41"/>
      <c r="CY53" s="146"/>
      <c r="CZ53" s="327"/>
      <c r="DA53" s="34"/>
      <c r="DB53" s="34"/>
      <c r="DC53" s="34"/>
      <c r="DD53" s="34"/>
      <c r="DE53" s="40">
        <v>46</v>
      </c>
      <c r="DF53" s="40" t="str">
        <f>'Steel Table'!C51</f>
        <v>WF-400X400x13x21 mm.</v>
      </c>
      <c r="DG53" s="34"/>
      <c r="DH53" s="34"/>
      <c r="DI53" s="34"/>
      <c r="DJ53" s="34"/>
      <c r="DK53" s="40"/>
      <c r="DL53" s="40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</row>
    <row r="54" spans="1:128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1"/>
      <c r="M54" s="34"/>
      <c r="N54" s="34"/>
      <c r="O54" s="39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BY54" s="34"/>
      <c r="BZ54" s="34"/>
      <c r="CA54" s="34"/>
      <c r="CB54" s="34"/>
      <c r="CC54" s="34"/>
      <c r="CD54" s="34"/>
      <c r="CE54" s="40"/>
      <c r="CF54" s="39"/>
      <c r="CG54" s="39"/>
      <c r="CH54" s="40"/>
      <c r="CI54" s="39"/>
      <c r="CJ54" s="75"/>
      <c r="CK54" s="40"/>
      <c r="CL54" s="40"/>
      <c r="CM54" s="39"/>
      <c r="CN54" s="39"/>
      <c r="CO54" s="40"/>
      <c r="CP54" s="40"/>
      <c r="CQ54" s="34"/>
      <c r="CR54" s="34"/>
      <c r="CS54" s="34"/>
      <c r="CT54" s="52">
        <v>36</v>
      </c>
      <c r="CU54" s="52" t="str">
        <f>VLOOKUP(36,$DE$8:$DN$78,CV$8,TRUE)</f>
        <v>[-150x75x25x3.2 mm.</v>
      </c>
      <c r="CV54" s="34"/>
      <c r="CW54" s="34"/>
      <c r="CX54" s="41"/>
      <c r="CY54" s="146"/>
      <c r="CZ54" s="327"/>
      <c r="DA54" s="34"/>
      <c r="DB54" s="34"/>
      <c r="DC54" s="34"/>
      <c r="DD54" s="34"/>
      <c r="DE54" s="40">
        <v>47</v>
      </c>
      <c r="DF54" s="40" t="str">
        <f>'Steel Table'!C52</f>
        <v>WF-400X400x21x21 mm.</v>
      </c>
      <c r="DG54" s="34"/>
      <c r="DH54" s="34"/>
      <c r="DI54" s="34"/>
      <c r="DJ54" s="34"/>
      <c r="DK54" s="40"/>
      <c r="DL54" s="40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41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BY55" s="34"/>
      <c r="BZ55" s="34"/>
      <c r="CA55" s="34"/>
      <c r="CB55" s="34"/>
      <c r="CC55" s="34"/>
      <c r="CD55" s="34"/>
      <c r="CE55" s="40"/>
      <c r="CF55" s="39"/>
      <c r="CG55" s="39"/>
      <c r="CH55" s="40"/>
      <c r="CI55" s="40"/>
      <c r="CJ55" s="40"/>
      <c r="CK55" s="40"/>
      <c r="CL55" s="40"/>
      <c r="CM55" s="39"/>
      <c r="CN55" s="88"/>
      <c r="CO55" s="40"/>
      <c r="CP55" s="40"/>
      <c r="CQ55" s="34"/>
      <c r="CR55" s="34"/>
      <c r="CS55" s="34"/>
      <c r="CT55" s="52">
        <v>37</v>
      </c>
      <c r="CU55" s="52" t="str">
        <f>VLOOKUP(37,$DE$8:$DN$78,CV$8,TRUE)</f>
        <v>[-150x75x25x4 mm.</v>
      </c>
      <c r="CV55" s="34"/>
      <c r="CW55" s="34"/>
      <c r="CX55" s="41"/>
      <c r="CY55" s="41"/>
      <c r="CZ55" s="143"/>
      <c r="DA55" s="34"/>
      <c r="DB55" s="34"/>
      <c r="DC55" s="34"/>
      <c r="DD55" s="34"/>
      <c r="DE55" s="40">
        <v>48</v>
      </c>
      <c r="DF55" s="40" t="str">
        <f>'Steel Table'!C53</f>
        <v>WF-400X400x18x28 mm.</v>
      </c>
      <c r="DG55" s="34"/>
      <c r="DH55" s="34"/>
      <c r="DI55" s="41"/>
      <c r="DJ55" s="143"/>
      <c r="DK55" s="40"/>
      <c r="DL55" s="40"/>
      <c r="DM55" s="34"/>
      <c r="DN55" s="34"/>
      <c r="DO55" s="34"/>
      <c r="DP55" s="41"/>
      <c r="DQ55" s="146"/>
      <c r="DR55" s="34"/>
      <c r="DS55" s="34"/>
      <c r="DT55" s="34"/>
      <c r="DU55" s="34"/>
      <c r="DV55" s="34"/>
      <c r="DW55" s="34"/>
      <c r="DX55" s="34"/>
    </row>
    <row r="56" spans="1:128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41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BY56" s="34"/>
      <c r="BZ56" s="34"/>
      <c r="CA56" s="34"/>
      <c r="CB56" s="34"/>
      <c r="CC56" s="34"/>
      <c r="CD56" s="34"/>
      <c r="CE56" s="40"/>
      <c r="CF56" s="39"/>
      <c r="CG56" s="39"/>
      <c r="CH56" s="40"/>
      <c r="CI56" s="40"/>
      <c r="CJ56" s="40"/>
      <c r="CK56" s="40"/>
      <c r="CL56" s="40"/>
      <c r="CM56" s="39"/>
      <c r="CN56" s="88"/>
      <c r="CO56" s="40"/>
      <c r="CP56" s="40"/>
      <c r="CQ56" s="34"/>
      <c r="CR56" s="34"/>
      <c r="CS56" s="34"/>
      <c r="CT56" s="52">
        <v>38</v>
      </c>
      <c r="CU56" s="52" t="str">
        <f>VLOOKUP(38,$DE$8:$DN$78,CV$8,TRUE)</f>
        <v>[-150x75x25x4.5 mm.</v>
      </c>
      <c r="CV56" s="34"/>
      <c r="CW56" s="34"/>
      <c r="CX56" s="41"/>
      <c r="CY56" s="41"/>
      <c r="CZ56" s="143"/>
      <c r="DA56" s="34"/>
      <c r="DB56" s="34"/>
      <c r="DC56" s="34"/>
      <c r="DD56" s="34"/>
      <c r="DE56" s="40">
        <v>49</v>
      </c>
      <c r="DF56" s="40" t="str">
        <f>'Steel Table'!C54</f>
        <v>WF-450X200x8x12 mm.</v>
      </c>
      <c r="DG56" s="34"/>
      <c r="DH56" s="34"/>
      <c r="DI56" s="41"/>
      <c r="DJ56" s="34"/>
      <c r="DK56" s="40"/>
      <c r="DL56" s="40"/>
      <c r="DM56" s="34"/>
      <c r="DN56" s="34"/>
      <c r="DO56" s="34"/>
      <c r="DP56" s="41"/>
      <c r="DQ56" s="146"/>
      <c r="DR56" s="34"/>
      <c r="DS56" s="34"/>
      <c r="DT56" s="34"/>
      <c r="DU56" s="34"/>
      <c r="DV56" s="34"/>
      <c r="DW56" s="34"/>
      <c r="DX56" s="34"/>
    </row>
    <row r="57" spans="1:128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41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BY57" s="34"/>
      <c r="BZ57" s="34"/>
      <c r="CA57" s="34"/>
      <c r="CB57" s="34"/>
      <c r="CC57" s="34"/>
      <c r="CD57" s="34"/>
      <c r="CE57" s="40"/>
      <c r="CF57" s="39"/>
      <c r="CG57" s="39"/>
      <c r="CH57" s="40"/>
      <c r="CI57" s="40"/>
      <c r="CJ57" s="40"/>
      <c r="CK57" s="40"/>
      <c r="CL57" s="40"/>
      <c r="CM57" s="39"/>
      <c r="CN57" s="39"/>
      <c r="CO57" s="40"/>
      <c r="CP57" s="40"/>
      <c r="CQ57" s="34"/>
      <c r="CR57" s="34"/>
      <c r="CS57" s="34"/>
      <c r="CT57" s="52">
        <v>39</v>
      </c>
      <c r="CU57" s="52" t="str">
        <f>VLOOKUP(39,$DE$8:$DN$78,CV$8,TRUE)</f>
        <v>[-200x75x20x3.2 mm.</v>
      </c>
      <c r="CV57" s="34"/>
      <c r="CW57" s="34"/>
      <c r="CX57" s="41"/>
      <c r="CY57" s="34"/>
      <c r="CZ57" s="34"/>
      <c r="DA57" s="34"/>
      <c r="DB57" s="34"/>
      <c r="DC57" s="34"/>
      <c r="DD57" s="34"/>
      <c r="DE57" s="40">
        <v>50</v>
      </c>
      <c r="DF57" s="40" t="str">
        <f>'Steel Table'!C55</f>
        <v>WF-450X200x9x14 mm.</v>
      </c>
      <c r="DG57" s="34"/>
      <c r="DH57" s="34"/>
      <c r="DI57" s="41"/>
      <c r="DJ57" s="143"/>
      <c r="DK57" s="40"/>
      <c r="DL57" s="40"/>
      <c r="DM57" s="34"/>
      <c r="DN57" s="34"/>
      <c r="DO57" s="34"/>
      <c r="DP57" s="41"/>
      <c r="DQ57" s="146"/>
      <c r="DR57" s="34"/>
      <c r="DS57" s="34"/>
      <c r="DT57" s="34"/>
      <c r="DU57" s="34"/>
      <c r="DV57" s="34"/>
      <c r="DW57" s="34"/>
      <c r="DX57" s="34"/>
    </row>
    <row r="58" spans="1:128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41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BY58" s="34"/>
      <c r="BZ58" s="34"/>
      <c r="CA58" s="34"/>
      <c r="CB58" s="34"/>
      <c r="CC58" s="34"/>
      <c r="CD58" s="34"/>
      <c r="CE58" s="40"/>
      <c r="CF58" s="39"/>
      <c r="CG58" s="39"/>
      <c r="CH58" s="92"/>
      <c r="CI58" s="40"/>
      <c r="CJ58" s="40"/>
      <c r="CK58" s="40"/>
      <c r="CL58" s="40"/>
      <c r="CM58" s="40"/>
      <c r="CN58" s="40"/>
      <c r="CO58" s="40"/>
      <c r="CP58" s="40"/>
      <c r="CQ58" s="34"/>
      <c r="CR58" s="34"/>
      <c r="CS58" s="34"/>
      <c r="CT58" s="52">
        <v>40</v>
      </c>
      <c r="CU58" s="52" t="str">
        <f>VLOOKUP(40,$DE$8:$DN$78,CV$8,TRUE)</f>
        <v>[-200x75x20x4 mm.</v>
      </c>
      <c r="CV58" s="34"/>
      <c r="CW58" s="34"/>
      <c r="CX58" s="41"/>
      <c r="CY58" s="34"/>
      <c r="CZ58" s="34"/>
      <c r="DA58" s="34"/>
      <c r="DB58" s="34"/>
      <c r="DC58" s="34"/>
      <c r="DD58" s="34"/>
      <c r="DE58" s="40">
        <v>51</v>
      </c>
      <c r="DF58" s="40" t="str">
        <f>'Steel Table'!C56</f>
        <v>WF-450X200x10x17 mm.</v>
      </c>
      <c r="DG58" s="34"/>
      <c r="DH58" s="34"/>
      <c r="DI58" s="41"/>
      <c r="DJ58" s="328"/>
      <c r="DK58" s="40"/>
      <c r="DL58" s="40"/>
      <c r="DM58" s="34"/>
      <c r="DN58" s="34"/>
      <c r="DO58" s="34"/>
      <c r="DP58" s="41"/>
      <c r="DQ58" s="146"/>
      <c r="DR58" s="34"/>
      <c r="DS58" s="34"/>
      <c r="DT58" s="34"/>
      <c r="DU58" s="34"/>
      <c r="DV58" s="34"/>
      <c r="DW58" s="34"/>
      <c r="DX58" s="34"/>
    </row>
    <row r="59" spans="1:128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41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BY59" s="34"/>
      <c r="BZ59" s="34"/>
      <c r="CA59" s="34"/>
      <c r="CB59" s="34"/>
      <c r="CC59" s="34"/>
      <c r="CD59" s="34"/>
      <c r="CE59" s="40"/>
      <c r="CF59" s="39"/>
      <c r="CG59" s="39"/>
      <c r="CH59" s="92"/>
      <c r="CI59" s="40"/>
      <c r="CJ59" s="40"/>
      <c r="CK59" s="40"/>
      <c r="CL59" s="40"/>
      <c r="CM59" s="94"/>
      <c r="CN59" s="94"/>
      <c r="CO59" s="117"/>
      <c r="CP59" s="40"/>
      <c r="CQ59" s="34"/>
      <c r="CR59" s="34"/>
      <c r="CS59" s="34"/>
      <c r="CT59" s="52">
        <v>41</v>
      </c>
      <c r="CU59" s="52" t="str">
        <f>VLOOKUP(41,$DE$8:$DN$78,CV$8,TRUE)</f>
        <v>[-200x75x20x4.5 mm.</v>
      </c>
      <c r="CV59" s="34"/>
      <c r="CW59" s="34"/>
      <c r="CX59" s="41"/>
      <c r="CY59" s="34"/>
      <c r="CZ59" s="34"/>
      <c r="DA59" s="34"/>
      <c r="DB59" s="41"/>
      <c r="DC59" s="34"/>
      <c r="DD59" s="34"/>
      <c r="DE59" s="40">
        <v>52</v>
      </c>
      <c r="DF59" s="40" t="str">
        <f>'Steel Table'!C57</f>
        <v>WF-450X300x10x17 mm.</v>
      </c>
      <c r="DG59" s="34"/>
      <c r="DH59" s="34"/>
      <c r="DI59" s="41"/>
      <c r="DJ59" s="34"/>
      <c r="DK59" s="40"/>
      <c r="DL59" s="40"/>
      <c r="DM59" s="34"/>
      <c r="DN59" s="34"/>
      <c r="DO59" s="34"/>
      <c r="DP59" s="41"/>
      <c r="DQ59" s="147"/>
      <c r="DR59" s="34"/>
      <c r="DS59" s="34"/>
      <c r="DT59" s="34"/>
      <c r="DU59" s="34"/>
      <c r="DV59" s="34"/>
      <c r="DW59" s="34"/>
      <c r="DX59" s="34"/>
    </row>
    <row r="60" spans="1:128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41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BY60" s="34"/>
      <c r="BZ60" s="34"/>
      <c r="CA60" s="34"/>
      <c r="CB60" s="34"/>
      <c r="CC60" s="34"/>
      <c r="CD60" s="34"/>
      <c r="CE60" s="40"/>
      <c r="CF60" s="39"/>
      <c r="CG60" s="39"/>
      <c r="CH60" s="92"/>
      <c r="CI60" s="40"/>
      <c r="CJ60" s="40"/>
      <c r="CK60" s="40"/>
      <c r="CL60" s="40"/>
      <c r="CM60" s="94"/>
      <c r="CN60" s="94"/>
      <c r="CO60" s="40"/>
      <c r="CP60" s="101"/>
      <c r="CQ60" s="34"/>
      <c r="CR60" s="34"/>
      <c r="CS60" s="34"/>
      <c r="CT60" s="52">
        <v>42</v>
      </c>
      <c r="CU60" s="52" t="str">
        <f>VLOOKUP(42,$DE$8:$DN$78,CV$8,TRUE)</f>
        <v>[-200x75x25x3.2 mm.</v>
      </c>
      <c r="CV60" s="34"/>
      <c r="CW60" s="34"/>
      <c r="CX60" s="41"/>
      <c r="CY60" s="34"/>
      <c r="CZ60" s="34"/>
      <c r="DA60" s="34"/>
      <c r="DB60" s="34"/>
      <c r="DC60" s="34"/>
      <c r="DD60" s="34"/>
      <c r="DE60" s="40">
        <v>53</v>
      </c>
      <c r="DF60" s="40" t="str">
        <f>'Steel Table'!C58</f>
        <v>WF-450X300x11x18 mm.</v>
      </c>
      <c r="DG60" s="34"/>
      <c r="DH60" s="34"/>
      <c r="DI60" s="41"/>
      <c r="DJ60" s="34"/>
      <c r="DK60" s="40"/>
      <c r="DL60" s="40"/>
      <c r="DM60" s="34"/>
      <c r="DN60" s="34"/>
      <c r="DO60" s="34"/>
      <c r="DP60" s="41"/>
      <c r="DQ60" s="147"/>
      <c r="DR60" s="34"/>
      <c r="DS60" s="34"/>
      <c r="DT60" s="34"/>
      <c r="DU60" s="34"/>
      <c r="DV60" s="34"/>
      <c r="DW60" s="34"/>
      <c r="DX60" s="34"/>
    </row>
    <row r="61" spans="77:128" ht="15.75" customHeight="1">
      <c r="BY61" s="34"/>
      <c r="BZ61" s="34"/>
      <c r="CA61" s="34"/>
      <c r="CB61" s="34"/>
      <c r="CC61" s="34"/>
      <c r="CD61" s="34"/>
      <c r="CE61" s="40"/>
      <c r="CF61" s="39"/>
      <c r="CG61" s="39"/>
      <c r="CH61" s="92"/>
      <c r="CI61" s="40"/>
      <c r="CJ61" s="40"/>
      <c r="CK61" s="40"/>
      <c r="CL61" s="40"/>
      <c r="CM61" s="94"/>
      <c r="CN61" s="94"/>
      <c r="CO61" s="40"/>
      <c r="CP61" s="101"/>
      <c r="CQ61" s="34"/>
      <c r="CR61" s="34"/>
      <c r="CS61" s="34"/>
      <c r="CT61" s="52">
        <v>43</v>
      </c>
      <c r="CU61" s="52" t="str">
        <f>VLOOKUP(43,$DE$8:$DN$78,CV$8,TRUE)</f>
        <v>[-200x75x25x4 mm.</v>
      </c>
      <c r="CV61" s="34"/>
      <c r="CW61" s="34"/>
      <c r="CX61" s="41"/>
      <c r="CY61" s="34"/>
      <c r="CZ61" s="34"/>
      <c r="DA61" s="34"/>
      <c r="DB61" s="41"/>
      <c r="DC61" s="34"/>
      <c r="DD61" s="34"/>
      <c r="DE61" s="40">
        <v>54</v>
      </c>
      <c r="DF61" s="40" t="str">
        <f>'Steel Table'!C59</f>
        <v>WF-450X300x13x21 mm.</v>
      </c>
      <c r="DG61" s="34"/>
      <c r="DH61" s="34"/>
      <c r="DI61" s="41"/>
      <c r="DJ61" s="143"/>
      <c r="DK61" s="40"/>
      <c r="DL61" s="40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77:128" ht="15.75" customHeight="1">
      <c r="BY62" s="34"/>
      <c r="BZ62" s="34"/>
      <c r="CA62" s="34"/>
      <c r="CB62" s="34"/>
      <c r="CC62" s="34"/>
      <c r="CD62" s="34"/>
      <c r="CE62" s="40"/>
      <c r="CF62" s="39"/>
      <c r="CG62" s="39"/>
      <c r="CH62" s="92"/>
      <c r="CI62" s="40"/>
      <c r="CJ62" s="40"/>
      <c r="CK62" s="40"/>
      <c r="CL62" s="40"/>
      <c r="CM62" s="94"/>
      <c r="CN62" s="94"/>
      <c r="CO62" s="40"/>
      <c r="CP62" s="40"/>
      <c r="CQ62" s="34"/>
      <c r="CR62" s="34"/>
      <c r="CS62" s="34"/>
      <c r="CT62" s="52">
        <v>44</v>
      </c>
      <c r="CU62" s="52" t="str">
        <f>VLOOKUP(44,$DE$8:$DN$78,CV$8,TRUE)</f>
        <v>[-200x75x25x4.5 mm.</v>
      </c>
      <c r="CV62" s="34"/>
      <c r="CW62" s="34"/>
      <c r="CX62" s="41"/>
      <c r="CY62" s="34"/>
      <c r="CZ62" s="34"/>
      <c r="DA62" s="34"/>
      <c r="DB62" s="34"/>
      <c r="DC62" s="34"/>
      <c r="DD62" s="34"/>
      <c r="DE62" s="40">
        <v>55</v>
      </c>
      <c r="DF62" s="40" t="str">
        <f>'Steel Table'!C60</f>
        <v>WF-500X200x9x14 mm.</v>
      </c>
      <c r="DG62" s="34"/>
      <c r="DH62" s="34"/>
      <c r="DI62" s="41"/>
      <c r="DJ62" s="143"/>
      <c r="DK62" s="40"/>
      <c r="DL62" s="40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77:128" ht="15.75" customHeight="1">
      <c r="BY63" s="34"/>
      <c r="BZ63" s="34"/>
      <c r="CA63" s="34"/>
      <c r="CB63" s="34"/>
      <c r="CC63" s="34"/>
      <c r="CD63" s="34"/>
      <c r="CE63" s="40"/>
      <c r="CF63" s="39"/>
      <c r="CG63" s="39"/>
      <c r="CH63" s="40"/>
      <c r="CI63" s="40"/>
      <c r="CJ63" s="40"/>
      <c r="CK63" s="40"/>
      <c r="CL63" s="40"/>
      <c r="CM63" s="40"/>
      <c r="CN63" s="40"/>
      <c r="CO63" s="40"/>
      <c r="CP63" s="40"/>
      <c r="CQ63" s="34"/>
      <c r="CR63" s="34"/>
      <c r="CS63" s="34"/>
      <c r="CT63" s="52">
        <v>45</v>
      </c>
      <c r="CU63" s="52" t="str">
        <f>VLOOKUP(45,$DE$8:$DN$78,CV$8,TRUE)</f>
        <v>[-250x75x25x4.5 mm.</v>
      </c>
      <c r="CV63" s="34"/>
      <c r="CW63" s="34"/>
      <c r="CX63" s="41"/>
      <c r="CY63" s="34"/>
      <c r="CZ63" s="34"/>
      <c r="DA63" s="34"/>
      <c r="DB63" s="34"/>
      <c r="DC63" s="34"/>
      <c r="DD63" s="34"/>
      <c r="DE63" s="40">
        <v>56</v>
      </c>
      <c r="DF63" s="40" t="str">
        <f>'Steel Table'!C61</f>
        <v>WF-500X200x10x16 mm.</v>
      </c>
      <c r="DG63" s="34"/>
      <c r="DH63" s="34"/>
      <c r="DI63" s="41"/>
      <c r="DJ63" s="34"/>
      <c r="DK63" s="40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77:128" ht="15.75" customHeight="1">
      <c r="BY64" s="34"/>
      <c r="BZ64" s="34"/>
      <c r="CA64" s="34"/>
      <c r="CB64" s="34"/>
      <c r="CC64" s="34"/>
      <c r="CD64" s="34"/>
      <c r="CE64" s="40"/>
      <c r="CF64" s="39"/>
      <c r="CG64" s="39"/>
      <c r="CH64" s="40"/>
      <c r="CI64" s="40"/>
      <c r="CJ64" s="40"/>
      <c r="CK64" s="40"/>
      <c r="CL64" s="40"/>
      <c r="CM64" s="40"/>
      <c r="CN64" s="40"/>
      <c r="CO64" s="40"/>
      <c r="CP64" s="40"/>
      <c r="CQ64" s="34"/>
      <c r="CR64" s="34"/>
      <c r="CS64" s="34"/>
      <c r="CT64" s="52">
        <v>46</v>
      </c>
      <c r="CU64" s="52">
        <f>VLOOKUP(46,$DE$8:$DN$78,CV$8,TRUE)</f>
        <v>0</v>
      </c>
      <c r="CV64" s="34"/>
      <c r="CW64" s="34"/>
      <c r="CX64" s="41"/>
      <c r="CY64" s="34"/>
      <c r="CZ64" s="34"/>
      <c r="DA64" s="34"/>
      <c r="DB64" s="34"/>
      <c r="DC64" s="34"/>
      <c r="DD64" s="34"/>
      <c r="DE64" s="40">
        <v>57</v>
      </c>
      <c r="DF64" s="40" t="str">
        <f>'Steel Table'!C62</f>
        <v>WF-500X200x11x19 mm.</v>
      </c>
      <c r="DG64" s="34"/>
      <c r="DH64" s="34"/>
      <c r="DI64" s="41"/>
      <c r="DJ64" s="328"/>
      <c r="DK64" s="40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77:128" ht="15.75" customHeight="1">
      <c r="BY65" s="34"/>
      <c r="BZ65" s="34"/>
      <c r="CA65" s="34"/>
      <c r="CB65" s="34"/>
      <c r="CC65" s="34"/>
      <c r="CD65" s="34"/>
      <c r="CE65" s="40"/>
      <c r="CF65" s="39"/>
      <c r="CG65" s="39"/>
      <c r="CH65" s="40"/>
      <c r="CI65" s="40"/>
      <c r="CJ65" s="40"/>
      <c r="CK65" s="40"/>
      <c r="CL65" s="40"/>
      <c r="CM65" s="40"/>
      <c r="CN65" s="40"/>
      <c r="CO65" s="40"/>
      <c r="CP65" s="40"/>
      <c r="CQ65" s="34"/>
      <c r="CR65" s="34"/>
      <c r="CS65" s="34"/>
      <c r="CT65" s="52">
        <v>47</v>
      </c>
      <c r="CU65" s="52">
        <f>VLOOKUP(47,$DE$8:$DN$78,CV$8,TRUE)</f>
        <v>0</v>
      </c>
      <c r="CV65" s="34"/>
      <c r="CW65" s="34"/>
      <c r="CX65" s="41"/>
      <c r="CY65" s="34"/>
      <c r="CZ65" s="34"/>
      <c r="DA65" s="34"/>
      <c r="DB65" s="34"/>
      <c r="DC65" s="34"/>
      <c r="DD65" s="34"/>
      <c r="DE65" s="40">
        <v>58</v>
      </c>
      <c r="DF65" s="40" t="str">
        <f>'Steel Table'!C63</f>
        <v>WF-500X300x11x15 mm.</v>
      </c>
      <c r="DG65" s="34"/>
      <c r="DH65" s="34"/>
      <c r="DI65" s="41"/>
      <c r="DJ65" s="143"/>
      <c r="DK65" s="40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77:128" ht="15.75" customHeight="1">
      <c r="BY66" s="34"/>
      <c r="BZ66" s="34"/>
      <c r="CA66" s="34"/>
      <c r="CB66" s="34"/>
      <c r="CC66" s="34"/>
      <c r="CD66" s="34"/>
      <c r="CE66" s="40"/>
      <c r="CF66" s="39"/>
      <c r="CG66" s="39"/>
      <c r="CH66" s="40"/>
      <c r="CI66" s="40"/>
      <c r="CJ66" s="40"/>
      <c r="CK66" s="40"/>
      <c r="CL66" s="40"/>
      <c r="CM66" s="40"/>
      <c r="CN66" s="40"/>
      <c r="CO66" s="40"/>
      <c r="CP66" s="40"/>
      <c r="CQ66" s="34"/>
      <c r="CR66" s="34"/>
      <c r="CS66" s="34"/>
      <c r="CT66" s="52">
        <v>48</v>
      </c>
      <c r="CU66" s="52">
        <f>VLOOKUP(48,$DE$8:$DN$78,CV$8,TRUE)</f>
        <v>0</v>
      </c>
      <c r="CV66" s="34"/>
      <c r="CW66" s="34"/>
      <c r="CX66" s="34"/>
      <c r="CY66" s="34"/>
      <c r="CZ66" s="34"/>
      <c r="DA66" s="34"/>
      <c r="DB66" s="34"/>
      <c r="DC66" s="34"/>
      <c r="DD66" s="34"/>
      <c r="DE66" s="40">
        <v>59</v>
      </c>
      <c r="DF66" s="40" t="str">
        <f>'Steel Table'!C64</f>
        <v>WF-500X300x11x18 mm.</v>
      </c>
      <c r="DG66" s="34"/>
      <c r="DH66" s="34"/>
      <c r="DI66" s="41"/>
      <c r="DJ66" s="34"/>
      <c r="DK66" s="40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77:128" ht="15.75" customHeight="1">
      <c r="BY67" s="34"/>
      <c r="BZ67" s="34"/>
      <c r="CA67" s="34"/>
      <c r="CB67" s="34"/>
      <c r="CC67" s="34"/>
      <c r="CD67" s="34"/>
      <c r="CE67" s="40"/>
      <c r="CF67" s="39"/>
      <c r="CG67" s="39"/>
      <c r="CH67" s="40"/>
      <c r="CI67" s="40"/>
      <c r="CJ67" s="40"/>
      <c r="CK67" s="40"/>
      <c r="CL67" s="40"/>
      <c r="CM67" s="40"/>
      <c r="CN67" s="40"/>
      <c r="CO67" s="40"/>
      <c r="CP67" s="40"/>
      <c r="CQ67" s="34"/>
      <c r="CR67" s="34"/>
      <c r="CS67" s="34"/>
      <c r="CT67" s="52">
        <v>49</v>
      </c>
      <c r="CU67" s="52">
        <f>VLOOKUP(49,$DE$8:$DN$78,CV$8,TRUE)</f>
        <v>0</v>
      </c>
      <c r="CV67" s="34"/>
      <c r="CW67" s="34"/>
      <c r="CX67" s="34"/>
      <c r="CY67" s="34"/>
      <c r="CZ67" s="34"/>
      <c r="DA67" s="34"/>
      <c r="DB67" s="34"/>
      <c r="DC67" s="34"/>
      <c r="DD67" s="34"/>
      <c r="DE67" s="40">
        <v>60</v>
      </c>
      <c r="DF67" s="40" t="str">
        <f>'Steel Table'!C65</f>
        <v>WF-500X300x13x21 mm.</v>
      </c>
      <c r="DG67" s="34"/>
      <c r="DH67" s="34"/>
      <c r="DI67" s="41"/>
      <c r="DJ67" s="34"/>
      <c r="DK67" s="40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77:128" ht="15.75" customHeight="1">
      <c r="BY68" s="34"/>
      <c r="BZ68" s="34"/>
      <c r="CA68" s="34"/>
      <c r="CB68" s="34"/>
      <c r="CC68" s="34"/>
      <c r="CD68" s="34"/>
      <c r="CE68" s="40"/>
      <c r="CF68" s="39"/>
      <c r="CG68" s="39"/>
      <c r="CH68" s="40"/>
      <c r="CI68" s="40"/>
      <c r="CJ68" s="40"/>
      <c r="CK68" s="40"/>
      <c r="CL68" s="40"/>
      <c r="CM68" s="40"/>
      <c r="CN68" s="66"/>
      <c r="CO68" s="40"/>
      <c r="CP68" s="40"/>
      <c r="CQ68" s="34"/>
      <c r="CR68" s="34"/>
      <c r="CS68" s="34"/>
      <c r="CT68" s="52">
        <v>50</v>
      </c>
      <c r="CU68" s="52">
        <f>VLOOKUP(50,$DE$8:$DN$78,CV$8,TRUE)</f>
        <v>0</v>
      </c>
      <c r="CV68" s="34"/>
      <c r="CW68" s="34"/>
      <c r="CX68" s="34"/>
      <c r="CY68" s="34"/>
      <c r="CZ68" s="34"/>
      <c r="DA68" s="34"/>
      <c r="DB68" s="34"/>
      <c r="DC68" s="34"/>
      <c r="DD68" s="34"/>
      <c r="DE68" s="40">
        <v>61</v>
      </c>
      <c r="DF68" s="40" t="str">
        <f>'Steel Table'!C66</f>
        <v>WF-600X200x10x15 mm.</v>
      </c>
      <c r="DG68" s="34"/>
      <c r="DH68" s="34"/>
      <c r="DI68" s="41"/>
      <c r="DJ68" s="34"/>
      <c r="DK68" s="40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77:128" ht="15.75" customHeight="1">
      <c r="BY69" s="34"/>
      <c r="BZ69" s="34"/>
      <c r="CA69" s="34"/>
      <c r="CB69" s="34"/>
      <c r="CC69" s="34"/>
      <c r="CD69" s="34"/>
      <c r="CE69" s="40"/>
      <c r="CF69" s="39"/>
      <c r="CG69" s="39"/>
      <c r="CH69" s="40"/>
      <c r="CI69" s="40"/>
      <c r="CJ69" s="40"/>
      <c r="CK69" s="40"/>
      <c r="CL69" s="40"/>
      <c r="CM69" s="40"/>
      <c r="CN69" s="117"/>
      <c r="CO69" s="40"/>
      <c r="CP69" s="40"/>
      <c r="CQ69" s="34"/>
      <c r="CR69" s="34"/>
      <c r="CS69" s="34"/>
      <c r="CT69" s="52">
        <v>51</v>
      </c>
      <c r="CU69" s="52">
        <f>VLOOKUP(51,$DE$8:$DN$78,CV$8,TRUE)</f>
        <v>0</v>
      </c>
      <c r="CV69" s="34"/>
      <c r="CW69" s="34"/>
      <c r="CX69" s="34"/>
      <c r="CY69" s="34"/>
      <c r="CZ69" s="34"/>
      <c r="DA69" s="34"/>
      <c r="DB69" s="34"/>
      <c r="DC69" s="34"/>
      <c r="DD69" s="34"/>
      <c r="DE69" s="40">
        <v>62</v>
      </c>
      <c r="DF69" s="40" t="str">
        <f>'Steel Table'!C67</f>
        <v>WF-600X200x11x17 mm.</v>
      </c>
      <c r="DG69" s="34"/>
      <c r="DH69" s="34"/>
      <c r="DI69" s="41"/>
      <c r="DJ69" s="147"/>
      <c r="DK69" s="40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77:128" ht="15.75" customHeight="1">
      <c r="BY70" s="34"/>
      <c r="BZ70" s="34"/>
      <c r="CA70" s="34"/>
      <c r="CB70" s="34"/>
      <c r="CC70" s="34"/>
      <c r="CD70" s="34"/>
      <c r="CE70" s="40"/>
      <c r="CF70" s="39"/>
      <c r="CG70" s="39"/>
      <c r="CH70" s="40"/>
      <c r="CI70" s="40"/>
      <c r="CJ70" s="40"/>
      <c r="CK70" s="40"/>
      <c r="CL70" s="40"/>
      <c r="CM70" s="40"/>
      <c r="CN70" s="40"/>
      <c r="CO70" s="40"/>
      <c r="CP70" s="40"/>
      <c r="CQ70" s="34"/>
      <c r="CR70" s="34"/>
      <c r="CS70" s="34"/>
      <c r="CT70" s="52">
        <v>52</v>
      </c>
      <c r="CU70" s="52">
        <f>VLOOKUP(52,$DE$8:$DN$78,CV$8,TRUE)</f>
        <v>0</v>
      </c>
      <c r="CV70" s="34"/>
      <c r="CW70" s="34"/>
      <c r="CX70" s="34"/>
      <c r="CY70" s="34"/>
      <c r="CZ70" s="34"/>
      <c r="DA70" s="34"/>
      <c r="DB70" s="34"/>
      <c r="DC70" s="34"/>
      <c r="DD70" s="34"/>
      <c r="DE70" s="40">
        <v>63</v>
      </c>
      <c r="DF70" s="40" t="str">
        <f>'Steel Table'!C68</f>
        <v>WF-600X200x12x20 mm.</v>
      </c>
      <c r="DG70" s="34"/>
      <c r="DH70" s="34"/>
      <c r="DI70" s="41"/>
      <c r="DJ70" s="34"/>
      <c r="DK70" s="40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77:128" ht="15.75" customHeight="1">
      <c r="BY71" s="34"/>
      <c r="BZ71" s="34"/>
      <c r="CA71" s="34"/>
      <c r="CB71" s="34"/>
      <c r="CC71" s="34"/>
      <c r="CD71" s="34"/>
      <c r="CE71" s="40"/>
      <c r="CF71" s="39"/>
      <c r="CG71" s="39"/>
      <c r="CH71" s="40"/>
      <c r="CI71" s="40"/>
      <c r="CJ71" s="40"/>
      <c r="CK71" s="40"/>
      <c r="CL71" s="40"/>
      <c r="CM71" s="40"/>
      <c r="CN71" s="40"/>
      <c r="CO71" s="40"/>
      <c r="CP71" s="40"/>
      <c r="CQ71" s="34"/>
      <c r="CR71" s="34"/>
      <c r="CS71" s="34"/>
      <c r="CT71" s="52">
        <v>53</v>
      </c>
      <c r="CU71" s="52">
        <f>VLOOKUP(53,$DE$8:$DN$78,CV$8,TRUE)</f>
        <v>0</v>
      </c>
      <c r="CV71" s="34"/>
      <c r="CW71" s="34"/>
      <c r="CX71" s="34"/>
      <c r="CY71" s="34"/>
      <c r="CZ71" s="34"/>
      <c r="DA71" s="34"/>
      <c r="DB71" s="34"/>
      <c r="DC71" s="34"/>
      <c r="DD71" s="34"/>
      <c r="DE71" s="40">
        <v>64</v>
      </c>
      <c r="DF71" s="40" t="str">
        <f>'Steel Table'!C69</f>
        <v>WF-600X200x13x23 mm.</v>
      </c>
      <c r="DG71" s="34"/>
      <c r="DH71" s="34"/>
      <c r="DI71" s="41"/>
      <c r="DJ71" s="328"/>
      <c r="DK71" s="40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</row>
    <row r="72" spans="77:128" ht="15.75" customHeight="1">
      <c r="BY72" s="34"/>
      <c r="BZ72" s="34"/>
      <c r="CA72" s="34"/>
      <c r="CB72" s="34"/>
      <c r="CC72" s="34"/>
      <c r="CD72" s="34"/>
      <c r="CE72" s="40"/>
      <c r="CF72" s="39"/>
      <c r="CG72" s="39"/>
      <c r="CH72" s="40"/>
      <c r="CI72" s="40"/>
      <c r="CJ72" s="40"/>
      <c r="CK72" s="40"/>
      <c r="CL72" s="40"/>
      <c r="CM72" s="40"/>
      <c r="CN72" s="40"/>
      <c r="CO72" s="40"/>
      <c r="CP72" s="40"/>
      <c r="CQ72" s="34"/>
      <c r="CR72" s="34"/>
      <c r="CS72" s="34"/>
      <c r="CT72" s="52">
        <v>54</v>
      </c>
      <c r="CU72" s="52">
        <f>VLOOKUP(54,$DE$8:$DN$78,CV$8,TRUE)</f>
        <v>0</v>
      </c>
      <c r="CV72" s="34"/>
      <c r="CW72" s="34"/>
      <c r="CX72" s="34"/>
      <c r="CY72" s="34"/>
      <c r="CZ72" s="34"/>
      <c r="DA72" s="34"/>
      <c r="DB72" s="34"/>
      <c r="DC72" s="34"/>
      <c r="DD72" s="34"/>
      <c r="DE72" s="40">
        <v>65</v>
      </c>
      <c r="DF72" s="40" t="str">
        <f>'Steel Table'!C70</f>
        <v>WF-600X300x12x17 mm.</v>
      </c>
      <c r="DG72" s="34"/>
      <c r="DH72" s="34"/>
      <c r="DI72" s="41"/>
      <c r="DJ72" s="329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</row>
    <row r="73" spans="77:128" ht="15.75" customHeight="1">
      <c r="BY73" s="34"/>
      <c r="BZ73" s="34"/>
      <c r="CA73" s="34"/>
      <c r="CB73" s="34"/>
      <c r="CC73" s="34"/>
      <c r="CD73" s="34"/>
      <c r="CE73" s="40"/>
      <c r="CF73" s="39"/>
      <c r="CG73" s="39"/>
      <c r="CH73" s="40"/>
      <c r="CI73" s="40"/>
      <c r="CJ73" s="40"/>
      <c r="CK73" s="40"/>
      <c r="CL73" s="40"/>
      <c r="CM73" s="40"/>
      <c r="CN73" s="40"/>
      <c r="CO73" s="40"/>
      <c r="CP73" s="40"/>
      <c r="CQ73" s="34"/>
      <c r="CR73" s="34"/>
      <c r="CS73" s="34"/>
      <c r="CT73" s="52">
        <v>55</v>
      </c>
      <c r="CU73" s="52">
        <f>VLOOKUP(55,$DE$8:$DN$78,CV$8,TRUE)</f>
        <v>0</v>
      </c>
      <c r="CV73" s="34"/>
      <c r="CW73" s="34"/>
      <c r="CX73" s="34"/>
      <c r="CY73" s="34"/>
      <c r="CZ73" s="34"/>
      <c r="DA73" s="34"/>
      <c r="DB73" s="34"/>
      <c r="DC73" s="34"/>
      <c r="DD73" s="34"/>
      <c r="DE73" s="40">
        <v>66</v>
      </c>
      <c r="DF73" s="40" t="str">
        <f>'Steel Table'!C71</f>
        <v>WF-600X300x12x20 mm.</v>
      </c>
      <c r="DG73" s="34"/>
      <c r="DH73" s="34"/>
      <c r="DI73" s="41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</row>
    <row r="74" spans="77:128" ht="15.75" customHeight="1">
      <c r="BY74" s="34"/>
      <c r="BZ74" s="34"/>
      <c r="CA74" s="34"/>
      <c r="CB74" s="34"/>
      <c r="CC74" s="34"/>
      <c r="CD74" s="34"/>
      <c r="CE74" s="40"/>
      <c r="CF74" s="39"/>
      <c r="CG74" s="39"/>
      <c r="CH74" s="40"/>
      <c r="CI74" s="40"/>
      <c r="CJ74" s="40"/>
      <c r="CK74" s="40"/>
      <c r="CL74" s="40"/>
      <c r="CM74" s="40"/>
      <c r="CN74" s="40"/>
      <c r="CO74" s="40"/>
      <c r="CP74" s="40"/>
      <c r="CQ74" s="34"/>
      <c r="CR74" s="34"/>
      <c r="CS74" s="34"/>
      <c r="CT74" s="52">
        <v>56</v>
      </c>
      <c r="CU74" s="52">
        <f>VLOOKUP(56,$DE$8:$DN$78,CV$8,TRUE)</f>
        <v>0</v>
      </c>
      <c r="CV74" s="34"/>
      <c r="CW74" s="34"/>
      <c r="CX74" s="34"/>
      <c r="CY74" s="34"/>
      <c r="CZ74" s="34"/>
      <c r="DA74" s="34"/>
      <c r="DB74" s="34"/>
      <c r="DC74" s="34"/>
      <c r="DD74" s="34"/>
      <c r="DE74" s="40">
        <v>67</v>
      </c>
      <c r="DF74" s="40" t="str">
        <f>'Steel Table'!C72</f>
        <v>WF-600X300x14x23 mm.</v>
      </c>
      <c r="DG74" s="34"/>
      <c r="DH74" s="34"/>
      <c r="DI74" s="41"/>
      <c r="DJ74" s="328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</row>
    <row r="75" spans="77:128" ht="15.75" customHeight="1">
      <c r="BY75" s="34"/>
      <c r="BZ75" s="34"/>
      <c r="CA75" s="34"/>
      <c r="CB75" s="34"/>
      <c r="CC75" s="34"/>
      <c r="CD75" s="34"/>
      <c r="CE75" s="40"/>
      <c r="CF75" s="39"/>
      <c r="CG75" s="39"/>
      <c r="CH75" s="40"/>
      <c r="CI75" s="40"/>
      <c r="CJ75" s="40"/>
      <c r="CK75" s="40"/>
      <c r="CL75" s="40"/>
      <c r="CM75" s="40"/>
      <c r="CN75" s="40"/>
      <c r="CO75" s="40"/>
      <c r="CP75" s="40"/>
      <c r="CQ75" s="34"/>
      <c r="CR75" s="34"/>
      <c r="CS75" s="34"/>
      <c r="CT75" s="52">
        <v>57</v>
      </c>
      <c r="CU75" s="52">
        <f>VLOOKUP(57,$DE$8:$DN$78,CV$8,TRUE)</f>
        <v>0</v>
      </c>
      <c r="CV75" s="34"/>
      <c r="CW75" s="34"/>
      <c r="CX75" s="34"/>
      <c r="CY75" s="34"/>
      <c r="CZ75" s="34"/>
      <c r="DA75" s="34"/>
      <c r="DB75" s="34"/>
      <c r="DC75" s="34"/>
      <c r="DD75" s="34"/>
      <c r="DE75" s="40">
        <v>68</v>
      </c>
      <c r="DF75" s="40" t="str">
        <f>'Steel Table'!C73</f>
        <v>WF-700x300x13x20 mm.</v>
      </c>
      <c r="DG75" s="34"/>
      <c r="DH75" s="34"/>
      <c r="DI75" s="41"/>
      <c r="DJ75" s="328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</row>
    <row r="76" spans="77:128" ht="15.75" customHeight="1">
      <c r="BY76" s="34"/>
      <c r="BZ76" s="34"/>
      <c r="CA76" s="34"/>
      <c r="CB76" s="34"/>
      <c r="CC76" s="34"/>
      <c r="CD76" s="34"/>
      <c r="CE76" s="40"/>
      <c r="CF76" s="39"/>
      <c r="CG76" s="39"/>
      <c r="CH76" s="40"/>
      <c r="CI76" s="40"/>
      <c r="CJ76" s="40"/>
      <c r="CK76" s="40"/>
      <c r="CL76" s="40"/>
      <c r="CM76" s="40"/>
      <c r="CN76" s="40"/>
      <c r="CO76" s="40"/>
      <c r="CP76" s="40"/>
      <c r="CQ76" s="34"/>
      <c r="CR76" s="34"/>
      <c r="CS76" s="34"/>
      <c r="CT76" s="52">
        <v>58</v>
      </c>
      <c r="CU76" s="52">
        <f>VLOOKUP(58,$DE$8:$DN$78,CV$8,TRUE)</f>
        <v>0</v>
      </c>
      <c r="CV76" s="34"/>
      <c r="CW76" s="34"/>
      <c r="CX76" s="34"/>
      <c r="CY76" s="34"/>
      <c r="CZ76" s="34"/>
      <c r="DA76" s="34"/>
      <c r="DB76" s="34"/>
      <c r="DC76" s="34"/>
      <c r="DD76" s="34"/>
      <c r="DE76" s="40">
        <v>69</v>
      </c>
      <c r="DF76" s="40" t="str">
        <f>'Steel Table'!C74</f>
        <v>WF-700x300x13x24 mm.</v>
      </c>
      <c r="DG76" s="34"/>
      <c r="DH76" s="34"/>
      <c r="DI76" s="41"/>
      <c r="DJ76" s="147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</row>
    <row r="77" spans="77:128" ht="15.75" customHeight="1">
      <c r="BY77" s="34"/>
      <c r="BZ77" s="34"/>
      <c r="CA77" s="34"/>
      <c r="CB77" s="34"/>
      <c r="CC77" s="34"/>
      <c r="CD77" s="34"/>
      <c r="CE77" s="40"/>
      <c r="CF77" s="39"/>
      <c r="CG77" s="39"/>
      <c r="CH77" s="40"/>
      <c r="CI77" s="40"/>
      <c r="CJ77" s="40"/>
      <c r="CK77" s="40"/>
      <c r="CL77" s="40"/>
      <c r="CM77" s="40"/>
      <c r="CN77" s="40"/>
      <c r="CO77" s="40"/>
      <c r="CP77" s="40"/>
      <c r="CQ77" s="34"/>
      <c r="CR77" s="34"/>
      <c r="CS77" s="34"/>
      <c r="CT77" s="52">
        <v>59</v>
      </c>
      <c r="CU77" s="52">
        <f>VLOOKUP(59,$DE$8:$DN$78,CV$8,TRUE)</f>
        <v>0</v>
      </c>
      <c r="CV77" s="34"/>
      <c r="CW77" s="34"/>
      <c r="CX77" s="34"/>
      <c r="CY77" s="34"/>
      <c r="CZ77" s="34"/>
      <c r="DA77" s="34"/>
      <c r="DB77" s="34"/>
      <c r="DC77" s="34"/>
      <c r="DD77" s="34"/>
      <c r="DE77" s="40">
        <v>70</v>
      </c>
      <c r="DF77" s="40" t="str">
        <f>'Steel Table'!C75</f>
        <v>WF-800x300x14x22 mm.</v>
      </c>
      <c r="DG77" s="34"/>
      <c r="DH77" s="34"/>
      <c r="DI77" s="41"/>
      <c r="DJ77" s="147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</row>
    <row r="78" spans="77:128" ht="15.75" customHeight="1">
      <c r="BY78" s="34"/>
      <c r="BZ78" s="34"/>
      <c r="CA78" s="34"/>
      <c r="CB78" s="34"/>
      <c r="CC78" s="34"/>
      <c r="CD78" s="34"/>
      <c r="CE78" s="40"/>
      <c r="CF78" s="39"/>
      <c r="CG78" s="39"/>
      <c r="CH78" s="40"/>
      <c r="CI78" s="40"/>
      <c r="CJ78" s="40"/>
      <c r="CK78" s="40"/>
      <c r="CL78" s="40"/>
      <c r="CM78" s="40"/>
      <c r="CN78" s="40"/>
      <c r="CO78" s="40"/>
      <c r="CP78" s="40"/>
      <c r="CQ78" s="34"/>
      <c r="CR78" s="34"/>
      <c r="CS78" s="34"/>
      <c r="CT78" s="52">
        <v>60</v>
      </c>
      <c r="CU78" s="52">
        <f>VLOOKUP(60,$DE$8:$DN$78,CV$8,TRUE)</f>
        <v>0</v>
      </c>
      <c r="CV78" s="34"/>
      <c r="CW78" s="34"/>
      <c r="CX78" s="34"/>
      <c r="CY78" s="34"/>
      <c r="CZ78" s="34"/>
      <c r="DA78" s="34"/>
      <c r="DB78" s="34"/>
      <c r="DC78" s="34"/>
      <c r="DD78" s="34"/>
      <c r="DE78" s="40">
        <v>71</v>
      </c>
      <c r="DF78" s="40" t="str">
        <f>'Steel Table'!C76</f>
        <v>WF-800x300x14x26 mm.</v>
      </c>
      <c r="DG78" s="34"/>
      <c r="DH78" s="34"/>
      <c r="DI78" s="41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</row>
    <row r="79" spans="77:128" ht="15.75" customHeight="1">
      <c r="BY79" s="34"/>
      <c r="BZ79" s="34"/>
      <c r="CA79" s="34"/>
      <c r="CB79" s="34"/>
      <c r="CC79" s="34"/>
      <c r="CD79" s="34"/>
      <c r="CE79" s="40"/>
      <c r="CF79" s="39"/>
      <c r="CG79" s="39"/>
      <c r="CH79" s="40"/>
      <c r="CI79" s="40"/>
      <c r="CJ79" s="40"/>
      <c r="CK79" s="40"/>
      <c r="CL79" s="40"/>
      <c r="CM79" s="40"/>
      <c r="CN79" s="40"/>
      <c r="CO79" s="40"/>
      <c r="CP79" s="40"/>
      <c r="CQ79" s="34"/>
      <c r="CR79" s="34"/>
      <c r="CS79" s="34"/>
      <c r="CT79" s="52">
        <v>61</v>
      </c>
      <c r="CU79" s="52">
        <f>VLOOKUP(61,$DE$8:$DN$78,CV$8,TRUE)</f>
        <v>0</v>
      </c>
      <c r="CV79" s="34"/>
      <c r="CW79" s="34"/>
      <c r="CX79" s="34"/>
      <c r="CY79" s="34"/>
      <c r="CZ79" s="34"/>
      <c r="DA79" s="34"/>
      <c r="DB79" s="34"/>
      <c r="DC79" s="34"/>
      <c r="DD79" s="34"/>
      <c r="DE79" s="40">
        <v>72</v>
      </c>
      <c r="DF79" s="40" t="str">
        <f>'Steel Table'!C77</f>
        <v>WF-900x300x16x28 mm.</v>
      </c>
      <c r="DG79" s="34"/>
      <c r="DH79" s="34"/>
      <c r="DI79" s="41"/>
      <c r="DJ79" s="147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</row>
    <row r="80" spans="77:128" ht="15.75" customHeight="1">
      <c r="BY80" s="34"/>
      <c r="BZ80" s="34"/>
      <c r="CA80" s="34"/>
      <c r="CB80" s="34"/>
      <c r="CC80" s="34"/>
      <c r="CD80" s="34"/>
      <c r="CE80" s="40"/>
      <c r="CF80" s="39"/>
      <c r="CG80" s="39"/>
      <c r="CH80" s="40"/>
      <c r="CI80" s="40"/>
      <c r="CJ80" s="40"/>
      <c r="CK80" s="40"/>
      <c r="CL80" s="40"/>
      <c r="CM80" s="40"/>
      <c r="CN80" s="40"/>
      <c r="CO80" s="40"/>
      <c r="CP80" s="40"/>
      <c r="CQ80" s="34"/>
      <c r="CR80" s="34"/>
      <c r="CS80" s="34"/>
      <c r="CT80" s="52">
        <v>62</v>
      </c>
      <c r="CU80" s="52">
        <f>VLOOKUP(62,$DE$8:$DN$78,CV$8,TRUE)</f>
        <v>0</v>
      </c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40"/>
      <c r="DG80" s="34"/>
      <c r="DH80" s="34"/>
      <c r="DI80" s="34"/>
      <c r="DJ80" s="147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</row>
    <row r="81" spans="77:128" ht="15.75" customHeight="1">
      <c r="BY81" s="34"/>
      <c r="BZ81" s="34"/>
      <c r="CA81" s="34"/>
      <c r="CB81" s="34"/>
      <c r="CC81" s="34"/>
      <c r="CD81" s="34"/>
      <c r="CE81" s="40"/>
      <c r="CF81" s="39"/>
      <c r="CG81" s="39"/>
      <c r="CH81" s="40"/>
      <c r="CI81" s="40"/>
      <c r="CJ81" s="40"/>
      <c r="CK81" s="40"/>
      <c r="CL81" s="40"/>
      <c r="CM81" s="40"/>
      <c r="CN81" s="40"/>
      <c r="CO81" s="40"/>
      <c r="CP81" s="40"/>
      <c r="CQ81" s="34"/>
      <c r="CR81" s="34"/>
      <c r="CS81" s="34"/>
      <c r="CT81" s="52">
        <v>63</v>
      </c>
      <c r="CU81" s="52">
        <f>VLOOKUP(63,$DE$8:$DN$78,CV$8,TRUE)</f>
        <v>0</v>
      </c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40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</row>
    <row r="82" spans="77:128" ht="15.75" customHeight="1">
      <c r="BY82" s="34"/>
      <c r="BZ82" s="34"/>
      <c r="CA82" s="34"/>
      <c r="CB82" s="34"/>
      <c r="CC82" s="34"/>
      <c r="CD82" s="34"/>
      <c r="CE82" s="40"/>
      <c r="CF82" s="39"/>
      <c r="CG82" s="39"/>
      <c r="CH82" s="40"/>
      <c r="CI82" s="40"/>
      <c r="CJ82" s="40"/>
      <c r="CK82" s="40"/>
      <c r="CL82" s="40"/>
      <c r="CM82" s="40"/>
      <c r="CN82" s="40"/>
      <c r="CO82" s="40"/>
      <c r="CP82" s="40"/>
      <c r="CQ82" s="34"/>
      <c r="CR82" s="34"/>
      <c r="CS82" s="34"/>
      <c r="CT82" s="52">
        <v>64</v>
      </c>
      <c r="CU82" s="52">
        <f>VLOOKUP(64,$DE$8:$DN$78,CV$8,TRUE)</f>
        <v>0</v>
      </c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40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</row>
    <row r="83" spans="77:128" ht="15.75" customHeight="1">
      <c r="BY83" s="34"/>
      <c r="BZ83" s="34"/>
      <c r="CA83" s="34"/>
      <c r="CB83" s="34"/>
      <c r="CC83" s="34"/>
      <c r="CD83" s="34"/>
      <c r="CE83" s="40"/>
      <c r="CF83" s="39"/>
      <c r="CG83" s="39"/>
      <c r="CH83" s="40"/>
      <c r="CI83" s="40"/>
      <c r="CJ83" s="40"/>
      <c r="CK83" s="40"/>
      <c r="CL83" s="40"/>
      <c r="CM83" s="40"/>
      <c r="CN83" s="40"/>
      <c r="CO83" s="40"/>
      <c r="CP83" s="40"/>
      <c r="CQ83" s="34"/>
      <c r="CR83" s="34"/>
      <c r="CS83" s="34"/>
      <c r="CT83" s="52">
        <v>65</v>
      </c>
      <c r="CU83" s="52">
        <f>VLOOKUP(65,$DE$8:$DN$78,CV$8,TRUE)</f>
        <v>0</v>
      </c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</row>
    <row r="84" spans="77:128" ht="15.75" customHeight="1">
      <c r="BY84" s="34"/>
      <c r="BZ84" s="34"/>
      <c r="CA84" s="34"/>
      <c r="CB84" s="34"/>
      <c r="CC84" s="34"/>
      <c r="CD84" s="34"/>
      <c r="CE84" s="40"/>
      <c r="CF84" s="39"/>
      <c r="CG84" s="39"/>
      <c r="CH84" s="40"/>
      <c r="CI84" s="40"/>
      <c r="CJ84" s="40"/>
      <c r="CK84" s="40"/>
      <c r="CL84" s="40"/>
      <c r="CM84" s="40"/>
      <c r="CN84" s="40"/>
      <c r="CO84" s="40"/>
      <c r="CP84" s="40"/>
      <c r="CQ84" s="34"/>
      <c r="CR84" s="34"/>
      <c r="CS84" s="34"/>
      <c r="CT84" s="52">
        <v>66</v>
      </c>
      <c r="CU84" s="52">
        <f>VLOOKUP(66,$DE$8:$DN$78,CV$8,TRUE)</f>
        <v>0</v>
      </c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</row>
    <row r="85" spans="77:128" ht="15.75" customHeight="1">
      <c r="BY85" s="34"/>
      <c r="BZ85" s="34"/>
      <c r="CA85" s="34"/>
      <c r="CB85" s="34"/>
      <c r="CC85" s="34"/>
      <c r="CD85" s="34"/>
      <c r="CE85" s="40"/>
      <c r="CF85" s="39"/>
      <c r="CG85" s="39"/>
      <c r="CH85" s="40"/>
      <c r="CI85" s="40"/>
      <c r="CJ85" s="40"/>
      <c r="CK85" s="40"/>
      <c r="CL85" s="40"/>
      <c r="CM85" s="40"/>
      <c r="CN85" s="40"/>
      <c r="CO85" s="40"/>
      <c r="CP85" s="40"/>
      <c r="CQ85" s="34"/>
      <c r="CR85" s="34"/>
      <c r="CS85" s="34"/>
      <c r="CT85" s="52">
        <v>67</v>
      </c>
      <c r="CU85" s="52">
        <f>VLOOKUP(67,$DE$8:$DN$78,CV$8,TRUE)</f>
        <v>0</v>
      </c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</row>
    <row r="86" spans="77:128" ht="15.75" customHeight="1">
      <c r="BY86" s="34"/>
      <c r="BZ86" s="34"/>
      <c r="CA86" s="34"/>
      <c r="CB86" s="34"/>
      <c r="CC86" s="34"/>
      <c r="CD86" s="34"/>
      <c r="CE86" s="40"/>
      <c r="CF86" s="39"/>
      <c r="CG86" s="39"/>
      <c r="CH86" s="40"/>
      <c r="CI86" s="40"/>
      <c r="CJ86" s="40"/>
      <c r="CK86" s="40"/>
      <c r="CL86" s="40"/>
      <c r="CM86" s="40"/>
      <c r="CN86" s="40"/>
      <c r="CO86" s="40"/>
      <c r="CP86" s="40"/>
      <c r="CQ86" s="34"/>
      <c r="CR86" s="34"/>
      <c r="CS86" s="34"/>
      <c r="CT86" s="52">
        <v>68</v>
      </c>
      <c r="CU86" s="52">
        <f>VLOOKUP(68,$DE$8:$DN$78,CV$8,TRUE)</f>
        <v>0</v>
      </c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</row>
    <row r="87" spans="77:128" ht="15.75" customHeight="1">
      <c r="BY87" s="34"/>
      <c r="BZ87" s="34"/>
      <c r="CA87" s="34"/>
      <c r="CB87" s="34"/>
      <c r="CC87" s="34"/>
      <c r="CD87" s="34"/>
      <c r="CE87" s="40"/>
      <c r="CF87" s="39"/>
      <c r="CG87" s="39"/>
      <c r="CH87" s="40"/>
      <c r="CI87" s="40"/>
      <c r="CJ87" s="40"/>
      <c r="CK87" s="40"/>
      <c r="CL87" s="40"/>
      <c r="CM87" s="40"/>
      <c r="CN87" s="40"/>
      <c r="CO87" s="40"/>
      <c r="CP87" s="40"/>
      <c r="CQ87" s="34"/>
      <c r="CR87" s="34"/>
      <c r="CS87" s="34"/>
      <c r="CT87" s="52">
        <v>69</v>
      </c>
      <c r="CU87" s="52">
        <f>VLOOKUP(69,$DE$8:$DN$78,CV$8,TRUE)</f>
        <v>0</v>
      </c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</row>
    <row r="88" spans="77:128" ht="15.75" customHeight="1">
      <c r="BY88" s="34"/>
      <c r="BZ88" s="34"/>
      <c r="CA88" s="34"/>
      <c r="CB88" s="34"/>
      <c r="CC88" s="34"/>
      <c r="CD88" s="34"/>
      <c r="CE88" s="40"/>
      <c r="CF88" s="39"/>
      <c r="CG88" s="39"/>
      <c r="CH88" s="40"/>
      <c r="CI88" s="40"/>
      <c r="CJ88" s="40"/>
      <c r="CK88" s="40"/>
      <c r="CL88" s="40"/>
      <c r="CM88" s="40"/>
      <c r="CN88" s="40"/>
      <c r="CO88" s="40"/>
      <c r="CP88" s="40"/>
      <c r="CQ88" s="34"/>
      <c r="CR88" s="34"/>
      <c r="CS88" s="34"/>
      <c r="CT88" s="52">
        <v>70</v>
      </c>
      <c r="CU88" s="52">
        <f>VLOOKUP(70,$DE$8:$DN$78,CV$8,TRUE)</f>
        <v>0</v>
      </c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</row>
    <row r="89" spans="77:128" ht="15.75" customHeight="1">
      <c r="BY89" s="34"/>
      <c r="BZ89" s="34"/>
      <c r="CA89" s="34"/>
      <c r="CB89" s="34"/>
      <c r="CC89" s="34"/>
      <c r="CD89" s="34"/>
      <c r="CE89" s="40"/>
      <c r="CF89" s="39"/>
      <c r="CG89" s="39"/>
      <c r="CH89" s="40"/>
      <c r="CI89" s="40"/>
      <c r="CJ89" s="40"/>
      <c r="CK89" s="40"/>
      <c r="CL89" s="40"/>
      <c r="CM89" s="40"/>
      <c r="CN89" s="40"/>
      <c r="CO89" s="40"/>
      <c r="CP89" s="40"/>
      <c r="CQ89" s="34"/>
      <c r="CR89" s="34"/>
      <c r="CS89" s="34"/>
      <c r="CT89" s="52">
        <v>71</v>
      </c>
      <c r="CU89" s="52">
        <f>VLOOKUP(71,$DE$8:$DN$78,CV$8,TRUE)</f>
        <v>0</v>
      </c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</row>
    <row r="90" spans="98:99" ht="15.75" customHeight="1">
      <c r="CT90" s="52">
        <v>72</v>
      </c>
      <c r="CU90" s="52">
        <f>VLOOKUP(72,$DE$8:$DN$78,CV$8,TRUE)</f>
        <v>0</v>
      </c>
    </row>
    <row r="91" spans="98:99" ht="15.75" customHeight="1">
      <c r="CT91" s="52"/>
      <c r="CU91" s="52"/>
    </row>
    <row r="92" spans="98:99" ht="15.75" customHeight="1">
      <c r="CT92" s="52"/>
      <c r="CU92" s="52"/>
    </row>
    <row r="93" spans="98:99" ht="15.75" customHeight="1">
      <c r="CT93" s="52"/>
      <c r="CU93" s="52"/>
    </row>
    <row r="94" spans="98:99" ht="15.75" customHeight="1">
      <c r="CT94" s="52"/>
      <c r="CU94" s="52"/>
    </row>
  </sheetData>
  <sheetProtection password="DA3E" sheet="1"/>
  <mergeCells count="77">
    <mergeCell ref="AC9:AE9"/>
    <mergeCell ref="AC10:AE10"/>
    <mergeCell ref="AC31:AH31"/>
    <mergeCell ref="X14:Z14"/>
    <mergeCell ref="X15:Z15"/>
    <mergeCell ref="X16:Z16"/>
    <mergeCell ref="AA16:AB16"/>
    <mergeCell ref="N26:P26"/>
    <mergeCell ref="N27:P27"/>
    <mergeCell ref="N22:P22"/>
    <mergeCell ref="N23:P23"/>
    <mergeCell ref="N24:P24"/>
    <mergeCell ref="N25:P25"/>
    <mergeCell ref="N20:P20"/>
    <mergeCell ref="N21:P21"/>
    <mergeCell ref="N12:P12"/>
    <mergeCell ref="N13:P13"/>
    <mergeCell ref="N18:P18"/>
    <mergeCell ref="N19:P19"/>
    <mergeCell ref="N14:P14"/>
    <mergeCell ref="N15:P15"/>
    <mergeCell ref="N16:P16"/>
    <mergeCell ref="N17:P17"/>
    <mergeCell ref="CL7:CM7"/>
    <mergeCell ref="N9:P9"/>
    <mergeCell ref="N10:P10"/>
    <mergeCell ref="N11:P11"/>
    <mergeCell ref="CK11:CL11"/>
    <mergeCell ref="CM11:CN11"/>
    <mergeCell ref="S9:W10"/>
    <mergeCell ref="S11:W11"/>
    <mergeCell ref="CI11:CJ11"/>
    <mergeCell ref="X8:X10"/>
    <mergeCell ref="E3:U3"/>
    <mergeCell ref="E4:U4"/>
    <mergeCell ref="E5:U5"/>
    <mergeCell ref="B7:AA7"/>
    <mergeCell ref="V4:X4"/>
    <mergeCell ref="V3:X3"/>
    <mergeCell ref="Y3:AA3"/>
    <mergeCell ref="Y4:AA4"/>
    <mergeCell ref="Y5:AA5"/>
    <mergeCell ref="V5:X5"/>
    <mergeCell ref="BW27:CB27"/>
    <mergeCell ref="F33:K33"/>
    <mergeCell ref="N33:O33"/>
    <mergeCell ref="T33:U33"/>
    <mergeCell ref="P33:Q33"/>
    <mergeCell ref="V33:W33"/>
    <mergeCell ref="N28:P28"/>
    <mergeCell ref="N29:P29"/>
    <mergeCell ref="N30:P30"/>
    <mergeCell ref="N31:P31"/>
    <mergeCell ref="N43:P43"/>
    <mergeCell ref="Q43:R43"/>
    <mergeCell ref="N34:O34"/>
    <mergeCell ref="T34:U34"/>
    <mergeCell ref="P34:Q34"/>
    <mergeCell ref="Q37:Q38"/>
    <mergeCell ref="O37:O38"/>
    <mergeCell ref="N42:P42"/>
    <mergeCell ref="Q42:R42"/>
    <mergeCell ref="AH32:AJ32"/>
    <mergeCell ref="AC34:AG34"/>
    <mergeCell ref="N45:P45"/>
    <mergeCell ref="R45:T45"/>
    <mergeCell ref="N44:P44"/>
    <mergeCell ref="R44:T44"/>
    <mergeCell ref="N39:P39"/>
    <mergeCell ref="R39:T39"/>
    <mergeCell ref="R37:T38"/>
    <mergeCell ref="U39:V39"/>
    <mergeCell ref="V49:AA49"/>
    <mergeCell ref="V50:AA50"/>
    <mergeCell ref="U45:V45"/>
    <mergeCell ref="AC32:AG32"/>
    <mergeCell ref="V34:W34"/>
  </mergeCells>
  <conditionalFormatting sqref="N47:O47">
    <cfRule type="expression" priority="1" dxfId="0" stopIfTrue="1">
      <formula>IF(K47&lt;27,"Ok.")</formula>
    </cfRule>
    <cfRule type="expression" priority="2" dxfId="1" stopIfTrue="1">
      <formula>IF(K47&gt;27,"Not Ok.")</formula>
    </cfRule>
  </conditionalFormatting>
  <conditionalFormatting sqref="J39:K39 I37:K37">
    <cfRule type="cellIs" priority="3" dxfId="0" operator="greaterThan" stopIfTrue="1">
      <formula>$F$37</formula>
    </cfRule>
  </conditionalFormatting>
  <conditionalFormatting sqref="L37:O37 L39:M42 M43 N40:O41">
    <cfRule type="cellIs" priority="4" dxfId="1" operator="lessThan" stopIfTrue="1">
      <formula>$CF$18</formula>
    </cfRule>
  </conditionalFormatting>
  <conditionalFormatting sqref="I40:K42">
    <cfRule type="cellIs" priority="5" dxfId="0" operator="greaterThan" stopIfTrue="1">
      <formula>$F$40</formula>
    </cfRule>
  </conditionalFormatting>
  <conditionalFormatting sqref="Y10:AB10">
    <cfRule type="expression" priority="6" dxfId="1" stopIfTrue="1">
      <formula>IF($V$10&lt;$Y$10,1)</formula>
    </cfRule>
  </conditionalFormatting>
  <conditionalFormatting sqref="V12:W12 AA12:AB12">
    <cfRule type="expression" priority="7" dxfId="1" stopIfTrue="1">
      <formula>IF($V$12&lt;$Y$12,1)</formula>
    </cfRule>
  </conditionalFormatting>
  <conditionalFormatting sqref="AA14:AB14">
    <cfRule type="expression" priority="8" dxfId="1" stopIfTrue="1">
      <formula>IF($Y$14&gt;$V$14,1)</formula>
    </cfRule>
  </conditionalFormatting>
  <conditionalFormatting sqref="N39:P39">
    <cfRule type="cellIs" priority="9" dxfId="1" operator="greaterThan" stopIfTrue="1">
      <formula>$R$39</formula>
    </cfRule>
  </conditionalFormatting>
  <conditionalFormatting sqref="U39:V39">
    <cfRule type="expression" priority="10" dxfId="1" stopIfTrue="1">
      <formula>IF($N$39&gt;$R$39,1)</formula>
    </cfRule>
  </conditionalFormatting>
  <conditionalFormatting sqref="N45:P45">
    <cfRule type="cellIs" priority="11" dxfId="1" operator="greaterThan" stopIfTrue="1">
      <formula>$R$45</formula>
    </cfRule>
  </conditionalFormatting>
  <conditionalFormatting sqref="U45:V45">
    <cfRule type="expression" priority="12" dxfId="1" stopIfTrue="1">
      <formula>IF($N$45&gt;$R$45,1)</formula>
    </cfRule>
  </conditionalFormatting>
  <conditionalFormatting sqref="F33:K33 T33:U34 N33:O34">
    <cfRule type="expression" priority="13" dxfId="1" stopIfTrue="1">
      <formula>IF($N$33&lt;$N$31,1)</formula>
    </cfRule>
  </conditionalFormatting>
  <dataValidations count="9">
    <dataValidation type="list" allowBlank="1" showInputMessage="1" showErrorMessage="1" sqref="K18:L18">
      <formula1>"Simply,One End Continuous,Both Ends Continuous,Cantilever"</formula1>
    </dataValidation>
    <dataValidation operator="equal" allowBlank="1" showErrorMessage="1" errorTitle="Chang Beam Section" error="หน่วยแรงเฉือนมากเกินกว่าหน่วยแรงที่ยอมให้&#10;ท่านควรแก้ไขหน้าตัดคานใหม่" sqref="CX57"/>
    <dataValidation type="list" allowBlank="1" showInputMessage="1" sqref="N14:P14">
      <formula1>"30,40,50"</formula1>
    </dataValidation>
    <dataValidation type="list" allowBlank="1" showInputMessage="1" sqref="N15:P15">
      <formula1>"5,12,14,17,50"</formula1>
    </dataValidation>
    <dataValidation type="list" allowBlank="1" showInputMessage="1" sqref="N17:P17">
      <formula1>"50,80,120,160"</formula1>
    </dataValidation>
    <dataValidation type="list" allowBlank="1" showInputMessage="1" showErrorMessage="1" sqref="N9:P9">
      <formula1>"2400,3000,4000,5000"</formula1>
    </dataValidation>
    <dataValidation type="list" allowBlank="1" showInputMessage="1" showErrorMessage="1" sqref="AC32">
      <formula1>"Wide Flange,I-Beam,C-Channels,Square Tube,Rectangular Tube,Steel Pipe,Light Lip Channels"</formula1>
    </dataValidation>
    <dataValidation type="list" allowBlank="1" showInputMessage="1" showErrorMessage="1" sqref="AC34:AG34">
      <formula1>"One Channel,Two Channels"</formula1>
    </dataValidation>
    <dataValidation type="list" allowBlank="1" showInputMessage="1" showErrorMessage="1" sqref="AH32:AJ32">
      <formula1>"Vertical,Horizontal"</formula1>
    </dataValidation>
  </dataValidations>
  <printOptions/>
  <pageMargins left="0.35433070866141736" right="0.1968503937007874" top="0.3937007874015748" bottom="0.5905511811023623" header="0.9055118110236221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X94"/>
  <sheetViews>
    <sheetView workbookViewId="0" topLeftCell="A1">
      <selection activeCell="N24" sqref="N24:P24"/>
    </sheetView>
  </sheetViews>
  <sheetFormatPr defaultColWidth="3.57421875" defaultRowHeight="15.75" customHeight="1"/>
  <cols>
    <col min="1" max="11" width="3.57421875" style="31" customWidth="1"/>
    <col min="12" max="12" width="3.57421875" style="37" customWidth="1"/>
    <col min="13" max="18" width="3.57421875" style="31" customWidth="1"/>
    <col min="19" max="19" width="4.00390625" style="31" bestFit="1" customWidth="1"/>
    <col min="20" max="76" width="3.57421875" style="31" customWidth="1"/>
    <col min="77" max="77" width="8.140625" style="31" bestFit="1" customWidth="1"/>
    <col min="78" max="79" width="3.57421875" style="31" customWidth="1"/>
    <col min="80" max="80" width="11.00390625" style="31" bestFit="1" customWidth="1"/>
    <col min="81" max="81" width="3.7109375" style="31" bestFit="1" customWidth="1"/>
    <col min="82" max="82" width="4.7109375" style="31" customWidth="1"/>
    <col min="83" max="83" width="18.140625" style="35" bestFit="1" customWidth="1"/>
    <col min="84" max="84" width="9.57421875" style="36" customWidth="1"/>
    <col min="85" max="85" width="9.7109375" style="36" customWidth="1"/>
    <col min="86" max="94" width="9.7109375" style="35" customWidth="1"/>
    <col min="95" max="95" width="18.140625" style="31" bestFit="1" customWidth="1"/>
    <col min="96" max="97" width="9.7109375" style="31" customWidth="1"/>
    <col min="98" max="98" width="4.7109375" style="31" customWidth="1"/>
    <col min="99" max="99" width="18.421875" style="31" bestFit="1" customWidth="1"/>
    <col min="100" max="100" width="6.28125" style="31" bestFit="1" customWidth="1"/>
    <col min="101" max="101" width="14.7109375" style="31" bestFit="1" customWidth="1"/>
    <col min="102" max="102" width="6.28125" style="31" bestFit="1" customWidth="1"/>
    <col min="103" max="108" width="4.7109375" style="31" customWidth="1"/>
    <col min="109" max="109" width="10.7109375" style="31" customWidth="1"/>
    <col min="110" max="110" width="21.00390625" style="31" bestFit="1" customWidth="1"/>
    <col min="111" max="111" width="20.57421875" style="31" bestFit="1" customWidth="1"/>
    <col min="112" max="112" width="19.57421875" style="31" bestFit="1" customWidth="1"/>
    <col min="113" max="113" width="18.8515625" style="31" bestFit="1" customWidth="1"/>
    <col min="114" max="114" width="19.140625" style="31" bestFit="1" customWidth="1"/>
    <col min="115" max="115" width="17.28125" style="31" bestFit="1" customWidth="1"/>
    <col min="116" max="116" width="18.421875" style="31" bestFit="1" customWidth="1"/>
    <col min="117" max="117" width="21.421875" style="31" bestFit="1" customWidth="1"/>
    <col min="118" max="118" width="20.140625" style="31" bestFit="1" customWidth="1"/>
    <col min="119" max="134" width="4.7109375" style="31" customWidth="1"/>
    <col min="135" max="16384" width="3.57421875" style="31" customWidth="1"/>
  </cols>
  <sheetData>
    <row r="1" spans="2:41" ht="15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49">
        <f>IF(AG10="","",AG10)</f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29:41" ht="9.75" customHeight="1"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</row>
    <row r="3" spans="2:128" ht="15.75" customHeight="1">
      <c r="B3" s="38" t="s">
        <v>109</v>
      </c>
      <c r="E3" s="375" t="str">
        <f>Cover!A6</f>
        <v>อาคารพาณิชย์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7"/>
      <c r="V3" s="380" t="s">
        <v>112</v>
      </c>
      <c r="W3" s="380"/>
      <c r="X3" s="381"/>
      <c r="Y3" s="382">
        <f ca="1">TODAY()</f>
        <v>40280</v>
      </c>
      <c r="Z3" s="364"/>
      <c r="AA3" s="365"/>
      <c r="AC3" s="149" t="s">
        <v>2</v>
      </c>
      <c r="AD3" s="150"/>
      <c r="AE3" s="150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BY3" s="34"/>
      <c r="BZ3" s="34"/>
      <c r="CA3" s="34"/>
      <c r="CB3" s="34"/>
      <c r="CC3" s="34"/>
      <c r="CD3" s="34"/>
      <c r="CE3" s="40"/>
      <c r="CF3" s="39"/>
      <c r="CG3" s="39"/>
      <c r="CH3" s="40"/>
      <c r="CI3" s="40"/>
      <c r="CJ3" s="40"/>
      <c r="CK3" s="40"/>
      <c r="CL3" s="40"/>
      <c r="CM3" s="40"/>
      <c r="CN3" s="40"/>
      <c r="CO3" s="40"/>
      <c r="CP3" s="40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</row>
    <row r="4" spans="2:128" ht="15.75" customHeight="1">
      <c r="B4" s="38" t="s">
        <v>110</v>
      </c>
      <c r="E4" s="375" t="str">
        <f>Cover!D8</f>
        <v>คุณทดลอง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9" t="s">
        <v>533</v>
      </c>
      <c r="W4" s="380"/>
      <c r="X4" s="380"/>
      <c r="Y4" s="366"/>
      <c r="Z4" s="367"/>
      <c r="AA4" s="368"/>
      <c r="AC4" s="151" t="s">
        <v>3</v>
      </c>
      <c r="AD4" s="150"/>
      <c r="AE4" s="150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BY4" s="34"/>
      <c r="BZ4" s="34"/>
      <c r="CA4" s="34"/>
      <c r="CB4" s="34"/>
      <c r="CC4" s="34"/>
      <c r="CD4" s="34"/>
      <c r="CE4" s="40"/>
      <c r="CF4" s="39"/>
      <c r="CG4" s="39"/>
      <c r="CH4" s="40"/>
      <c r="CI4" s="40"/>
      <c r="CJ4" s="40"/>
      <c r="CK4" s="40"/>
      <c r="CL4" s="40"/>
      <c r="CM4" s="40"/>
      <c r="CN4" s="40"/>
      <c r="CO4" s="40"/>
      <c r="CP4" s="40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</row>
    <row r="5" spans="2:128" ht="15.75" customHeight="1">
      <c r="B5" s="38" t="s">
        <v>111</v>
      </c>
      <c r="E5" s="375" t="str">
        <f>Cover!D9</f>
        <v>กทม.</v>
      </c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7"/>
      <c r="V5" s="380"/>
      <c r="W5" s="380"/>
      <c r="X5" s="380"/>
      <c r="Y5" s="363"/>
      <c r="Z5" s="363"/>
      <c r="AA5" s="363"/>
      <c r="AC5" s="148"/>
      <c r="AD5" s="148"/>
      <c r="AE5" s="148"/>
      <c r="AF5" s="148"/>
      <c r="AG5" s="148"/>
      <c r="AH5" s="150"/>
      <c r="AI5" s="148"/>
      <c r="AJ5" s="148"/>
      <c r="AK5" s="148"/>
      <c r="AL5" s="148"/>
      <c r="AM5" s="148"/>
      <c r="AN5" s="148"/>
      <c r="AO5" s="148"/>
      <c r="BY5" s="34"/>
      <c r="BZ5" s="34"/>
      <c r="CA5" s="34"/>
      <c r="CB5" s="34"/>
      <c r="CC5" s="34"/>
      <c r="CD5" s="34"/>
      <c r="CE5" s="40"/>
      <c r="CF5" s="39"/>
      <c r="CG5" s="39"/>
      <c r="CH5" s="40"/>
      <c r="CI5" s="40"/>
      <c r="CJ5" s="40"/>
      <c r="CK5" s="40"/>
      <c r="CL5" s="40"/>
      <c r="CM5" s="40"/>
      <c r="CN5" s="40"/>
      <c r="CO5" s="40"/>
      <c r="CP5" s="40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41" t="s">
        <v>475</v>
      </c>
      <c r="DG5" s="41" t="s">
        <v>307</v>
      </c>
      <c r="DH5" s="41" t="s">
        <v>476</v>
      </c>
      <c r="DI5" s="41" t="s">
        <v>311</v>
      </c>
      <c r="DJ5" s="41" t="s">
        <v>309</v>
      </c>
      <c r="DK5" s="41" t="s">
        <v>278</v>
      </c>
      <c r="DL5" s="41" t="s">
        <v>310</v>
      </c>
      <c r="DM5" s="41" t="s">
        <v>465</v>
      </c>
      <c r="DN5" s="41" t="s">
        <v>466</v>
      </c>
      <c r="DO5" s="34"/>
      <c r="DP5" s="34"/>
      <c r="DQ5" s="34"/>
      <c r="DR5" s="34"/>
      <c r="DS5" s="34"/>
      <c r="DT5" s="34"/>
      <c r="DU5" s="34"/>
      <c r="DV5" s="34"/>
      <c r="DW5" s="34"/>
      <c r="DX5" s="34"/>
    </row>
    <row r="6" spans="2:128" ht="9.7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BY6" s="34"/>
      <c r="BZ6" s="34"/>
      <c r="CA6" s="34"/>
      <c r="CB6" s="34"/>
      <c r="CC6" s="34"/>
      <c r="CD6" s="34"/>
      <c r="CE6" s="40"/>
      <c r="CF6" s="39"/>
      <c r="CG6" s="39"/>
      <c r="CH6" s="40"/>
      <c r="CI6" s="40"/>
      <c r="CJ6" s="40"/>
      <c r="CK6" s="40"/>
      <c r="CL6" s="40"/>
      <c r="CM6" s="40"/>
      <c r="CN6" s="40"/>
      <c r="CO6" s="40"/>
      <c r="CP6" s="40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spans="2:128" s="35" customFormat="1" ht="15.75" customHeight="1">
      <c r="B7" s="378" t="str">
        <f>"การออกแบบหน้าตัด"&amp;CI33&amp;"เหล็ก"</f>
        <v>การออกแบบหน้าตัดจันทันเหล็ก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C7" s="148" t="s">
        <v>27</v>
      </c>
      <c r="AD7" s="152"/>
      <c r="AE7" s="152"/>
      <c r="AF7" s="152"/>
      <c r="AG7" s="152"/>
      <c r="AH7" s="152"/>
      <c r="AI7" s="152"/>
      <c r="AJ7" s="153"/>
      <c r="AK7" s="152"/>
      <c r="AL7" s="152"/>
      <c r="AM7" s="152"/>
      <c r="AN7" s="152"/>
      <c r="AO7" s="152"/>
      <c r="BY7" s="40"/>
      <c r="BZ7" s="40"/>
      <c r="CA7" s="40"/>
      <c r="CB7" s="40"/>
      <c r="CC7" s="40"/>
      <c r="CD7" s="40"/>
      <c r="CE7" s="40"/>
      <c r="CF7" s="39"/>
      <c r="CG7" s="39"/>
      <c r="CH7" s="40"/>
      <c r="CI7" s="40"/>
      <c r="CJ7" s="40"/>
      <c r="CK7" s="40"/>
      <c r="CL7" s="396"/>
      <c r="CM7" s="396"/>
      <c r="CN7" s="40"/>
      <c r="CO7" s="40"/>
      <c r="CP7" s="40"/>
      <c r="CQ7" s="40"/>
      <c r="CR7" s="40"/>
      <c r="CS7" s="40"/>
      <c r="CT7" s="40"/>
      <c r="CU7" s="34">
        <f>IF(AND(OR(CU8=1,CU8=2,CU8=3,CU8=4,CU8=5,CU8=6,CU8=7),CX8=1),CU8,IF(AND(OR(CU8=1,CU8=2,CU8=4,CU8=5,CU8=6),CX8=2),CU8,IF(AND(CU8=3,CX8=2),8,IF(AND(CU8=7,CX8=2),9))))</f>
        <v>7</v>
      </c>
      <c r="CV7" s="34"/>
      <c r="CW7" s="34"/>
      <c r="CX7" s="34"/>
      <c r="CY7" s="40"/>
      <c r="CZ7" s="40"/>
      <c r="DA7" s="40"/>
      <c r="DB7" s="40"/>
      <c r="DC7" s="40"/>
      <c r="DD7" s="40"/>
      <c r="DE7" s="40"/>
      <c r="DF7" s="39">
        <v>1</v>
      </c>
      <c r="DG7" s="39">
        <v>2</v>
      </c>
      <c r="DH7" s="39">
        <v>3</v>
      </c>
      <c r="DI7" s="39">
        <v>4</v>
      </c>
      <c r="DJ7" s="39">
        <v>5</v>
      </c>
      <c r="DK7" s="39">
        <v>6</v>
      </c>
      <c r="DL7" s="39">
        <v>7</v>
      </c>
      <c r="DM7" s="39">
        <v>8</v>
      </c>
      <c r="DN7" s="39">
        <v>9</v>
      </c>
      <c r="DO7" s="40"/>
      <c r="DP7" s="40"/>
      <c r="DQ7" s="40"/>
      <c r="DR7" s="40"/>
      <c r="DS7" s="40"/>
      <c r="DT7" s="40"/>
      <c r="DU7" s="40"/>
      <c r="DV7" s="40"/>
      <c r="DW7" s="40"/>
      <c r="DX7" s="40"/>
    </row>
    <row r="8" spans="1:128" s="35" customFormat="1" ht="15.75" customHeight="1">
      <c r="A8" s="40"/>
      <c r="B8" s="57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39"/>
      <c r="M8" s="40"/>
      <c r="N8" s="40"/>
      <c r="O8" s="40"/>
      <c r="P8" s="40"/>
      <c r="Q8" s="58"/>
      <c r="S8" s="40"/>
      <c r="T8" s="40"/>
      <c r="U8" s="40"/>
      <c r="V8" s="40"/>
      <c r="W8" s="40"/>
      <c r="X8" s="350" t="str">
        <f>IF(Y="","Y",IF(Y&lt;&gt;"","Y = "&amp;ROUND(Y,2)&amp;" m."))</f>
        <v>Y = 1.2 m.</v>
      </c>
      <c r="Y8" s="40"/>
      <c r="Z8" s="40"/>
      <c r="AA8" s="40"/>
      <c r="AB8" s="40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40"/>
      <c r="AQ8" s="40"/>
      <c r="AR8" s="40"/>
      <c r="BY8" s="40"/>
      <c r="BZ8" s="40"/>
      <c r="CA8" s="40"/>
      <c r="CB8" s="40"/>
      <c r="CC8" s="40"/>
      <c r="CD8" s="40"/>
      <c r="CE8" s="40"/>
      <c r="CF8" s="39"/>
      <c r="CG8" s="39"/>
      <c r="CH8" s="40"/>
      <c r="CI8" s="40"/>
      <c r="CJ8" s="40"/>
      <c r="CK8" s="40"/>
      <c r="CL8" s="63"/>
      <c r="CM8" s="63"/>
      <c r="CN8" s="40"/>
      <c r="CO8" s="40"/>
      <c r="CP8" s="40" t="s">
        <v>264</v>
      </c>
      <c r="CQ8" s="39">
        <f>'Steel Table'!ED56</f>
        <v>5.172</v>
      </c>
      <c r="CR8" s="40"/>
      <c r="CS8" s="40"/>
      <c r="CT8" s="40"/>
      <c r="CU8" s="34">
        <f>VLOOKUP(AC29,CU10:CV16,2,FALSE)</f>
        <v>7</v>
      </c>
      <c r="CV8" s="34">
        <f>IF(AND(OR(CU8=1,CU8=2,CU8=3,CU8=4,CU8=5,CU8=6,CU8=7),CX8=1),CU8+1,IF(AND(OR(CU8=1,CU8=2,CU8=4,CU8=5,CU8=6),CX8=2),CU8+1,IF(AND(CU8=3,CX8=2),9,IF(AND(CU8=7,CX8=2),10))))</f>
        <v>8</v>
      </c>
      <c r="CW8" s="34"/>
      <c r="CX8" s="34">
        <f>VLOOKUP(AC31,CW10:CX11,2,FALSE)</f>
        <v>1</v>
      </c>
      <c r="CY8" s="40"/>
      <c r="CZ8" s="40"/>
      <c r="DA8" s="40"/>
      <c r="DB8" s="40"/>
      <c r="DC8" s="40"/>
      <c r="DD8" s="40"/>
      <c r="DE8" s="40">
        <v>1</v>
      </c>
      <c r="DF8" s="40" t="str">
        <f>'Steel Table'!C6</f>
        <v>WF-100x100x6x8 mm.</v>
      </c>
      <c r="DG8" s="40" t="str">
        <f>'Steel Table'!S6</f>
        <v>I-100x75x5x8 mm.</v>
      </c>
      <c r="DH8" s="40" t="str">
        <f>'Steel Table'!AJ6</f>
        <v>[-75x40x5x7 mm.</v>
      </c>
      <c r="DI8" s="40" t="str">
        <f>'Steel Table'!BC6</f>
        <v>Tube-25x25x2 mm.</v>
      </c>
      <c r="DJ8" s="40" t="str">
        <f>'Steel Table'!BO6</f>
        <v>Tube-50x25x2 mm.</v>
      </c>
      <c r="DK8" s="40" t="str">
        <f>'Steel Table'!CD6</f>
        <v>Pipe-D21.7x2 mm.</v>
      </c>
      <c r="DL8" s="40" t="str">
        <f>'Steel Table'!CO6</f>
        <v>[-60x30x10x1.6 mm.</v>
      </c>
      <c r="DM8" s="40" t="str">
        <f>'Steel Table'!AJ27</f>
        <v>2[]-75x40x5x7 mm.</v>
      </c>
      <c r="DN8" s="40" t="str">
        <f>'Steel Table'!DG6</f>
        <v>2[]-60x30x10x1.6 mm.</v>
      </c>
      <c r="DO8" s="40"/>
      <c r="DP8" s="40"/>
      <c r="DQ8" s="40"/>
      <c r="DR8" s="40"/>
      <c r="DS8" s="40"/>
      <c r="DT8" s="40"/>
      <c r="DU8" s="40"/>
      <c r="DV8" s="40"/>
      <c r="DW8" s="40"/>
      <c r="DX8" s="40"/>
    </row>
    <row r="9" spans="1:128" s="35" customFormat="1" ht="15.75" customHeight="1">
      <c r="A9" s="40"/>
      <c r="B9" s="34" t="s">
        <v>32</v>
      </c>
      <c r="C9" s="40"/>
      <c r="D9" s="40"/>
      <c r="E9" s="40"/>
      <c r="F9" s="40"/>
      <c r="G9" s="40"/>
      <c r="H9" s="40"/>
      <c r="I9" s="40"/>
      <c r="J9" s="40"/>
      <c r="K9" s="40"/>
      <c r="L9" s="39"/>
      <c r="M9" s="36" t="s">
        <v>0</v>
      </c>
      <c r="N9" s="359">
        <v>2400</v>
      </c>
      <c r="O9" s="359"/>
      <c r="P9" s="359"/>
      <c r="Q9" s="40"/>
      <c r="R9" s="315"/>
      <c r="S9" s="360"/>
      <c r="T9" s="361"/>
      <c r="U9" s="361"/>
      <c r="V9" s="361"/>
      <c r="W9" s="362"/>
      <c r="X9" s="350"/>
      <c r="Y9" s="52"/>
      <c r="Z9" s="52"/>
      <c r="AA9" s="40"/>
      <c r="AB9" s="40"/>
      <c r="AC9" s="405" t="s">
        <v>495</v>
      </c>
      <c r="AD9" s="406"/>
      <c r="AE9" s="406"/>
      <c r="AF9" s="406"/>
      <c r="AG9" s="427" t="s">
        <v>534</v>
      </c>
      <c r="AH9" s="428"/>
      <c r="AI9" s="429"/>
      <c r="AJ9" s="153"/>
      <c r="AK9" s="153"/>
      <c r="AL9" s="153"/>
      <c r="AM9" s="153"/>
      <c r="AN9" s="153"/>
      <c r="AO9" s="153"/>
      <c r="AP9" s="40"/>
      <c r="AQ9" s="40"/>
      <c r="AR9" s="40"/>
      <c r="BY9" s="40"/>
      <c r="BZ9" s="40"/>
      <c r="CA9" s="40"/>
      <c r="CB9" s="40"/>
      <c r="CC9" s="40"/>
      <c r="CD9" s="40"/>
      <c r="CE9" s="40"/>
      <c r="CF9" s="39"/>
      <c r="CG9" s="39"/>
      <c r="CH9" s="40"/>
      <c r="CI9" s="40"/>
      <c r="CJ9" s="40"/>
      <c r="CK9" s="40"/>
      <c r="CL9" s="63"/>
      <c r="CM9" s="63"/>
      <c r="CN9" s="40"/>
      <c r="CO9" s="40"/>
      <c r="CP9" s="40" t="s">
        <v>422</v>
      </c>
      <c r="CQ9" s="39">
        <f>'Steel Table'!EE56</f>
        <v>4.06</v>
      </c>
      <c r="CR9" s="40"/>
      <c r="CS9" s="40"/>
      <c r="CT9" s="40"/>
      <c r="CU9" s="34"/>
      <c r="CV9" s="34"/>
      <c r="CW9" s="34"/>
      <c r="CX9" s="34"/>
      <c r="CY9" s="40"/>
      <c r="CZ9" s="40"/>
      <c r="DA9" s="40"/>
      <c r="DB9" s="40"/>
      <c r="DC9" s="40"/>
      <c r="DD9" s="40"/>
      <c r="DE9" s="40">
        <v>2</v>
      </c>
      <c r="DF9" s="40" t="str">
        <f>'Steel Table'!C7</f>
        <v>WF-125X125x6.5x9 mm.</v>
      </c>
      <c r="DG9" s="40" t="str">
        <f>'Steel Table'!S7</f>
        <v>I-125x75x5.5x9.5 mm.</v>
      </c>
      <c r="DH9" s="40" t="str">
        <f>'Steel Table'!AJ7</f>
        <v>[-100x50x5x7.5 mm.</v>
      </c>
      <c r="DI9" s="40" t="str">
        <f>'Steel Table'!BC7</f>
        <v>Tube-25x25x2.3 mm.</v>
      </c>
      <c r="DJ9" s="40" t="str">
        <f>'Steel Table'!BO7</f>
        <v>Tube-50x25x2.3 mm.</v>
      </c>
      <c r="DK9" s="40" t="str">
        <f>'Steel Table'!CD7</f>
        <v>Pipe-D27.2x2 mm.</v>
      </c>
      <c r="DL9" s="40" t="str">
        <f>'Steel Table'!CO7</f>
        <v>[-60x30x10x2 mm.</v>
      </c>
      <c r="DM9" s="40" t="str">
        <f>'Steel Table'!AJ28</f>
        <v>2[]-100x50x5x7.5 mm.</v>
      </c>
      <c r="DN9" s="40" t="str">
        <f>'Steel Table'!DG7</f>
        <v>2[]-60x30x10x2 mm.</v>
      </c>
      <c r="DO9" s="40"/>
      <c r="DP9" s="40"/>
      <c r="DQ9" s="40"/>
      <c r="DR9" s="40"/>
      <c r="DS9" s="40"/>
      <c r="DT9" s="40"/>
      <c r="DU9" s="40"/>
      <c r="DV9" s="40"/>
      <c r="DW9" s="40"/>
      <c r="DX9" s="40"/>
    </row>
    <row r="10" spans="1:128" s="35" customFormat="1" ht="15.75" customHeight="1">
      <c r="A10" s="40"/>
      <c r="B10" s="31" t="s">
        <v>33</v>
      </c>
      <c r="C10" s="40"/>
      <c r="D10" s="40"/>
      <c r="E10" s="40"/>
      <c r="F10" s="40"/>
      <c r="G10" s="40"/>
      <c r="H10" s="40"/>
      <c r="I10" s="40"/>
      <c r="J10" s="40"/>
      <c r="K10" s="40"/>
      <c r="L10" s="39"/>
      <c r="M10" s="36" t="s">
        <v>0</v>
      </c>
      <c r="N10" s="370">
        <f>0.6*fy</f>
        <v>1440</v>
      </c>
      <c r="O10" s="370"/>
      <c r="P10" s="370"/>
      <c r="Q10" s="40"/>
      <c r="R10" s="315"/>
      <c r="S10" s="356"/>
      <c r="T10" s="356"/>
      <c r="U10" s="356"/>
      <c r="V10" s="356"/>
      <c r="W10" s="357"/>
      <c r="X10" s="350"/>
      <c r="Y10" s="74"/>
      <c r="Z10" s="74"/>
      <c r="AA10" s="52"/>
      <c r="AB10" s="52"/>
      <c r="AC10" s="410" t="s">
        <v>496</v>
      </c>
      <c r="AD10" s="411"/>
      <c r="AE10" s="411"/>
      <c r="AF10" s="411"/>
      <c r="AG10" s="430"/>
      <c r="AH10" s="431"/>
      <c r="AI10" s="432"/>
      <c r="AJ10" s="153"/>
      <c r="AK10" s="153"/>
      <c r="AL10" s="153"/>
      <c r="AM10" s="153"/>
      <c r="AN10" s="153"/>
      <c r="AO10" s="153"/>
      <c r="AP10" s="40"/>
      <c r="AQ10" s="40"/>
      <c r="AR10" s="40"/>
      <c r="BY10" s="40"/>
      <c r="BZ10" s="40"/>
      <c r="CA10" s="40"/>
      <c r="CB10" s="40">
        <v>2</v>
      </c>
      <c r="CC10" s="40"/>
      <c r="CD10" s="40"/>
      <c r="CE10" s="40"/>
      <c r="CF10" s="39"/>
      <c r="CG10" s="39"/>
      <c r="CH10" s="40"/>
      <c r="CI10" s="40"/>
      <c r="CJ10" s="40"/>
      <c r="CK10" s="40"/>
      <c r="CL10" s="63"/>
      <c r="CM10" s="63"/>
      <c r="CN10" s="40"/>
      <c r="CO10" s="40"/>
      <c r="CP10" s="40" t="s">
        <v>87</v>
      </c>
      <c r="CQ10" s="39">
        <f>'Steel Table'!EF56</f>
        <v>80.7</v>
      </c>
      <c r="CR10" s="40">
        <f>IF(CX$14=1,CQ10,IF(CX$14=2,CQ11))</f>
        <v>80.7</v>
      </c>
      <c r="CS10" s="40"/>
      <c r="CT10" s="40"/>
      <c r="CU10" s="55" t="s">
        <v>306</v>
      </c>
      <c r="CV10" s="56">
        <v>1</v>
      </c>
      <c r="CW10" s="40" t="s">
        <v>462</v>
      </c>
      <c r="CX10" s="40">
        <v>1</v>
      </c>
      <c r="CY10" s="40"/>
      <c r="CZ10" s="40"/>
      <c r="DA10" s="40"/>
      <c r="DB10" s="40"/>
      <c r="DC10" s="40"/>
      <c r="DD10" s="40"/>
      <c r="DE10" s="40">
        <v>3</v>
      </c>
      <c r="DF10" s="40" t="str">
        <f>'Steel Table'!C8</f>
        <v>WF-150X75x6x9 mm.</v>
      </c>
      <c r="DG10" s="40" t="str">
        <f>'Steel Table'!S8</f>
        <v>I-150x75x5.5x9.5 mm.</v>
      </c>
      <c r="DH10" s="40" t="str">
        <f>'Steel Table'!AJ8</f>
        <v>[-125x65x6x8 mm.</v>
      </c>
      <c r="DI10" s="40" t="str">
        <f>'Steel Table'!BC8</f>
        <v>Tube-25x25x2.6 mm.</v>
      </c>
      <c r="DJ10" s="40" t="str">
        <f>'Steel Table'!BO8</f>
        <v>Tube-50x25x3.2 mm.</v>
      </c>
      <c r="DK10" s="40" t="str">
        <f>'Steel Table'!CD8</f>
        <v>Pipe-D27.2x2.3 mm.</v>
      </c>
      <c r="DL10" s="40" t="str">
        <f>'Steel Table'!CO8</f>
        <v>[-60x30x10x2.3 mm.</v>
      </c>
      <c r="DM10" s="40" t="str">
        <f>'Steel Table'!AJ29</f>
        <v>2[]-125x65x6x8 mm.</v>
      </c>
      <c r="DN10" s="40" t="str">
        <f>'Steel Table'!DG8</f>
        <v>2[]-60x30x10x2.3 mm.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</row>
    <row r="11" spans="1:128" s="35" customFormat="1" ht="15.75" customHeight="1">
      <c r="A11" s="40"/>
      <c r="B11" s="31" t="s">
        <v>34</v>
      </c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36" t="s">
        <v>0</v>
      </c>
      <c r="N11" s="370">
        <f>2.1*10^6</f>
        <v>2100000</v>
      </c>
      <c r="O11" s="370"/>
      <c r="P11" s="370"/>
      <c r="Q11" s="315"/>
      <c r="R11" s="315"/>
      <c r="S11" s="358" t="str">
        <f>IF(X="","X",IF(X&lt;&gt;"","X = "&amp;ROUND(X,2)&amp;" m. "))</f>
        <v>X = 4 m. </v>
      </c>
      <c r="T11" s="358"/>
      <c r="U11" s="358"/>
      <c r="V11" s="358"/>
      <c r="W11" s="358"/>
      <c r="X11" s="40"/>
      <c r="Y11" s="52"/>
      <c r="Z11" s="52"/>
      <c r="AA11" s="40"/>
      <c r="AB11" s="40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40"/>
      <c r="AQ11" s="40"/>
      <c r="AR11" s="40"/>
      <c r="BY11" s="40"/>
      <c r="BZ11" s="40"/>
      <c r="CA11" s="40"/>
      <c r="CB11" s="40"/>
      <c r="CC11" s="40"/>
      <c r="CD11" s="40"/>
      <c r="CE11" s="39" t="s">
        <v>61</v>
      </c>
      <c r="CF11" s="39" t="s">
        <v>72</v>
      </c>
      <c r="CG11" s="39" t="s">
        <v>75</v>
      </c>
      <c r="CH11" s="39" t="s">
        <v>77</v>
      </c>
      <c r="CI11" s="396" t="s">
        <v>78</v>
      </c>
      <c r="CJ11" s="396"/>
      <c r="CK11" s="396" t="s">
        <v>81</v>
      </c>
      <c r="CL11" s="396"/>
      <c r="CM11" s="371" t="s">
        <v>84</v>
      </c>
      <c r="CN11" s="371"/>
      <c r="CO11" s="40"/>
      <c r="CP11" s="40" t="s">
        <v>88</v>
      </c>
      <c r="CQ11" s="39">
        <f>'Steel Table'!EG56</f>
        <v>19</v>
      </c>
      <c r="CR11" s="40">
        <f>IF(CX$14=1,CQ11,IF(CX$14=2,CQ10))</f>
        <v>19</v>
      </c>
      <c r="CS11" s="40"/>
      <c r="CT11" s="40"/>
      <c r="CU11" s="67" t="s">
        <v>307</v>
      </c>
      <c r="CV11" s="68">
        <v>2</v>
      </c>
      <c r="CW11" s="40" t="s">
        <v>463</v>
      </c>
      <c r="CX11" s="40">
        <v>2</v>
      </c>
      <c r="CY11" s="40"/>
      <c r="CZ11" s="40"/>
      <c r="DA11" s="40"/>
      <c r="DB11" s="40"/>
      <c r="DC11" s="40"/>
      <c r="DD11" s="40"/>
      <c r="DE11" s="40">
        <v>4</v>
      </c>
      <c r="DF11" s="40" t="str">
        <f>'Steel Table'!C9</f>
        <v>WF-150x100x6x9 mm.</v>
      </c>
      <c r="DG11" s="40" t="str">
        <f>'Steel Table'!S9</f>
        <v>I-150x125x8.5x14 mm.</v>
      </c>
      <c r="DH11" s="40" t="str">
        <f>'Steel Table'!AJ9</f>
        <v>[-150x75x6.5x10 mm.</v>
      </c>
      <c r="DI11" s="40" t="str">
        <f>'Steel Table'!BC9</f>
        <v>Tube-25x25x3.2 mm.</v>
      </c>
      <c r="DJ11" s="40" t="str">
        <f>'Steel Table'!BO9</f>
        <v>Tube-50x25x3.6 mm.</v>
      </c>
      <c r="DK11" s="40" t="str">
        <f>'Steel Table'!CD9</f>
        <v>Pipe-D34x2.3 mm.</v>
      </c>
      <c r="DL11" s="40" t="str">
        <f>'Steel Table'!CO9</f>
        <v>[-70x40x25x1.6 mm.</v>
      </c>
      <c r="DM11" s="40" t="str">
        <f>'Steel Table'!AJ30</f>
        <v>2[]-150x75x6.5x10 mm.</v>
      </c>
      <c r="DN11" s="40" t="str">
        <f>'Steel Table'!DG9</f>
        <v>2[]-70x40x25x1.6 mm.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</row>
    <row r="12" spans="1:128" s="35" customFormat="1" ht="15.75" customHeight="1">
      <c r="A12" s="40"/>
      <c r="B12" s="34"/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134"/>
      <c r="N12" s="396"/>
      <c r="O12" s="396"/>
      <c r="P12" s="396"/>
      <c r="Q12" s="40"/>
      <c r="S12" s="40"/>
      <c r="T12" s="40"/>
      <c r="U12" s="39"/>
      <c r="V12" s="74"/>
      <c r="W12" s="74"/>
      <c r="X12" s="39"/>
      <c r="Y12" s="76"/>
      <c r="Z12" s="76"/>
      <c r="AA12" s="52"/>
      <c r="AB12" s="52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40"/>
      <c r="AQ12" s="40"/>
      <c r="AR12" s="40"/>
      <c r="BY12" s="40"/>
      <c r="BZ12" s="40"/>
      <c r="CA12" s="40"/>
      <c r="CB12" s="40">
        <f>θ*(PI()/180)</f>
        <v>0.2914567944778671</v>
      </c>
      <c r="CC12" s="40"/>
      <c r="CD12" s="40"/>
      <c r="CE12" s="36" t="s">
        <v>73</v>
      </c>
      <c r="CF12" s="36" t="s">
        <v>74</v>
      </c>
      <c r="CG12" s="39" t="s">
        <v>76</v>
      </c>
      <c r="CH12" s="40"/>
      <c r="CI12" s="39" t="s">
        <v>79</v>
      </c>
      <c r="CJ12" s="40" t="s">
        <v>80</v>
      </c>
      <c r="CK12" s="39" t="s">
        <v>82</v>
      </c>
      <c r="CL12" s="30" t="s">
        <v>83</v>
      </c>
      <c r="CM12" s="30" t="s">
        <v>85</v>
      </c>
      <c r="CN12" s="39" t="s">
        <v>86</v>
      </c>
      <c r="CO12" s="40"/>
      <c r="CP12" s="40" t="s">
        <v>89</v>
      </c>
      <c r="CQ12" s="39">
        <f>'Steel Table'!EH56</f>
        <v>16</v>
      </c>
      <c r="CR12" s="40">
        <f>IF(CX$14=1,CQ12,IF(CX$14=2,CQ13))</f>
        <v>16</v>
      </c>
      <c r="CS12" s="40"/>
      <c r="CT12" s="40"/>
      <c r="CU12" s="67" t="s">
        <v>308</v>
      </c>
      <c r="CV12" s="68">
        <v>3</v>
      </c>
      <c r="CW12" s="40" t="s">
        <v>318</v>
      </c>
      <c r="CX12" s="40">
        <v>1</v>
      </c>
      <c r="CY12" s="40"/>
      <c r="CZ12" s="40"/>
      <c r="DA12" s="40"/>
      <c r="DB12" s="40"/>
      <c r="DC12" s="40"/>
      <c r="DD12" s="40"/>
      <c r="DE12" s="40">
        <v>5</v>
      </c>
      <c r="DF12" s="40" t="str">
        <f>'Steel Table'!C10</f>
        <v>WF-150X150x7x10 mm.</v>
      </c>
      <c r="DG12" s="40" t="str">
        <f>'Steel Table'!S10</f>
        <v>I-180x100x6x10 mm.</v>
      </c>
      <c r="DH12" s="40" t="str">
        <f>'Steel Table'!AJ10</f>
        <v>[-150x75x9x12.5 mm.</v>
      </c>
      <c r="DI12" s="40" t="str">
        <f>'Steel Table'!BC10</f>
        <v>Tube-32x32x2.3 mm.</v>
      </c>
      <c r="DJ12" s="40" t="str">
        <f>'Steel Table'!BO10</f>
        <v>Tube-75x38x2.3 mm.</v>
      </c>
      <c r="DK12" s="40" t="str">
        <f>'Steel Table'!CD10</f>
        <v>Pipe-D42.7x2.3 mm.</v>
      </c>
      <c r="DL12" s="40" t="str">
        <f>'Steel Table'!CO10</f>
        <v>[-70x40x25x2.3 mm.</v>
      </c>
      <c r="DM12" s="40" t="str">
        <f>'Steel Table'!AJ31</f>
        <v>2[]-150x75x9x12.5 mm.</v>
      </c>
      <c r="DN12" s="40" t="str">
        <f>'Steel Table'!DG10</f>
        <v>2[]-70x40x25x2.3 mm.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</row>
    <row r="13" spans="1:128" s="35" customFormat="1" ht="15.75" customHeight="1">
      <c r="A13" s="40"/>
      <c r="B13" s="57" t="str">
        <f>"หาน้ำหนักรวมที่กระทำกับ"&amp;CI33&amp;"ทั้งหมด :"</f>
        <v>หาน้ำหนักรวมที่กระทำกับจันทันทั้งหมด :</v>
      </c>
      <c r="C13" s="40"/>
      <c r="D13" s="40"/>
      <c r="E13" s="40"/>
      <c r="F13" s="40"/>
      <c r="G13" s="40"/>
      <c r="H13" s="40"/>
      <c r="I13" s="40"/>
      <c r="J13" s="40"/>
      <c r="K13" s="40"/>
      <c r="L13" s="39"/>
      <c r="M13" s="134"/>
      <c r="N13" s="396"/>
      <c r="O13" s="396"/>
      <c r="P13" s="396"/>
      <c r="Q13" s="40"/>
      <c r="R13" s="58" t="s">
        <v>50</v>
      </c>
      <c r="S13" s="40"/>
      <c r="T13" s="40"/>
      <c r="U13" s="40"/>
      <c r="V13" s="52"/>
      <c r="W13" s="52"/>
      <c r="X13" s="40"/>
      <c r="Y13" s="52"/>
      <c r="Z13" s="52"/>
      <c r="AA13" s="40"/>
      <c r="AB13" s="40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40"/>
      <c r="AQ13" s="40"/>
      <c r="AR13" s="40"/>
      <c r="BY13" s="40" t="s">
        <v>55</v>
      </c>
      <c r="BZ13" s="40"/>
      <c r="CA13" s="40" t="s">
        <v>0</v>
      </c>
      <c r="CB13" s="81">
        <f>SIN(CB12)</f>
        <v>0.28734788556634544</v>
      </c>
      <c r="CC13" s="40"/>
      <c r="CD13" s="35">
        <v>1</v>
      </c>
      <c r="CP13" s="35" t="s">
        <v>90</v>
      </c>
      <c r="CQ13" s="36">
        <f>'Steel Table'!EI56</f>
        <v>6.06</v>
      </c>
      <c r="CR13" s="40">
        <f>IF(CX$14=1,CQ13,IF(CX$14=2,CQ12))</f>
        <v>6.06</v>
      </c>
      <c r="CS13" s="40"/>
      <c r="CT13" s="40"/>
      <c r="CU13" s="67" t="s">
        <v>311</v>
      </c>
      <c r="CV13" s="68">
        <v>4</v>
      </c>
      <c r="CW13" s="40" t="s">
        <v>319</v>
      </c>
      <c r="CX13" s="40">
        <v>2</v>
      </c>
      <c r="CY13" s="40"/>
      <c r="CZ13" s="40"/>
      <c r="DA13" s="40"/>
      <c r="DB13" s="40"/>
      <c r="DC13" s="40"/>
      <c r="DD13" s="40"/>
      <c r="DE13" s="40">
        <v>6</v>
      </c>
      <c r="DF13" s="40" t="str">
        <f>'Steel Table'!C11</f>
        <v>WF-175X175x7.5x11 mm.</v>
      </c>
      <c r="DG13" s="40" t="str">
        <f>'Steel Table'!S11</f>
        <v>I-200x100x7x10 mm.</v>
      </c>
      <c r="DH13" s="40" t="str">
        <f>'Steel Table'!AJ11</f>
        <v>[-180x75x7x10.5 mm.</v>
      </c>
      <c r="DI13" s="40" t="str">
        <f>'Steel Table'!BC11</f>
        <v>Tube-32x32x3.2 mm.</v>
      </c>
      <c r="DJ13" s="40" t="str">
        <f>'Steel Table'!BO11</f>
        <v>Tube-75x38x3.2 mm.</v>
      </c>
      <c r="DK13" s="40" t="str">
        <f>'Steel Table'!CD11</f>
        <v>Pipe-D42.7x2.5 mm.</v>
      </c>
      <c r="DL13" s="40" t="str">
        <f>'Steel Table'!CO11</f>
        <v>[-75x45x15x1.6 mm.</v>
      </c>
      <c r="DM13" s="40" t="str">
        <f>'Steel Table'!AJ32</f>
        <v>2[]-180x75x7x10.5 mm.</v>
      </c>
      <c r="DN13" s="40" t="str">
        <f>'Steel Table'!DG11</f>
        <v>2[]-75x45x15x1.6 mm.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</row>
    <row r="14" spans="1:128" s="35" customFormat="1" ht="15.75" customHeight="1">
      <c r="A14" s="40"/>
      <c r="B14" s="34" t="s">
        <v>35</v>
      </c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75" t="s">
        <v>0</v>
      </c>
      <c r="N14" s="352">
        <v>30</v>
      </c>
      <c r="O14" s="352"/>
      <c r="P14" s="352"/>
      <c r="Q14" s="40"/>
      <c r="R14" s="35" t="s">
        <v>52</v>
      </c>
      <c r="S14" s="40"/>
      <c r="T14" s="40"/>
      <c r="U14" s="39"/>
      <c r="V14" s="76"/>
      <c r="W14" s="75" t="s">
        <v>0</v>
      </c>
      <c r="X14" s="351">
        <v>4</v>
      </c>
      <c r="Y14" s="351"/>
      <c r="Z14" s="351"/>
      <c r="AA14" s="52"/>
      <c r="AB14" s="52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40"/>
      <c r="AQ14" s="40"/>
      <c r="AR14" s="40"/>
      <c r="BY14" s="40"/>
      <c r="BZ14" s="40"/>
      <c r="CA14" s="40"/>
      <c r="CB14" s="40">
        <f>((2*Sinθ)/(1+(Sinθ)^2))</f>
        <v>0.5308630428259602</v>
      </c>
      <c r="CC14" s="40"/>
      <c r="CD14" s="40">
        <v>2</v>
      </c>
      <c r="CE14" s="40" t="s">
        <v>62</v>
      </c>
      <c r="CF14" s="75">
        <v>2.25</v>
      </c>
      <c r="CG14" s="39">
        <v>2.872</v>
      </c>
      <c r="CH14" s="40"/>
      <c r="CI14" s="39">
        <v>15.6</v>
      </c>
      <c r="CJ14" s="39">
        <v>3.32</v>
      </c>
      <c r="CK14" s="40"/>
      <c r="CL14" s="63"/>
      <c r="CM14" s="30">
        <v>5.2</v>
      </c>
      <c r="CN14" s="39">
        <v>1.71</v>
      </c>
      <c r="CO14" s="40"/>
      <c r="CP14" s="40" t="s">
        <v>229</v>
      </c>
      <c r="CQ14" s="39">
        <f>'Steel Table'!EJ56</f>
        <v>3.95</v>
      </c>
      <c r="CR14" s="40">
        <f>IF(CX$14=1,CQ14,IF(CX$14=2,CQ15))</f>
        <v>3.95</v>
      </c>
      <c r="CS14" s="40"/>
      <c r="CT14" s="40"/>
      <c r="CU14" s="67" t="s">
        <v>309</v>
      </c>
      <c r="CV14" s="68">
        <v>5</v>
      </c>
      <c r="CW14" s="40"/>
      <c r="CX14" s="40">
        <f>VLOOKUP(AH29,CW12:CX13,2,FALSE)</f>
        <v>1</v>
      </c>
      <c r="CY14" s="40"/>
      <c r="CZ14" s="40"/>
      <c r="DA14" s="40"/>
      <c r="DB14" s="40"/>
      <c r="DC14" s="40"/>
      <c r="DD14" s="40"/>
      <c r="DE14" s="40">
        <v>7</v>
      </c>
      <c r="DF14" s="40" t="str">
        <f>'Steel Table'!C12</f>
        <v>WF-200x100x4.5x7 mm.</v>
      </c>
      <c r="DG14" s="40" t="str">
        <f>'Steel Table'!S12</f>
        <v>I-200x150x9x16 mm.</v>
      </c>
      <c r="DH14" s="40" t="str">
        <f>'Steel Table'!AJ12</f>
        <v>[-180x75x7.5x11 mm.</v>
      </c>
      <c r="DI14" s="40" t="str">
        <f>'Steel Table'!BC12</f>
        <v>Tube-38x38x2.3 mm.</v>
      </c>
      <c r="DJ14" s="40" t="str">
        <f>'Steel Table'!BO12</f>
        <v>Tube-75x45x1.6 mm.</v>
      </c>
      <c r="DK14" s="40" t="str">
        <f>'Steel Table'!CD12</f>
        <v>Pipe-D48.6x2.3 mm.</v>
      </c>
      <c r="DL14" s="40" t="str">
        <f>'Steel Table'!CO12</f>
        <v>[-75x45x15x2 mm.</v>
      </c>
      <c r="DM14" s="40" t="str">
        <f>'Steel Table'!AJ33</f>
        <v>2[]-180x75x7.5x11 mm.</v>
      </c>
      <c r="DN14" s="40" t="str">
        <f>'Steel Table'!DG12</f>
        <v>2[]-75x45x15x2 mm.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</row>
    <row r="15" spans="1:128" s="35" customFormat="1" ht="15.75" customHeight="1">
      <c r="A15" s="40"/>
      <c r="B15" s="95" t="s">
        <v>36</v>
      </c>
      <c r="C15" s="52"/>
      <c r="D15" s="52"/>
      <c r="E15" s="52"/>
      <c r="F15" s="52"/>
      <c r="G15" s="40"/>
      <c r="H15" s="40"/>
      <c r="I15" s="40"/>
      <c r="J15" s="40"/>
      <c r="K15" s="40"/>
      <c r="L15" s="39"/>
      <c r="M15" s="75" t="s">
        <v>0</v>
      </c>
      <c r="N15" s="352">
        <v>10</v>
      </c>
      <c r="O15" s="352"/>
      <c r="P15" s="352"/>
      <c r="Q15" s="40"/>
      <c r="R15" s="40" t="s">
        <v>53</v>
      </c>
      <c r="S15" s="40"/>
      <c r="T15" s="40"/>
      <c r="U15" s="40"/>
      <c r="V15" s="40"/>
      <c r="W15" s="75" t="s">
        <v>0</v>
      </c>
      <c r="X15" s="351">
        <v>1.2</v>
      </c>
      <c r="Y15" s="351"/>
      <c r="Z15" s="351"/>
      <c r="AA15" s="40"/>
      <c r="AB15" s="40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40"/>
      <c r="AQ15" s="40"/>
      <c r="AR15" s="40"/>
      <c r="BY15" s="40"/>
      <c r="BZ15" s="40"/>
      <c r="CA15" s="40"/>
      <c r="CB15" s="40">
        <f>CB14*P</f>
        <v>26.54315214129801</v>
      </c>
      <c r="CC15" s="40"/>
      <c r="CD15" s="40">
        <v>3</v>
      </c>
      <c r="CE15" s="40" t="s">
        <v>63</v>
      </c>
      <c r="CF15" s="75">
        <v>3.25</v>
      </c>
      <c r="CG15" s="39">
        <v>4.137</v>
      </c>
      <c r="CH15" s="40"/>
      <c r="CI15" s="39">
        <v>37.1</v>
      </c>
      <c r="CJ15" s="39">
        <v>11.8</v>
      </c>
      <c r="CK15" s="40"/>
      <c r="CL15" s="63"/>
      <c r="CM15" s="30">
        <v>9.9</v>
      </c>
      <c r="CN15" s="39">
        <v>4.24</v>
      </c>
      <c r="CO15" s="40"/>
      <c r="CP15" s="40" t="s">
        <v>230</v>
      </c>
      <c r="CQ15" s="39">
        <f>'Steel Table'!EK56</f>
        <v>1.92</v>
      </c>
      <c r="CR15" s="40">
        <f>IF(CX$14=1,CQ15,IF(CX$14=2,CQ14))</f>
        <v>1.92</v>
      </c>
      <c r="CS15" s="40"/>
      <c r="CT15" s="40"/>
      <c r="CU15" s="67" t="s">
        <v>278</v>
      </c>
      <c r="CV15" s="68">
        <v>6</v>
      </c>
      <c r="CW15" s="40"/>
      <c r="CX15" s="40"/>
      <c r="CY15" s="40"/>
      <c r="CZ15" s="40"/>
      <c r="DA15" s="40"/>
      <c r="DB15" s="40"/>
      <c r="DC15" s="40"/>
      <c r="DD15" s="40"/>
      <c r="DE15" s="40">
        <v>8</v>
      </c>
      <c r="DF15" s="40" t="str">
        <f>'Steel Table'!C13</f>
        <v>WF-200x100x5.5x8 mm.</v>
      </c>
      <c r="DG15" s="40" t="str">
        <f>'Steel Table'!S13</f>
        <v>I-250x125x7.5x12.5 mm.</v>
      </c>
      <c r="DH15" s="40" t="str">
        <f>'Steel Table'!AJ13</f>
        <v>[-180x75x8x13.5 mm.</v>
      </c>
      <c r="DI15" s="40" t="str">
        <f>'Steel Table'!BC13</f>
        <v>Tube-38x38x3.2 mm.</v>
      </c>
      <c r="DJ15" s="40" t="str">
        <f>'Steel Table'!BO13</f>
        <v>Tube-75x45x2.3 mm.</v>
      </c>
      <c r="DK15" s="40" t="str">
        <f>'Steel Table'!CD13</f>
        <v>Pipe-D48.6x2.5 mm.</v>
      </c>
      <c r="DL15" s="40" t="str">
        <f>'Steel Table'!CO13</f>
        <v>[-75x45x15x2.3 mm.</v>
      </c>
      <c r="DM15" s="40" t="str">
        <f>'Steel Table'!AJ34</f>
        <v>2[]-180x75x8x13.5 mm.</v>
      </c>
      <c r="DN15" s="40" t="str">
        <f>'Steel Table'!DG13</f>
        <v>2[]-75x45x15x2.3 mm.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</row>
    <row r="16" spans="1:128" s="35" customFormat="1" ht="15.75" customHeight="1">
      <c r="A16" s="40"/>
      <c r="B16" s="31" t="s">
        <v>37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75" t="s">
        <v>0</v>
      </c>
      <c r="N16" s="403">
        <f>X16</f>
        <v>16.69924423399362</v>
      </c>
      <c r="O16" s="396"/>
      <c r="P16" s="396"/>
      <c r="Q16" s="40"/>
      <c r="R16" s="40" t="s">
        <v>51</v>
      </c>
      <c r="S16" s="40"/>
      <c r="T16" s="40"/>
      <c r="U16" s="40"/>
      <c r="V16" s="40"/>
      <c r="W16" s="75" t="s">
        <v>0</v>
      </c>
      <c r="X16" s="403">
        <f>DEGREES(ATAN(Y/X))</f>
        <v>16.69924423399362</v>
      </c>
      <c r="Y16" s="403"/>
      <c r="Z16" s="403"/>
      <c r="AA16" s="408" t="s">
        <v>54</v>
      </c>
      <c r="AB16" s="408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40"/>
      <c r="AQ16" s="40"/>
      <c r="AR16" s="40"/>
      <c r="BY16" s="40" t="s">
        <v>56</v>
      </c>
      <c r="BZ16" s="40"/>
      <c r="CA16" s="40" t="s">
        <v>0</v>
      </c>
      <c r="CB16" s="40">
        <f>COS(CB12)</f>
        <v>0.9578262852211514</v>
      </c>
      <c r="CC16" s="40"/>
      <c r="CD16" s="40">
        <v>4</v>
      </c>
      <c r="CE16" s="40" t="s">
        <v>64</v>
      </c>
      <c r="CF16" s="75">
        <v>4.06</v>
      </c>
      <c r="CG16" s="39">
        <v>5.172</v>
      </c>
      <c r="CH16" s="40"/>
      <c r="CI16" s="39">
        <v>80.7</v>
      </c>
      <c r="CJ16" s="39">
        <v>19</v>
      </c>
      <c r="CK16" s="40"/>
      <c r="CL16" s="63"/>
      <c r="CM16" s="30">
        <v>16.1</v>
      </c>
      <c r="CN16" s="39">
        <v>6.06</v>
      </c>
      <c r="CO16" s="40"/>
      <c r="CP16" s="40" t="s">
        <v>324</v>
      </c>
      <c r="CQ16" s="39">
        <f>'Steel Table'!EL56</f>
        <v>100</v>
      </c>
      <c r="CR16" s="52"/>
      <c r="CS16" s="52"/>
      <c r="CT16" s="52"/>
      <c r="CU16" s="85" t="s">
        <v>310</v>
      </c>
      <c r="CV16" s="86">
        <v>7</v>
      </c>
      <c r="CW16" s="40"/>
      <c r="CX16" s="40"/>
      <c r="CY16" s="52"/>
      <c r="CZ16" s="52"/>
      <c r="DA16" s="52"/>
      <c r="DB16" s="52"/>
      <c r="DC16" s="52"/>
      <c r="DD16" s="52"/>
      <c r="DE16" s="40">
        <v>9</v>
      </c>
      <c r="DF16" s="40" t="str">
        <f>'Steel Table'!C14</f>
        <v>WF-200x150x6x9 mm.</v>
      </c>
      <c r="DG16" s="40" t="str">
        <f>'Steel Table'!S14</f>
        <v>I-250x125x10x19 mm.</v>
      </c>
      <c r="DH16" s="40" t="str">
        <f>'Steel Table'!AJ14</f>
        <v>[-180x75x8.5x13.5 mm.</v>
      </c>
      <c r="DI16" s="40" t="str">
        <f>'Steel Table'!BC14</f>
        <v>Tube-50x50x1.6 mm.</v>
      </c>
      <c r="DJ16" s="40" t="str">
        <f>'Steel Table'!BO14</f>
        <v>Tube-75x45x3.2 mm.</v>
      </c>
      <c r="DK16" s="40" t="str">
        <f>'Steel Table'!CD14</f>
        <v>Pipe-D48.6x2.8 mm.</v>
      </c>
      <c r="DL16" s="40" t="str">
        <f>'Steel Table'!CO14</f>
        <v>[-90x45x20x1.6 mm.</v>
      </c>
      <c r="DM16" s="40" t="str">
        <f>'Steel Table'!AJ35</f>
        <v>2[]-180x75x8.5x13.5 mm.</v>
      </c>
      <c r="DN16" s="40" t="str">
        <f>'Steel Table'!DG14</f>
        <v>2[]-90x45x20x1.6 mm.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</row>
    <row r="17" spans="1:128" s="35" customFormat="1" ht="15.75" customHeight="1">
      <c r="A17" s="40"/>
      <c r="B17" s="31" t="s">
        <v>38</v>
      </c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75" t="s">
        <v>0</v>
      </c>
      <c r="N17" s="352">
        <v>50</v>
      </c>
      <c r="O17" s="352"/>
      <c r="P17" s="352"/>
      <c r="Q17" s="316" t="str">
        <f>IF(θ&gt;18,"",IF(θ&lt;=18,"เนื่องจาก "&amp;ROUND(θ,2)&amp;" &lt; 18 องศาเป็นโครงหลังคาแบนไม่คิดแรงลม"))</f>
        <v>เนื่องจาก 16.7 &lt; 18 องศาเป็นโครงหลังคาแบนไม่คิดแรงลม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9"/>
      <c r="AC17" s="153"/>
      <c r="AD17" s="153"/>
      <c r="AE17" s="153"/>
      <c r="AF17" s="153"/>
      <c r="AG17" s="153"/>
      <c r="AH17" s="153"/>
      <c r="AI17" s="153"/>
      <c r="AJ17" s="153"/>
      <c r="AK17" s="330"/>
      <c r="AL17" s="153"/>
      <c r="AM17" s="153"/>
      <c r="AN17" s="153"/>
      <c r="AO17" s="153"/>
      <c r="AP17" s="40"/>
      <c r="AQ17" s="40"/>
      <c r="AR17" s="40"/>
      <c r="BY17" s="40"/>
      <c r="BZ17" s="40"/>
      <c r="CA17" s="40"/>
      <c r="CB17" s="40"/>
      <c r="CC17" s="40"/>
      <c r="CD17" s="40">
        <v>5</v>
      </c>
      <c r="CE17" s="40" t="s">
        <v>65</v>
      </c>
      <c r="CF17" s="75">
        <v>5.5</v>
      </c>
      <c r="CG17" s="39">
        <v>7.007</v>
      </c>
      <c r="CH17" s="40"/>
      <c r="CI17" s="39">
        <v>107</v>
      </c>
      <c r="CJ17" s="39">
        <v>24.5</v>
      </c>
      <c r="CK17" s="52"/>
      <c r="CL17" s="52"/>
      <c r="CM17" s="39">
        <v>21.3</v>
      </c>
      <c r="CN17" s="39">
        <v>7.81</v>
      </c>
      <c r="CO17" s="52"/>
      <c r="CP17" s="52" t="s">
        <v>323</v>
      </c>
      <c r="CQ17" s="39">
        <f>'Steel Table'!EM56</f>
        <v>50</v>
      </c>
      <c r="CR17" s="96"/>
      <c r="CS17" s="40"/>
      <c r="CT17" s="40"/>
      <c r="CU17" s="40"/>
      <c r="CV17" s="108"/>
      <c r="CW17" s="40"/>
      <c r="CX17" s="88"/>
      <c r="CY17" s="88"/>
      <c r="CZ17" s="136"/>
      <c r="DA17" s="63"/>
      <c r="DB17" s="101"/>
      <c r="DC17" s="101"/>
      <c r="DD17" s="101"/>
      <c r="DE17" s="40">
        <v>10</v>
      </c>
      <c r="DF17" s="40" t="str">
        <f>'Steel Table'!C15</f>
        <v>WF-200X200x8x12 mm.</v>
      </c>
      <c r="DG17" s="40" t="str">
        <f>'Steel Table'!S15</f>
        <v>I-300x150x8x13 mm.</v>
      </c>
      <c r="DH17" s="40" t="str">
        <f>'Steel Table'!AJ15</f>
        <v>[-250x90x9x13 mm.</v>
      </c>
      <c r="DI17" s="40" t="str">
        <f>'Steel Table'!BC15</f>
        <v>Tube-50x50x2 mm.</v>
      </c>
      <c r="DJ17" s="40" t="str">
        <f>'Steel Table'!BO15</f>
        <v>Tube-100x50x2 mm.</v>
      </c>
      <c r="DK17" s="40" t="str">
        <f>'Steel Table'!CD15</f>
        <v>Pipe-D48.6x3.2 mm.</v>
      </c>
      <c r="DL17" s="40" t="str">
        <f>'Steel Table'!CO15</f>
        <v>[-90x45x20x2.3 mm.</v>
      </c>
      <c r="DM17" s="40" t="str">
        <f>'Steel Table'!AJ36</f>
        <v>2[]-250x90x9x13 mm.</v>
      </c>
      <c r="DN17" s="40" t="str">
        <f>'Steel Table'!DG15</f>
        <v>2[]-90x45x20x2.3 mm.</v>
      </c>
      <c r="DO17" s="52"/>
      <c r="DP17" s="40"/>
      <c r="DQ17" s="40"/>
      <c r="DR17" s="40"/>
      <c r="DS17" s="40"/>
      <c r="DT17" s="40"/>
      <c r="DU17" s="40"/>
      <c r="DV17" s="40"/>
      <c r="DW17" s="40"/>
      <c r="DX17" s="40"/>
    </row>
    <row r="18" spans="1:128" s="35" customFormat="1" ht="15.75" customHeight="1">
      <c r="A18" s="40"/>
      <c r="B18" s="95" t="str">
        <f>"น้ำหนัก"&amp;CI33&amp;" , (kg./m.)"</f>
        <v>น้ำหนักจันทัน , (kg./m.)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75" t="s">
        <v>0</v>
      </c>
      <c r="N18" s="396">
        <f>IF(CB10=1,6,IF(CB10&gt;1,CB28))</f>
        <v>4.06</v>
      </c>
      <c r="O18" s="396"/>
      <c r="P18" s="396"/>
      <c r="AB18" s="99"/>
      <c r="AC18" s="153"/>
      <c r="AD18" s="153"/>
      <c r="AE18" s="153"/>
      <c r="AF18" s="153"/>
      <c r="AG18" s="153"/>
      <c r="AH18" s="153"/>
      <c r="AI18" s="153"/>
      <c r="AJ18" s="153"/>
      <c r="AK18" s="330"/>
      <c r="AL18" s="153"/>
      <c r="AM18" s="153"/>
      <c r="AN18" s="153"/>
      <c r="AO18" s="153"/>
      <c r="AP18" s="40"/>
      <c r="AQ18" s="40"/>
      <c r="AR18" s="40"/>
      <c r="BU18" s="35" t="s">
        <v>489</v>
      </c>
      <c r="BY18" s="40"/>
      <c r="BZ18" s="40"/>
      <c r="CA18" s="40"/>
      <c r="CB18" s="40"/>
      <c r="CC18" s="40"/>
      <c r="CD18" s="40">
        <v>6</v>
      </c>
      <c r="CE18" s="40" t="s">
        <v>66</v>
      </c>
      <c r="CF18" s="75">
        <v>4.51</v>
      </c>
      <c r="CG18" s="39">
        <v>5.747</v>
      </c>
      <c r="CH18" s="52"/>
      <c r="CI18" s="39">
        <v>137</v>
      </c>
      <c r="CJ18" s="75">
        <v>20.6</v>
      </c>
      <c r="CK18" s="40"/>
      <c r="CL18" s="40"/>
      <c r="CM18" s="93">
        <v>21.9</v>
      </c>
      <c r="CN18" s="75">
        <v>6.22</v>
      </c>
      <c r="CO18" s="40"/>
      <c r="CP18" s="40" t="s">
        <v>325</v>
      </c>
      <c r="CQ18" s="39">
        <f>'Steel Table'!EN56</f>
        <v>20</v>
      </c>
      <c r="CR18" s="96"/>
      <c r="CS18" s="40"/>
      <c r="CT18" s="40"/>
      <c r="CU18" s="314">
        <v>14</v>
      </c>
      <c r="CV18" s="108"/>
      <c r="CW18" s="40"/>
      <c r="CX18" s="88"/>
      <c r="CY18" s="88"/>
      <c r="CZ18" s="63"/>
      <c r="DA18" s="63"/>
      <c r="DB18" s="101"/>
      <c r="DC18" s="101"/>
      <c r="DD18" s="101"/>
      <c r="DE18" s="40">
        <v>11</v>
      </c>
      <c r="DF18" s="40" t="str">
        <f>'Steel Table'!C16</f>
        <v>WF-200X200x12x12 mm.</v>
      </c>
      <c r="DG18" s="40" t="str">
        <f>'Steel Table'!S16</f>
        <v>I-300x150x10x18.5 mm.</v>
      </c>
      <c r="DH18" s="40" t="str">
        <f>'Steel Table'!AJ16</f>
        <v>[-250x90x11x14.5 mm.</v>
      </c>
      <c r="DI18" s="40" t="str">
        <f>'Steel Table'!BC16</f>
        <v>Tube-50x50x2.3 mm.</v>
      </c>
      <c r="DJ18" s="40" t="str">
        <f>'Steel Table'!BO16</f>
        <v>Tube-100x50x2.3 mm.</v>
      </c>
      <c r="DK18" s="40" t="str">
        <f>'Steel Table'!CD16</f>
        <v>Pipe-D60.5x2.3 mm.</v>
      </c>
      <c r="DL18" s="40" t="str">
        <f>'Steel Table'!CO16</f>
        <v>[-90x45x20x3.2 mm.</v>
      </c>
      <c r="DM18" s="40" t="str">
        <f>'Steel Table'!AJ37</f>
        <v>2[]-250x90x11x14.5 mm.</v>
      </c>
      <c r="DN18" s="40" t="str">
        <f>'Steel Table'!DG16</f>
        <v>2[]-90x45x20x3.2 mm.</v>
      </c>
      <c r="DO18" s="52"/>
      <c r="DP18" s="40"/>
      <c r="DQ18" s="40"/>
      <c r="DR18" s="40"/>
      <c r="DS18" s="40"/>
      <c r="DT18" s="40"/>
      <c r="DU18" s="40"/>
      <c r="DV18" s="40"/>
      <c r="DW18" s="40"/>
      <c r="DX18" s="40"/>
    </row>
    <row r="19" spans="1:128" s="35" customFormat="1" ht="15.75" customHeight="1">
      <c r="A19" s="52"/>
      <c r="B19" s="31" t="s">
        <v>477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75" t="s">
        <v>0</v>
      </c>
      <c r="N19" s="372">
        <f>(LL+N15+N18)</f>
        <v>44.06</v>
      </c>
      <c r="O19" s="396"/>
      <c r="P19" s="396"/>
      <c r="Q19" s="40"/>
      <c r="R19" s="418" t="str">
        <f>"w = "&amp;ROUND(W,2)&amp;" kg,/m."</f>
        <v>w = 56.97 kg,/m.</v>
      </c>
      <c r="S19" s="418"/>
      <c r="T19" s="418"/>
      <c r="U19" s="418"/>
      <c r="V19" s="418"/>
      <c r="W19" s="418"/>
      <c r="X19" s="418"/>
      <c r="Y19" s="418"/>
      <c r="Z19" s="418"/>
      <c r="AB19" s="99"/>
      <c r="AC19" s="153"/>
      <c r="AD19" s="153"/>
      <c r="AE19" s="153"/>
      <c r="AF19" s="153"/>
      <c r="AG19" s="153"/>
      <c r="AH19" s="150"/>
      <c r="AI19" s="153"/>
      <c r="AJ19" s="153"/>
      <c r="AK19" s="153"/>
      <c r="AL19" s="153"/>
      <c r="AM19" s="153"/>
      <c r="AN19" s="153"/>
      <c r="AO19" s="153"/>
      <c r="AP19" s="40"/>
      <c r="AQ19" s="40"/>
      <c r="AR19" s="40"/>
      <c r="BU19" s="35" t="s">
        <v>60</v>
      </c>
      <c r="BY19" s="40"/>
      <c r="BZ19" s="40"/>
      <c r="CA19" s="40"/>
      <c r="CB19" s="40"/>
      <c r="CC19" s="40"/>
      <c r="CD19" s="40">
        <v>7</v>
      </c>
      <c r="CE19" s="40" t="s">
        <v>67</v>
      </c>
      <c r="CF19" s="39">
        <v>6.13</v>
      </c>
      <c r="CG19" s="39">
        <v>7.807</v>
      </c>
      <c r="CH19" s="52"/>
      <c r="CI19" s="39">
        <v>181</v>
      </c>
      <c r="CJ19" s="75">
        <v>26.6</v>
      </c>
      <c r="CK19" s="40"/>
      <c r="CL19" s="40"/>
      <c r="CM19" s="93">
        <v>29</v>
      </c>
      <c r="CN19" s="75">
        <v>8.02</v>
      </c>
      <c r="CO19" s="40"/>
      <c r="CP19" s="40" t="s">
        <v>137</v>
      </c>
      <c r="CQ19" s="39">
        <f>'Steel Table'!EO56</f>
        <v>2.3</v>
      </c>
      <c r="CR19" s="74"/>
      <c r="CS19" s="52"/>
      <c r="CT19" s="52">
        <v>1</v>
      </c>
      <c r="CU19" s="52" t="str">
        <f>VLOOKUP(1,$DE$8:$DN$78,CV$8,TRUE)</f>
        <v>[-60x30x10x1.6 mm.</v>
      </c>
      <c r="CV19" s="103"/>
      <c r="CW19" s="35" t="str">
        <f>VLOOKUP(CU18,CT19:CU90,2,TRUE)</f>
        <v>[-100x50x20x2.3 mm.</v>
      </c>
      <c r="CX19" s="94"/>
      <c r="CY19" s="94"/>
      <c r="CZ19" s="63"/>
      <c r="DA19" s="63"/>
      <c r="DB19" s="74"/>
      <c r="DC19" s="74"/>
      <c r="DD19" s="52"/>
      <c r="DE19" s="40">
        <v>12</v>
      </c>
      <c r="DF19" s="40" t="str">
        <f>'Steel Table'!C17</f>
        <v>WF-200X200x10x16 mm.</v>
      </c>
      <c r="DG19" s="40" t="str">
        <f>'Steel Table'!S17</f>
        <v>I-300x150x11.5x22 mm.</v>
      </c>
      <c r="DH19" s="40" t="str">
        <f>'Steel Table'!AJ17</f>
        <v>[-300x90x9x13 mm.</v>
      </c>
      <c r="DI19" s="40" t="str">
        <f>'Steel Table'!BC17</f>
        <v>Tube-50x50x3.2 mm.</v>
      </c>
      <c r="DJ19" s="40" t="str">
        <f>'Steel Table'!BO17</f>
        <v>Tube-100x50x3.2 mm.</v>
      </c>
      <c r="DK19" s="40" t="str">
        <f>'Steel Table'!CD17</f>
        <v>Pipe-D60.5x3.2 mm.</v>
      </c>
      <c r="DL19" s="40" t="str">
        <f>'Steel Table'!CO17</f>
        <v>[-100x50x20x1.6 mm.</v>
      </c>
      <c r="DM19" s="40" t="str">
        <f>'Steel Table'!AJ38</f>
        <v>2[]-300x90x9x13 mm.</v>
      </c>
      <c r="DN19" s="40" t="str">
        <f>'Steel Table'!DG17</f>
        <v>2[]-100x50x20x1.6 mm.</v>
      </c>
      <c r="DO19" s="52"/>
      <c r="DP19" s="40"/>
      <c r="DQ19" s="40"/>
      <c r="DR19" s="40"/>
      <c r="DS19" s="40"/>
      <c r="DT19" s="40"/>
      <c r="DU19" s="40"/>
      <c r="DV19" s="40"/>
      <c r="DW19" s="40"/>
      <c r="DX19" s="40"/>
    </row>
    <row r="20" spans="1:128" s="35" customFormat="1" ht="15.75" customHeight="1">
      <c r="A20" s="52"/>
      <c r="B20" s="95" t="s">
        <v>479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75" t="s">
        <v>0</v>
      </c>
      <c r="N20" s="372">
        <f>CB22</f>
        <v>42.20182612684393</v>
      </c>
      <c r="O20" s="372"/>
      <c r="P20" s="372"/>
      <c r="Q20" s="40"/>
      <c r="R20" s="419" t="s">
        <v>392</v>
      </c>
      <c r="S20" s="420"/>
      <c r="T20" s="420"/>
      <c r="U20" s="420"/>
      <c r="V20" s="420"/>
      <c r="W20" s="420"/>
      <c r="X20" s="420"/>
      <c r="Y20" s="420"/>
      <c r="Z20" s="421"/>
      <c r="AB20" s="99"/>
      <c r="AC20" s="153"/>
      <c r="AD20" s="153"/>
      <c r="AE20" s="153"/>
      <c r="AF20" s="153"/>
      <c r="AG20" s="153"/>
      <c r="AH20" s="150"/>
      <c r="AI20" s="153"/>
      <c r="AJ20" s="153"/>
      <c r="AK20" s="153"/>
      <c r="AL20" s="153"/>
      <c r="AM20" s="153"/>
      <c r="AN20" s="153"/>
      <c r="AO20" s="153"/>
      <c r="AP20" s="40"/>
      <c r="AQ20" s="40"/>
      <c r="AR20" s="40"/>
      <c r="BY20" s="40" t="s">
        <v>47</v>
      </c>
      <c r="BZ20" s="40"/>
      <c r="CA20" s="40" t="s">
        <v>0</v>
      </c>
      <c r="CB20" s="101" t="b">
        <f>IF(Mx&gt;My,Mx,IF(Mx&lt;My,My))</f>
        <v>0</v>
      </c>
      <c r="CC20" s="40"/>
      <c r="CD20" s="40">
        <v>8</v>
      </c>
      <c r="CE20" s="40" t="s">
        <v>68</v>
      </c>
      <c r="CF20" s="39">
        <v>4.96</v>
      </c>
      <c r="CG20" s="39">
        <v>6.322</v>
      </c>
      <c r="CH20" s="52"/>
      <c r="CI20" s="39">
        <v>210</v>
      </c>
      <c r="CJ20" s="75">
        <v>21.9</v>
      </c>
      <c r="CK20" s="52"/>
      <c r="CL20" s="52"/>
      <c r="CM20" s="93">
        <v>28</v>
      </c>
      <c r="CN20" s="75">
        <v>6.33</v>
      </c>
      <c r="CO20" s="52"/>
      <c r="CP20" s="52" t="s">
        <v>138</v>
      </c>
      <c r="CQ20" s="75">
        <f>'Steel Table'!EP56</f>
        <v>0</v>
      </c>
      <c r="CR20" s="74"/>
      <c r="CS20" s="52"/>
      <c r="CT20" s="52">
        <v>2</v>
      </c>
      <c r="CU20" s="52" t="str">
        <f>VLOOKUP(2,$DE$8:$DN$78,CV$8,TRUE)</f>
        <v>[-60x30x10x2 mm.</v>
      </c>
      <c r="CV20" s="103"/>
      <c r="CW20" s="52"/>
      <c r="CX20" s="94"/>
      <c r="CY20" s="94"/>
      <c r="CZ20" s="63"/>
      <c r="DA20" s="63"/>
      <c r="DB20" s="74"/>
      <c r="DC20" s="74"/>
      <c r="DD20" s="52"/>
      <c r="DE20" s="40">
        <v>13</v>
      </c>
      <c r="DF20" s="40" t="str">
        <f>'Steel Table'!C18</f>
        <v>WF-250x125x5x8 mm.</v>
      </c>
      <c r="DG20" s="40" t="str">
        <f>'Steel Table'!S18</f>
        <v>I-350x150x9x15 mm.</v>
      </c>
      <c r="DH20" s="40" t="str">
        <f>'Steel Table'!AJ18</f>
        <v>[-300x90x10x15.5 mm.</v>
      </c>
      <c r="DI20" s="40" t="str">
        <f>'Steel Table'!BC18</f>
        <v>Tube-50x50x3.6 mm.</v>
      </c>
      <c r="DJ20" s="40" t="str">
        <f>'Steel Table'!BO18</f>
        <v>Tube-100x50x3.6 mm.</v>
      </c>
      <c r="DK20" s="40" t="str">
        <f>'Steel Table'!CD18</f>
        <v>Pipe-D60.5x4 mm.</v>
      </c>
      <c r="DL20" s="40" t="str">
        <f>'Steel Table'!CO18</f>
        <v>[-100x50x20x2 mm.</v>
      </c>
      <c r="DM20" s="40" t="str">
        <f>'Steel Table'!AJ39</f>
        <v>2[]-300x90x10x15.5 mm.</v>
      </c>
      <c r="DN20" s="40" t="str">
        <f>'Steel Table'!DG18</f>
        <v>2[]-100x50x20x2 mm.</v>
      </c>
      <c r="DO20" s="52"/>
      <c r="DP20" s="40"/>
      <c r="DQ20" s="40"/>
      <c r="DR20" s="40"/>
      <c r="DS20" s="40"/>
      <c r="DT20" s="40"/>
      <c r="DU20" s="40"/>
      <c r="DV20" s="40"/>
      <c r="DW20" s="40"/>
      <c r="DX20" s="40"/>
    </row>
    <row r="21" spans="1:128" s="35" customFormat="1" ht="15.75" customHeight="1">
      <c r="A21" s="52"/>
      <c r="B21" s="31" t="s">
        <v>41</v>
      </c>
      <c r="C21" s="40"/>
      <c r="D21" s="40"/>
      <c r="E21" s="40"/>
      <c r="F21" s="40"/>
      <c r="G21" s="40"/>
      <c r="H21" s="40"/>
      <c r="I21" s="40"/>
      <c r="J21" s="40"/>
      <c r="K21" s="52"/>
      <c r="L21" s="52"/>
      <c r="M21" s="75" t="s">
        <v>0</v>
      </c>
      <c r="N21" s="372" t="str">
        <f>IF(θ&lt;=18,"-",IF(θ&gt;18,Wo))</f>
        <v>-</v>
      </c>
      <c r="O21" s="372"/>
      <c r="P21" s="372"/>
      <c r="Q21" s="40"/>
      <c r="R21" s="40"/>
      <c r="S21" s="40"/>
      <c r="T21" s="40"/>
      <c r="U21" s="40"/>
      <c r="V21" s="40"/>
      <c r="W21" s="40"/>
      <c r="X21" s="40"/>
      <c r="Y21" s="40"/>
      <c r="Z21" s="60"/>
      <c r="AB21" s="99"/>
      <c r="AC21" s="412" t="s">
        <v>480</v>
      </c>
      <c r="AD21" s="413"/>
      <c r="AE21" s="413"/>
      <c r="AF21" s="413"/>
      <c r="AG21" s="414"/>
      <c r="AH21" s="153"/>
      <c r="AI21" s="153"/>
      <c r="AJ21" s="153"/>
      <c r="AK21" s="153"/>
      <c r="AL21" s="153"/>
      <c r="AM21" s="153"/>
      <c r="AN21" s="153"/>
      <c r="AO21" s="153"/>
      <c r="AP21" s="40"/>
      <c r="AQ21" s="40"/>
      <c r="AR21" s="40"/>
      <c r="BY21" s="40"/>
      <c r="BZ21" s="40"/>
      <c r="CA21" s="40"/>
      <c r="CB21" s="40"/>
      <c r="CC21" s="40"/>
      <c r="CD21" s="40">
        <v>9</v>
      </c>
      <c r="CE21" s="40" t="s">
        <v>69</v>
      </c>
      <c r="CF21" s="39">
        <v>6.76</v>
      </c>
      <c r="CG21" s="39">
        <v>8.607</v>
      </c>
      <c r="CH21" s="52"/>
      <c r="CI21" s="39">
        <v>280</v>
      </c>
      <c r="CJ21" s="75">
        <v>28.3</v>
      </c>
      <c r="CK21" s="52"/>
      <c r="CL21" s="52"/>
      <c r="CM21" s="93">
        <v>37.4</v>
      </c>
      <c r="CN21" s="75">
        <v>8.19</v>
      </c>
      <c r="CO21" s="52"/>
      <c r="CP21" s="52" t="s">
        <v>172</v>
      </c>
      <c r="CQ21" s="39">
        <f>'Steel Table'!EQ56</f>
        <v>0</v>
      </c>
      <c r="CR21" s="40"/>
      <c r="CS21" s="40"/>
      <c r="CT21" s="52">
        <v>3</v>
      </c>
      <c r="CU21" s="52" t="str">
        <f>VLOOKUP(3,$DE$8:$DN$78,CV$8,TRUE)</f>
        <v>[-60x30x10x2.3 mm.</v>
      </c>
      <c r="CV21" s="104"/>
      <c r="CW21" s="40"/>
      <c r="CX21" s="40"/>
      <c r="CY21" s="40"/>
      <c r="CZ21" s="40"/>
      <c r="DA21" s="40"/>
      <c r="DB21" s="40"/>
      <c r="DC21" s="40"/>
      <c r="DD21" s="40"/>
      <c r="DE21" s="40">
        <v>14</v>
      </c>
      <c r="DF21" s="40" t="str">
        <f>'Steel Table'!C19</f>
        <v>WF-250x125x6x9 mm.</v>
      </c>
      <c r="DG21" s="40" t="str">
        <f>'Steel Table'!S19</f>
        <v>I-350x150x12x24 mm.</v>
      </c>
      <c r="DH21" s="40" t="str">
        <f>'Steel Table'!AJ19</f>
        <v>[-300x90x12x16 mm.</v>
      </c>
      <c r="DI21" s="40" t="str">
        <f>'Steel Table'!BC19</f>
        <v>Tube-50x50x4 mm.</v>
      </c>
      <c r="DJ21" s="40" t="str">
        <f>'Steel Table'!BO19</f>
        <v>Tube-100x50x4 mm.</v>
      </c>
      <c r="DK21" s="40" t="str">
        <f>'Steel Table'!CD19</f>
        <v>Pipe-D76.3x2.8 mm.</v>
      </c>
      <c r="DL21" s="40" t="str">
        <f>'Steel Table'!CO19</f>
        <v>[-100x50x20x2.3 mm.</v>
      </c>
      <c r="DM21" s="40" t="str">
        <f>'Steel Table'!AJ40</f>
        <v>2[]-300x90x12x16 mm.</v>
      </c>
      <c r="DN21" s="40" t="str">
        <f>'Steel Table'!DG19</f>
        <v>2[]-100x50x20x2.3 mm.</v>
      </c>
      <c r="DO21" s="52"/>
      <c r="DP21" s="40"/>
      <c r="DQ21" s="40"/>
      <c r="DR21" s="40"/>
      <c r="DS21" s="40"/>
      <c r="DT21" s="40"/>
      <c r="DU21" s="40"/>
      <c r="DV21" s="40"/>
      <c r="DW21" s="40"/>
      <c r="DX21" s="40"/>
    </row>
    <row r="22" spans="1:128" s="35" customFormat="1" ht="15.75" customHeight="1">
      <c r="A22" s="52"/>
      <c r="B22" s="31" t="str">
        <f>"น้ำหนักรวมตั้งฉากกับ"&amp;CI33&amp;" , (kg./m.²)"</f>
        <v>น้ำหนักรวมตั้งฉากกับจันทัน , (kg./m.²)</v>
      </c>
      <c r="K22" s="317"/>
      <c r="M22" s="36" t="s">
        <v>0</v>
      </c>
      <c r="N22" s="422">
        <f>SUM(N20:P21)</f>
        <v>42.20182612684393</v>
      </c>
      <c r="O22" s="373"/>
      <c r="P22" s="373"/>
      <c r="Q22" s="70"/>
      <c r="R22" s="70"/>
      <c r="S22" s="70"/>
      <c r="T22" s="70"/>
      <c r="U22" s="71" t="str">
        <f>"L = "&amp;ROUND(CB31,2)&amp;" m."</f>
        <v>L = 4.18 m.</v>
      </c>
      <c r="V22" s="70"/>
      <c r="W22" s="70"/>
      <c r="X22" s="70"/>
      <c r="Y22" s="80" t="str">
        <f>"a = "&amp;ROUND(CB32,2)&amp;" m."</f>
        <v>a = 1.04 m.</v>
      </c>
      <c r="Z22" s="80"/>
      <c r="AA22" s="70"/>
      <c r="AB22" s="99"/>
      <c r="AC22" s="415">
        <v>1</v>
      </c>
      <c r="AD22" s="416"/>
      <c r="AE22" s="416"/>
      <c r="AF22" s="416"/>
      <c r="AG22" s="417"/>
      <c r="AH22" s="153"/>
      <c r="AI22" s="153"/>
      <c r="AJ22" s="153"/>
      <c r="AK22" s="153"/>
      <c r="AL22" s="153"/>
      <c r="AM22" s="153"/>
      <c r="AN22" s="153"/>
      <c r="AO22" s="153"/>
      <c r="AP22" s="40"/>
      <c r="AQ22" s="40"/>
      <c r="AR22" s="40"/>
      <c r="BY22" s="40" t="s">
        <v>478</v>
      </c>
      <c r="BZ22" s="40"/>
      <c r="CA22" s="40" t="s">
        <v>0</v>
      </c>
      <c r="CB22" s="101">
        <f>N19*Cosθ</f>
        <v>42.20182612684393</v>
      </c>
      <c r="CC22" s="40"/>
      <c r="CD22" s="40">
        <v>10</v>
      </c>
      <c r="CE22" s="40" t="s">
        <v>70</v>
      </c>
      <c r="CF22" s="75">
        <v>5.5</v>
      </c>
      <c r="CG22" s="39">
        <v>7.012</v>
      </c>
      <c r="CH22" s="52"/>
      <c r="CI22" s="39">
        <v>248</v>
      </c>
      <c r="CJ22" s="75">
        <v>41.1</v>
      </c>
      <c r="CK22" s="40"/>
      <c r="CL22" s="40"/>
      <c r="CM22" s="39">
        <v>33</v>
      </c>
      <c r="CN22" s="39">
        <v>9.37</v>
      </c>
      <c r="CO22" s="40"/>
      <c r="CP22" s="40" t="s">
        <v>173</v>
      </c>
      <c r="CQ22" s="39">
        <f>'Steel Table'!ER56</f>
        <v>0</v>
      </c>
      <c r="CR22" s="40"/>
      <c r="CS22" s="40"/>
      <c r="CT22" s="52">
        <v>4</v>
      </c>
      <c r="CU22" s="52" t="str">
        <f>VLOOKUP(4,$DE$8:$DN$78,CV$8,TRUE)</f>
        <v>[-70x40x25x1.6 mm.</v>
      </c>
      <c r="CV22" s="104"/>
      <c r="CW22" s="40"/>
      <c r="CX22" s="40"/>
      <c r="CY22" s="40"/>
      <c r="CZ22" s="40"/>
      <c r="DA22" s="40"/>
      <c r="DB22" s="40"/>
      <c r="DC22" s="40"/>
      <c r="DD22" s="40"/>
      <c r="DE22" s="40">
        <v>15</v>
      </c>
      <c r="DF22" s="40" t="str">
        <f>'Steel Table'!C20</f>
        <v>WF-250X250x11x11 mm.</v>
      </c>
      <c r="DG22" s="40" t="str">
        <f>'Steel Table'!S20</f>
        <v>I-400x150x10x18 mm.</v>
      </c>
      <c r="DH22" s="40" t="str">
        <f>'Steel Table'!AJ20</f>
        <v>[-380x100x10.5x16 mm.</v>
      </c>
      <c r="DI22" s="40" t="str">
        <f>'Steel Table'!BC20</f>
        <v>Tube-50x50x5 mm.</v>
      </c>
      <c r="DJ22" s="40" t="str">
        <f>'Steel Table'!BO20</f>
        <v>Tube-100x50x4.5 mm.</v>
      </c>
      <c r="DK22" s="40" t="str">
        <f>'Steel Table'!CD20</f>
        <v>Pipe-D76.3x3.2 mm.</v>
      </c>
      <c r="DL22" s="40" t="str">
        <f>'Steel Table'!CO20</f>
        <v>[-100x50x20x2.8 mm.</v>
      </c>
      <c r="DM22" s="40" t="str">
        <f>'Steel Table'!AJ41</f>
        <v>2[]-380x100x10.5x16 mm.</v>
      </c>
      <c r="DN22" s="40" t="str">
        <f>'Steel Table'!DG20</f>
        <v>2[]-100x50x20x2.8 mm.</v>
      </c>
      <c r="DO22" s="52"/>
      <c r="DP22" s="40"/>
      <c r="DQ22" s="40"/>
      <c r="DR22" s="40"/>
      <c r="DS22" s="40"/>
      <c r="DT22" s="40"/>
      <c r="DU22" s="40"/>
      <c r="DV22" s="40"/>
      <c r="DW22" s="40"/>
      <c r="DX22" s="40"/>
    </row>
    <row r="23" spans="1:128" s="35" customFormat="1" ht="15.75" customHeight="1">
      <c r="A23" s="40"/>
      <c r="B23" s="34" t="str">
        <f>IF(CI29=1,CI34,IF(CI29=2,CI35))</f>
        <v>ระยะห่างของจันทัน , (m.)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75" t="s">
        <v>0</v>
      </c>
      <c r="N23" s="351">
        <v>1.35</v>
      </c>
      <c r="O23" s="351"/>
      <c r="P23" s="351"/>
      <c r="Q23" s="40"/>
      <c r="S23" s="40"/>
      <c r="T23" s="40"/>
      <c r="U23" s="40"/>
      <c r="V23" s="40"/>
      <c r="W23" s="40"/>
      <c r="X23" s="40"/>
      <c r="Z23" s="40"/>
      <c r="AB23" s="99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40"/>
      <c r="AQ23" s="40"/>
      <c r="AR23" s="40"/>
      <c r="BY23" s="40"/>
      <c r="BZ23" s="40"/>
      <c r="CA23" s="40"/>
      <c r="CB23" s="40"/>
      <c r="CC23" s="40"/>
      <c r="CD23" s="40">
        <v>11</v>
      </c>
      <c r="CE23" s="40" t="s">
        <v>71</v>
      </c>
      <c r="CF23" s="75">
        <v>7.51</v>
      </c>
      <c r="CG23" s="39">
        <v>9.57</v>
      </c>
      <c r="CH23" s="52"/>
      <c r="CI23" s="39">
        <v>332</v>
      </c>
      <c r="CJ23" s="75">
        <v>53.8</v>
      </c>
      <c r="CK23" s="40"/>
      <c r="CL23" s="40"/>
      <c r="CM23" s="39">
        <v>44.3</v>
      </c>
      <c r="CN23" s="39">
        <v>12.2</v>
      </c>
      <c r="CO23" s="40"/>
      <c r="CP23" s="40"/>
      <c r="CQ23" s="40"/>
      <c r="CR23" s="96"/>
      <c r="CS23" s="40"/>
      <c r="CT23" s="52">
        <v>5</v>
      </c>
      <c r="CU23" s="52" t="str">
        <f>VLOOKUP(5,$DE$8:$DN$78,CV$8,TRUE)</f>
        <v>[-70x40x25x2.3 mm.</v>
      </c>
      <c r="CV23" s="108"/>
      <c r="CW23" s="40"/>
      <c r="CX23" s="88"/>
      <c r="CY23" s="88"/>
      <c r="CZ23" s="136"/>
      <c r="DA23" s="63"/>
      <c r="DB23" s="101"/>
      <c r="DC23" s="101"/>
      <c r="DD23" s="40"/>
      <c r="DE23" s="40">
        <v>16</v>
      </c>
      <c r="DF23" s="40" t="str">
        <f>'Steel Table'!C21</f>
        <v>WF-250X250x8x13 mm.</v>
      </c>
      <c r="DG23" s="40" t="str">
        <f>'Steel Table'!S21</f>
        <v>I-400x150x12.5x25 mm.</v>
      </c>
      <c r="DH23" s="40" t="str">
        <f>'Steel Table'!AJ21</f>
        <v>[-380x100x13x16.5 mm.</v>
      </c>
      <c r="DI23" s="40" t="str">
        <f>'Steel Table'!BC21</f>
        <v>Tube-75x75x2.3 mm.</v>
      </c>
      <c r="DJ23" s="40" t="str">
        <f>'Steel Table'!BO21</f>
        <v>Tube-125x75x2.3 mm.</v>
      </c>
      <c r="DK23" s="40" t="str">
        <f>'Steel Table'!CD21</f>
        <v>Pipe-D76.3x4 mm.</v>
      </c>
      <c r="DL23" s="40" t="str">
        <f>'Steel Table'!CO21</f>
        <v>[-100x50x20x3.2 mm.</v>
      </c>
      <c r="DM23" s="40" t="str">
        <f>'Steel Table'!AJ42</f>
        <v>2[]-380x100x13x16.5 mm.</v>
      </c>
      <c r="DN23" s="40" t="str">
        <f>'Steel Table'!DG21</f>
        <v>2[]-100x50x20x3.2 mm.</v>
      </c>
      <c r="DO23" s="52"/>
      <c r="DP23" s="40"/>
      <c r="DQ23" s="40"/>
      <c r="DR23" s="40"/>
      <c r="DS23" s="40"/>
      <c r="DT23" s="40"/>
      <c r="DU23" s="40"/>
      <c r="DV23" s="40"/>
      <c r="DW23" s="40"/>
      <c r="DX23" s="40"/>
    </row>
    <row r="24" spans="1:128" s="35" customFormat="1" ht="15.75" customHeight="1">
      <c r="A24" s="40"/>
      <c r="B24" s="34" t="str">
        <f>"รวมน้ำหนักลง"&amp;CI33&amp;"ทั้งหมด , W (kg./m.)"</f>
        <v>รวมน้ำหนักลงจันทันทั้งหมด , W (kg./m.)</v>
      </c>
      <c r="C24" s="40"/>
      <c r="D24" s="40"/>
      <c r="E24" s="40"/>
      <c r="F24" s="40"/>
      <c r="G24" s="40"/>
      <c r="H24" s="40"/>
      <c r="I24" s="40"/>
      <c r="J24" s="40"/>
      <c r="K24" s="40"/>
      <c r="L24" s="39"/>
      <c r="M24" s="75" t="s">
        <v>0</v>
      </c>
      <c r="N24" s="372">
        <f>N22*N23</f>
        <v>56.972465271239315</v>
      </c>
      <c r="O24" s="396"/>
      <c r="P24" s="396"/>
      <c r="Q24" s="40"/>
      <c r="R24" s="40" t="str">
        <f>"Ra = "&amp;ROUND(CB33,2)&amp;" kg."</f>
        <v>Ra = 111.53 kg.</v>
      </c>
      <c r="S24" s="52"/>
      <c r="T24" s="39"/>
      <c r="U24" s="74"/>
      <c r="V24" s="74"/>
      <c r="W24" s="74"/>
      <c r="X24" s="52"/>
      <c r="Y24" s="40" t="str">
        <f>"Rb = "&amp;ROUND(CB34,2)&amp;" kg."</f>
        <v>Rb = 185.88 kg.</v>
      </c>
      <c r="Z24" s="40"/>
      <c r="AA24" s="40"/>
      <c r="AB24" s="99"/>
      <c r="AC24" s="152"/>
      <c r="AD24" s="152"/>
      <c r="AE24" s="152"/>
      <c r="AF24" s="152"/>
      <c r="AG24" s="152"/>
      <c r="AH24" s="153"/>
      <c r="AI24" s="153"/>
      <c r="AJ24" s="153"/>
      <c r="AK24" s="153"/>
      <c r="AL24" s="153"/>
      <c r="AM24" s="153"/>
      <c r="AN24" s="153"/>
      <c r="AO24" s="153"/>
      <c r="AP24" s="40"/>
      <c r="AQ24" s="40"/>
      <c r="AR24" s="40"/>
      <c r="BY24" s="40"/>
      <c r="BZ24" s="40"/>
      <c r="CA24" s="40"/>
      <c r="CB24" s="40"/>
      <c r="CC24" s="40"/>
      <c r="CD24" s="40">
        <v>12</v>
      </c>
      <c r="CE24" s="40" t="s">
        <v>116</v>
      </c>
      <c r="CF24" s="39">
        <v>9.85</v>
      </c>
      <c r="CG24" s="39">
        <v>12.55</v>
      </c>
      <c r="CH24" s="52"/>
      <c r="CI24" s="39">
        <v>445</v>
      </c>
      <c r="CJ24" s="75">
        <v>91</v>
      </c>
      <c r="CK24" s="40"/>
      <c r="CL24" s="40"/>
      <c r="CM24" s="93">
        <v>59.3</v>
      </c>
      <c r="CN24" s="93">
        <v>18.2</v>
      </c>
      <c r="CO24" s="40"/>
      <c r="CP24" s="40"/>
      <c r="CQ24" s="40"/>
      <c r="CR24" s="96"/>
      <c r="CS24" s="40"/>
      <c r="CT24" s="52">
        <v>6</v>
      </c>
      <c r="CU24" s="52" t="str">
        <f>VLOOKUP(6,$DE$8:$DN$78,CV$8,TRUE)</f>
        <v>[-75x45x15x1.6 mm.</v>
      </c>
      <c r="CV24" s="108"/>
      <c r="CW24" s="40"/>
      <c r="CX24" s="88"/>
      <c r="CY24" s="88"/>
      <c r="CZ24" s="63"/>
      <c r="DA24" s="63"/>
      <c r="DB24" s="101"/>
      <c r="DC24" s="101"/>
      <c r="DD24" s="101"/>
      <c r="DE24" s="40">
        <v>17</v>
      </c>
      <c r="DF24" s="40" t="str">
        <f>'Steel Table'!C22</f>
        <v>WF-250X250x9x14 mm.</v>
      </c>
      <c r="DG24" s="40" t="str">
        <f>'Steel Table'!S22</f>
        <v>I-450x175x11x20 mm.</v>
      </c>
      <c r="DH24" s="40" t="str">
        <f>'Steel Table'!AJ22</f>
        <v>[-380x100x13x20 mm.</v>
      </c>
      <c r="DI24" s="40" t="str">
        <f>'Steel Table'!BC22</f>
        <v>Tube-75x75x3.2 mm.</v>
      </c>
      <c r="DJ24" s="40" t="str">
        <f>'Steel Table'!BO22</f>
        <v>Tube-125x75x3.2 mm.</v>
      </c>
      <c r="DK24" s="40" t="str">
        <f>'Steel Table'!CD22</f>
        <v>Pipe-D89.1x2.8 mm.</v>
      </c>
      <c r="DL24" s="40" t="str">
        <f>'Steel Table'!CO22</f>
        <v>[-100x50x20x4 mm.</v>
      </c>
      <c r="DM24" s="40" t="str">
        <f>'Steel Table'!AJ43</f>
        <v>2[]-380x100x13x20 mm.</v>
      </c>
      <c r="DN24" s="40" t="str">
        <f>'Steel Table'!DG22</f>
        <v>2[]-100x50x20x4 mm.</v>
      </c>
      <c r="DO24" s="52"/>
      <c r="DP24" s="40"/>
      <c r="DQ24" s="40"/>
      <c r="DR24" s="40"/>
      <c r="DS24" s="40"/>
      <c r="DT24" s="40"/>
      <c r="DU24" s="40"/>
      <c r="DV24" s="40"/>
      <c r="DW24" s="40"/>
      <c r="DX24" s="40"/>
    </row>
    <row r="25" spans="1:128" s="35" customFormat="1" ht="15.75" customHeight="1">
      <c r="A25" s="40"/>
      <c r="N25" s="373"/>
      <c r="O25" s="373"/>
      <c r="P25" s="373"/>
      <c r="Q25" s="40"/>
      <c r="R25" s="52"/>
      <c r="S25" s="52"/>
      <c r="T25" s="39"/>
      <c r="U25" s="52"/>
      <c r="V25" s="52"/>
      <c r="W25" s="52"/>
      <c r="X25" s="52"/>
      <c r="Y25" s="52"/>
      <c r="Z25" s="40"/>
      <c r="AA25" s="40"/>
      <c r="AB25" s="99"/>
      <c r="AC25" s="152"/>
      <c r="AD25" s="152"/>
      <c r="AE25" s="152"/>
      <c r="AF25" s="152"/>
      <c r="AG25" s="152"/>
      <c r="AH25" s="153"/>
      <c r="AI25" s="153"/>
      <c r="AJ25" s="153"/>
      <c r="AK25" s="153"/>
      <c r="AL25" s="153"/>
      <c r="AM25" s="153"/>
      <c r="AN25" s="153"/>
      <c r="AO25" s="153"/>
      <c r="AP25" s="40"/>
      <c r="AQ25" s="40"/>
      <c r="AR25" s="40"/>
      <c r="BY25" s="40"/>
      <c r="BZ25" s="40"/>
      <c r="CA25" s="40"/>
      <c r="CB25" s="40"/>
      <c r="CC25" s="40"/>
      <c r="CD25" s="40">
        <v>13</v>
      </c>
      <c r="CE25" s="40" t="s">
        <v>117</v>
      </c>
      <c r="CF25" s="39">
        <v>9.52</v>
      </c>
      <c r="CG25" s="39">
        <v>12.13</v>
      </c>
      <c r="CH25" s="52"/>
      <c r="CI25" s="39">
        <v>716</v>
      </c>
      <c r="CJ25" s="75">
        <v>84.1</v>
      </c>
      <c r="CK25" s="40"/>
      <c r="CL25" s="40"/>
      <c r="CM25" s="93">
        <v>71.6</v>
      </c>
      <c r="CN25" s="75">
        <v>15.8</v>
      </c>
      <c r="CO25" s="40"/>
      <c r="CP25" s="40"/>
      <c r="CQ25" s="40"/>
      <c r="CR25" s="96"/>
      <c r="CS25" s="40"/>
      <c r="CT25" s="52">
        <v>7</v>
      </c>
      <c r="CU25" s="52" t="str">
        <f>VLOOKUP(7,$DE$8:$DN$78,CV$8,TRUE)</f>
        <v>[-75x45x15x2 mm.</v>
      </c>
      <c r="CV25" s="108"/>
      <c r="CW25" s="40"/>
      <c r="CX25" s="88"/>
      <c r="CY25" s="88"/>
      <c r="CZ25" s="63"/>
      <c r="DA25" s="63"/>
      <c r="DB25" s="101"/>
      <c r="DC25" s="101"/>
      <c r="DD25" s="101"/>
      <c r="DE25" s="40">
        <v>18</v>
      </c>
      <c r="DF25" s="40" t="str">
        <f>'Steel Table'!C23</f>
        <v>WF-250X250x14x14 mm.</v>
      </c>
      <c r="DG25" s="40" t="str">
        <f>'Steel Table'!S23</f>
        <v>I-450x175x13x26 mm.</v>
      </c>
      <c r="DH25" s="40"/>
      <c r="DI25" s="40" t="str">
        <f>'Steel Table'!BC23</f>
        <v>Tube-75x75x4 mm.</v>
      </c>
      <c r="DJ25" s="40" t="str">
        <f>'Steel Table'!BO23</f>
        <v>Tube-125x75x4 mm.</v>
      </c>
      <c r="DK25" s="40" t="str">
        <f>'Steel Table'!CD23</f>
        <v>Pipe-D89.1x3.2 mm.</v>
      </c>
      <c r="DL25" s="40" t="str">
        <f>'Steel Table'!CO23</f>
        <v>[-100x50x20x4.5 mm.</v>
      </c>
      <c r="DM25" s="40"/>
      <c r="DN25" s="40" t="str">
        <f>'Steel Table'!DG23</f>
        <v>2[]-100x50x20x4.5 mm.</v>
      </c>
      <c r="DO25" s="52"/>
      <c r="DP25" s="40"/>
      <c r="DQ25" s="40"/>
      <c r="DR25" s="40"/>
      <c r="DS25" s="40"/>
      <c r="DT25" s="40"/>
      <c r="DU25" s="40"/>
      <c r="DV25" s="40"/>
      <c r="DW25" s="40"/>
      <c r="DX25" s="40"/>
    </row>
    <row r="26" spans="1:128" s="35" customFormat="1" ht="15.75" customHeight="1">
      <c r="A26" s="52"/>
      <c r="B26" s="58" t="str">
        <f>"หาโมเมนต์ที่กระทำกับ"&amp;CI33&amp;"เหล็ก"</f>
        <v>หาโมเมนต์ที่กระทำกับจันทันเหล็ก</v>
      </c>
      <c r="N26" s="373"/>
      <c r="O26" s="373"/>
      <c r="P26" s="373"/>
      <c r="Q26" s="40"/>
      <c r="R26" s="40"/>
      <c r="S26" s="409">
        <f>ROUND(CB35,2)</f>
        <v>111.53</v>
      </c>
      <c r="T26" s="409"/>
      <c r="U26" s="40"/>
      <c r="V26" s="39"/>
      <c r="W26" s="39"/>
      <c r="X26" s="40"/>
      <c r="Y26" s="409">
        <f>ROUND(CB37,2)</f>
        <v>59.48</v>
      </c>
      <c r="Z26" s="409"/>
      <c r="AA26" s="40"/>
      <c r="AB26" s="99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40"/>
      <c r="AQ26" s="40"/>
      <c r="AR26" s="40"/>
      <c r="BY26" s="40"/>
      <c r="BZ26" s="40"/>
      <c r="CA26" s="40"/>
      <c r="CB26" s="40"/>
      <c r="CC26" s="40"/>
      <c r="CD26" s="40">
        <v>14</v>
      </c>
      <c r="CE26" s="40" t="s">
        <v>118</v>
      </c>
      <c r="CF26" s="39">
        <v>11.7</v>
      </c>
      <c r="CG26" s="39">
        <v>14.95</v>
      </c>
      <c r="CH26" s="52"/>
      <c r="CI26" s="39">
        <v>871</v>
      </c>
      <c r="CJ26" s="39">
        <v>100</v>
      </c>
      <c r="CK26" s="40"/>
      <c r="CL26" s="40"/>
      <c r="CM26" s="39">
        <v>87.1</v>
      </c>
      <c r="CN26" s="39">
        <v>18.9</v>
      </c>
      <c r="CO26" s="40"/>
      <c r="CP26" s="40"/>
      <c r="CQ26" s="40"/>
      <c r="CR26" s="40"/>
      <c r="CS26" s="40"/>
      <c r="CT26" s="52">
        <v>8</v>
      </c>
      <c r="CU26" s="52" t="str">
        <f>VLOOKUP(8,$DE$8:$DN$78,CV$8,TRUE)</f>
        <v>[-75x45x15x2.3 mm.</v>
      </c>
      <c r="CV26" s="104"/>
      <c r="CW26" s="40"/>
      <c r="CX26" s="40"/>
      <c r="CY26" s="40"/>
      <c r="CZ26" s="40"/>
      <c r="DA26" s="40"/>
      <c r="DB26" s="40"/>
      <c r="DC26" s="40"/>
      <c r="DD26" s="40"/>
      <c r="DE26" s="40">
        <v>19</v>
      </c>
      <c r="DF26" s="40" t="str">
        <f>'Steel Table'!C24</f>
        <v>WF-300X150x5.5x8 mm.</v>
      </c>
      <c r="DG26" s="40" t="str">
        <f>'Steel Table'!S24</f>
        <v>I-600x190x13x25 mm.</v>
      </c>
      <c r="DH26" s="40"/>
      <c r="DI26" s="40" t="str">
        <f>'Steel Table'!BC24</f>
        <v>Tube-75x75x4.5 mm.</v>
      </c>
      <c r="DJ26" s="40" t="str">
        <f>'Steel Table'!BO24</f>
        <v>Tube-125x75x4.5 mm.</v>
      </c>
      <c r="DK26" s="40" t="str">
        <f>'Steel Table'!CD24</f>
        <v>Pipe-D101.6x3.2 mm.</v>
      </c>
      <c r="DL26" s="40" t="str">
        <f>'Steel Table'!CO24</f>
        <v>[-120x40x20x3.2 mm.</v>
      </c>
      <c r="DM26" s="40"/>
      <c r="DN26" s="40" t="str">
        <f>'Steel Table'!DG24</f>
        <v>2[]-120x40x20x3.2 mm.</v>
      </c>
      <c r="DO26" s="40"/>
      <c r="DP26" s="40"/>
      <c r="DQ26" s="40"/>
      <c r="DR26" s="40"/>
      <c r="DS26" s="40"/>
      <c r="DT26" s="40"/>
      <c r="DU26" s="40"/>
      <c r="DV26" s="40"/>
      <c r="DW26" s="40"/>
      <c r="DX26" s="40"/>
    </row>
    <row r="27" spans="1:128" s="35" customFormat="1" ht="15.75" customHeight="1">
      <c r="A27" s="52"/>
      <c r="B27" s="31" t="s">
        <v>488</v>
      </c>
      <c r="M27" s="36" t="s">
        <v>0</v>
      </c>
      <c r="N27" s="423">
        <f>CC39</f>
        <v>109.16013365446439</v>
      </c>
      <c r="O27" s="423"/>
      <c r="P27" s="423"/>
      <c r="Q27" s="40"/>
      <c r="R27" s="70"/>
      <c r="S27" s="70"/>
      <c r="T27" s="70"/>
      <c r="U27" s="70"/>
      <c r="V27" s="318"/>
      <c r="W27" s="318"/>
      <c r="X27" s="70"/>
      <c r="Y27" s="70"/>
      <c r="Z27" s="70"/>
      <c r="AA27" s="40"/>
      <c r="AB27" s="99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40"/>
      <c r="AQ27" s="40"/>
      <c r="AR27" s="40"/>
      <c r="BW27" s="373" t="str">
        <f>VLOOKUP(CB$10,CD13:CN27,2,TRUE)</f>
        <v>[-60x30x10x2.3 mm.</v>
      </c>
      <c r="BX27" s="373"/>
      <c r="BY27" s="373"/>
      <c r="BZ27" s="373"/>
      <c r="CA27" s="373"/>
      <c r="CB27" s="373"/>
      <c r="CC27" s="40"/>
      <c r="CD27" s="40">
        <v>15</v>
      </c>
      <c r="CE27" s="40" t="s">
        <v>119</v>
      </c>
      <c r="CF27" s="39">
        <v>14.9</v>
      </c>
      <c r="CG27" s="39">
        <v>18.92</v>
      </c>
      <c r="CH27" s="40"/>
      <c r="CI27" s="39">
        <v>1690</v>
      </c>
      <c r="CJ27" s="39">
        <v>129</v>
      </c>
      <c r="CK27" s="40"/>
      <c r="CL27" s="40"/>
      <c r="CM27" s="39">
        <v>135</v>
      </c>
      <c r="CN27" s="39">
        <v>23.8</v>
      </c>
      <c r="CO27" s="40"/>
      <c r="CP27" s="40"/>
      <c r="CQ27" s="40"/>
      <c r="CR27" s="40"/>
      <c r="CS27" s="40"/>
      <c r="CT27" s="52">
        <v>9</v>
      </c>
      <c r="CU27" s="52" t="str">
        <f>VLOOKUP(9,$DE$8:$DN$78,CV$8,TRUE)</f>
        <v>[-90x45x20x1.6 mm.</v>
      </c>
      <c r="CV27" s="40"/>
      <c r="CW27" s="40"/>
      <c r="CX27" s="40"/>
      <c r="CY27" s="40"/>
      <c r="CZ27" s="40"/>
      <c r="DA27" s="40"/>
      <c r="DB27" s="40"/>
      <c r="DC27" s="40"/>
      <c r="DD27" s="40"/>
      <c r="DE27" s="40">
        <v>20</v>
      </c>
      <c r="DF27" s="40" t="str">
        <f>'Steel Table'!C25</f>
        <v>WF-300X150x6.5x9 mm.</v>
      </c>
      <c r="DG27" s="40" t="str">
        <f>'Steel Table'!S25</f>
        <v>I-600x190x16x35 mm.</v>
      </c>
      <c r="DH27" s="40"/>
      <c r="DI27" s="40" t="str">
        <f>'Steel Table'!BC25</f>
        <v>Tube-100x100x2.3 mm.</v>
      </c>
      <c r="DJ27" s="40" t="str">
        <f>'Steel Table'!BO25</f>
        <v>Tube-125x75x6 mm.</v>
      </c>
      <c r="DK27" s="40" t="str">
        <f>'Steel Table'!CD25</f>
        <v>Pipe-D101.6x4 mm.</v>
      </c>
      <c r="DL27" s="40" t="str">
        <f>'Steel Table'!CO25</f>
        <v>[-120x60x25x2.3 mm.</v>
      </c>
      <c r="DM27" s="40"/>
      <c r="DN27" s="40" t="str">
        <f>'Steel Table'!DG25</f>
        <v>2[]-120x60x25x2.3 mm.</v>
      </c>
      <c r="DO27" s="40"/>
      <c r="DP27" s="40"/>
      <c r="DQ27" s="40"/>
      <c r="DR27" s="40"/>
      <c r="DS27" s="40"/>
      <c r="DT27" s="40"/>
      <c r="DU27" s="40"/>
      <c r="DV27" s="40"/>
      <c r="DW27" s="40"/>
      <c r="DX27" s="40"/>
    </row>
    <row r="28" spans="1:128" s="35" customFormat="1" ht="15.75" customHeight="1">
      <c r="A28" s="52"/>
      <c r="B28" s="34" t="str">
        <f>BU18</f>
        <v>ค่าโมดูลัสหน้าตัดที่ต้องการได้ S=Mmax/Fb , cm.³</v>
      </c>
      <c r="C28" s="40"/>
      <c r="D28" s="40"/>
      <c r="E28" s="40"/>
      <c r="F28" s="40"/>
      <c r="G28" s="40"/>
      <c r="H28" s="40"/>
      <c r="I28" s="40"/>
      <c r="J28" s="40"/>
      <c r="K28" s="40"/>
      <c r="L28" s="39"/>
      <c r="M28" s="75" t="s">
        <v>0</v>
      </c>
      <c r="N28" s="424">
        <f>(N27*100)/Fb</f>
        <v>7.580564837115583</v>
      </c>
      <c r="O28" s="424"/>
      <c r="P28" s="424"/>
      <c r="Q28" s="40"/>
      <c r="R28" s="40"/>
      <c r="S28" s="40"/>
      <c r="T28" s="40"/>
      <c r="U28" s="40"/>
      <c r="V28" s="106"/>
      <c r="W28" s="106"/>
      <c r="X28" s="40"/>
      <c r="Y28" s="40"/>
      <c r="Z28" s="40"/>
      <c r="AA28" s="40"/>
      <c r="AB28" s="99"/>
      <c r="AC28" s="405" t="s">
        <v>113</v>
      </c>
      <c r="AD28" s="406"/>
      <c r="AE28" s="406"/>
      <c r="AF28" s="406"/>
      <c r="AG28" s="406"/>
      <c r="AH28" s="407"/>
      <c r="AI28" s="153"/>
      <c r="AJ28" s="153"/>
      <c r="AK28" s="153"/>
      <c r="AL28" s="153"/>
      <c r="AM28" s="153"/>
      <c r="AN28" s="153"/>
      <c r="AO28" s="153"/>
      <c r="AP28" s="40"/>
      <c r="AQ28" s="40"/>
      <c r="AR28" s="40"/>
      <c r="BY28" s="40"/>
      <c r="BZ28" s="40" t="s">
        <v>91</v>
      </c>
      <c r="CA28" s="40"/>
      <c r="CB28" s="40">
        <f>CQ9</f>
        <v>4.06</v>
      </c>
      <c r="CC28" s="40"/>
      <c r="CD28" s="40"/>
      <c r="CE28" s="40"/>
      <c r="CF28" s="39"/>
      <c r="CG28" s="39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52">
        <v>10</v>
      </c>
      <c r="CU28" s="52" t="str">
        <f>VLOOKUP(10,$DE$8:$DN$78,CV$8,TRUE)</f>
        <v>[-90x45x20x2.3 mm.</v>
      </c>
      <c r="CV28" s="40"/>
      <c r="CW28" s="40"/>
      <c r="CX28" s="40"/>
      <c r="CY28" s="40"/>
      <c r="CZ28" s="40"/>
      <c r="DA28" s="40"/>
      <c r="DB28" s="40"/>
      <c r="DC28" s="40"/>
      <c r="DD28" s="40"/>
      <c r="DE28" s="40">
        <v>21</v>
      </c>
      <c r="DF28" s="40" t="str">
        <f>'Steel Table'!C26</f>
        <v>WF-300x200x8x12 mm.</v>
      </c>
      <c r="DG28" s="40"/>
      <c r="DH28" s="40"/>
      <c r="DI28" s="40" t="str">
        <f>'Steel Table'!BC26</f>
        <v>Tube-100x100x3.2 mm.</v>
      </c>
      <c r="DJ28" s="40" t="str">
        <f>'Steel Table'!BO26</f>
        <v>Tube-150x50x3.2 mm.</v>
      </c>
      <c r="DK28" s="40" t="str">
        <f>'Steel Table'!CD26</f>
        <v>Pipe-D114.3x3.2 mm.</v>
      </c>
      <c r="DL28" s="40" t="str">
        <f>'Steel Table'!CO26</f>
        <v>[-120x60x25x3.2 mm.</v>
      </c>
      <c r="DM28" s="40"/>
      <c r="DN28" s="40" t="str">
        <f>'Steel Table'!DG26</f>
        <v>2[]-120x60x25x3.2 mm.</v>
      </c>
      <c r="DO28" s="40"/>
      <c r="DP28" s="40"/>
      <c r="DQ28" s="40"/>
      <c r="DR28" s="40"/>
      <c r="DS28" s="40"/>
      <c r="DT28" s="40"/>
      <c r="DU28" s="40"/>
      <c r="DV28" s="40"/>
      <c r="DW28" s="40"/>
      <c r="DX28" s="40"/>
    </row>
    <row r="29" spans="1:128" s="35" customFormat="1" ht="15.75" customHeight="1">
      <c r="A29" s="52"/>
      <c r="Q29" s="40"/>
      <c r="R29" s="40"/>
      <c r="S29" s="40"/>
      <c r="T29" s="40"/>
      <c r="U29" s="40" t="s">
        <v>492</v>
      </c>
      <c r="V29" s="106"/>
      <c r="W29" s="106"/>
      <c r="X29" s="40"/>
      <c r="Y29" s="409">
        <f>ROUND(CB36,2)</f>
        <v>-126.4</v>
      </c>
      <c r="Z29" s="409"/>
      <c r="AA29" s="40"/>
      <c r="AB29" s="99"/>
      <c r="AC29" s="397" t="s">
        <v>310</v>
      </c>
      <c r="AD29" s="398"/>
      <c r="AE29" s="398"/>
      <c r="AF29" s="398"/>
      <c r="AG29" s="399"/>
      <c r="AH29" s="397" t="s">
        <v>318</v>
      </c>
      <c r="AI29" s="398"/>
      <c r="AJ29" s="399"/>
      <c r="AK29" s="153"/>
      <c r="AL29" s="153"/>
      <c r="AM29" s="153"/>
      <c r="AN29" s="153"/>
      <c r="AO29" s="153"/>
      <c r="AP29" s="40"/>
      <c r="AQ29" s="40"/>
      <c r="AR29" s="40"/>
      <c r="BY29" s="40"/>
      <c r="BZ29" s="40"/>
      <c r="CA29" s="40"/>
      <c r="CB29" s="40"/>
      <c r="CC29" s="40"/>
      <c r="CD29" s="40"/>
      <c r="CE29" s="40"/>
      <c r="CF29" s="39"/>
      <c r="CG29" s="39"/>
      <c r="CH29" s="40"/>
      <c r="CI29" s="40">
        <f>VLOOKUP(AC10,CI30:CJ31,2,FALSE)</f>
        <v>1</v>
      </c>
      <c r="CJ29" s="40"/>
      <c r="CK29" s="40"/>
      <c r="CL29" s="39" t="s">
        <v>503</v>
      </c>
      <c r="CM29" s="40" t="s">
        <v>504</v>
      </c>
      <c r="CN29" s="40"/>
      <c r="CO29" s="40"/>
      <c r="CP29" s="40"/>
      <c r="CQ29" s="40"/>
      <c r="CR29" s="40"/>
      <c r="CS29" s="40"/>
      <c r="CT29" s="52">
        <v>11</v>
      </c>
      <c r="CU29" s="52" t="str">
        <f>VLOOKUP(11,$DE$8:$DN$78,CV$8,TRUE)</f>
        <v>[-90x45x20x3.2 mm.</v>
      </c>
      <c r="CV29" s="40"/>
      <c r="CW29" s="40"/>
      <c r="CX29" s="40"/>
      <c r="CY29" s="40"/>
      <c r="CZ29" s="40"/>
      <c r="DA29" s="40"/>
      <c r="DB29" s="40"/>
      <c r="DC29" s="40"/>
      <c r="DD29" s="40"/>
      <c r="DE29" s="40">
        <v>22</v>
      </c>
      <c r="DF29" s="40" t="str">
        <f>'Steel Table'!C27</f>
        <v>WF-300x200x9x14 mm.</v>
      </c>
      <c r="DG29" s="40"/>
      <c r="DH29" s="40"/>
      <c r="DI29" s="40" t="str">
        <f>'Steel Table'!BC27</f>
        <v>Tube-100x100x4 mm.</v>
      </c>
      <c r="DJ29" s="40" t="str">
        <f>'Steel Table'!BO27</f>
        <v>Tube-150x50x4.5 mm.</v>
      </c>
      <c r="DK29" s="40" t="str">
        <f>'Steel Table'!CD27</f>
        <v>Pipe-D114.3x3.5 mm.</v>
      </c>
      <c r="DL29" s="40" t="str">
        <f>'Steel Table'!CO27</f>
        <v>[-120x60x25x4.5 mm.</v>
      </c>
      <c r="DM29" s="40"/>
      <c r="DN29" s="40" t="str">
        <f>'Steel Table'!DG27</f>
        <v>2[]-120x60x25x4.5 mm.</v>
      </c>
      <c r="DO29" s="40"/>
      <c r="DP29" s="40"/>
      <c r="DQ29" s="40"/>
      <c r="DR29" s="40"/>
      <c r="DS29" s="40"/>
      <c r="DT29" s="40"/>
      <c r="DU29" s="40"/>
      <c r="DV29" s="40"/>
      <c r="DW29" s="40"/>
      <c r="DX29" s="40"/>
    </row>
    <row r="30" spans="1:128" s="35" customFormat="1" ht="15.75" customHeight="1">
      <c r="A30" s="40"/>
      <c r="B30" s="58" t="s">
        <v>500</v>
      </c>
      <c r="F30" s="425" t="str">
        <f>IF(CB10=1,"-",IF(CB10&gt;1,CW19))</f>
        <v>[-100x50x20x2.3 mm.</v>
      </c>
      <c r="G30" s="425"/>
      <c r="H30" s="425"/>
      <c r="I30" s="425"/>
      <c r="J30" s="425"/>
      <c r="K30" s="425"/>
      <c r="L30" s="319" t="str">
        <f>IF(CU8=3,CU12,IF(CU8=7,CU16,""))</f>
        <v>Light Lip Channels</v>
      </c>
      <c r="Q30" s="98"/>
      <c r="R30" s="40"/>
      <c r="S30" s="40"/>
      <c r="T30" s="40"/>
      <c r="U30" s="40" t="str">
        <f>"M1 = "&amp;ROUND(CB39,2)&amp;" kg.-m."</f>
        <v>M1 = 109.16 kg.-m.</v>
      </c>
      <c r="V30" s="40"/>
      <c r="W30" s="40"/>
      <c r="X30" s="40"/>
      <c r="Y30" s="40"/>
      <c r="Z30" s="40"/>
      <c r="AA30" s="40"/>
      <c r="AB30" s="99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40"/>
      <c r="AQ30" s="40"/>
      <c r="AR30" s="40"/>
      <c r="BY30" s="117">
        <f>((Mx*100)/CR12)+((My*100)/CR13)</f>
        <v>0</v>
      </c>
      <c r="BZ30" s="40"/>
      <c r="CA30" s="40"/>
      <c r="CB30" s="40"/>
      <c r="CC30" s="40"/>
      <c r="CD30" s="40"/>
      <c r="CE30" s="40"/>
      <c r="CF30" s="39"/>
      <c r="CG30" s="39"/>
      <c r="CH30" s="40"/>
      <c r="CI30" s="40" t="s">
        <v>496</v>
      </c>
      <c r="CJ30" s="40">
        <v>1</v>
      </c>
      <c r="CK30" s="40"/>
      <c r="CL30" s="40">
        <f>IF(H31&gt;N28,1,IF(H31&lt;N28,2))</f>
        <v>1</v>
      </c>
      <c r="CM30" s="40">
        <f>IF(J39&lt;N39,1,IF(J39&gt;N39,2))</f>
        <v>1</v>
      </c>
      <c r="CN30" s="40"/>
      <c r="CO30" s="40"/>
      <c r="CP30" s="40"/>
      <c r="CQ30" s="40"/>
      <c r="CR30" s="40"/>
      <c r="CS30" s="40"/>
      <c r="CT30" s="52">
        <v>12</v>
      </c>
      <c r="CU30" s="52" t="str">
        <f>VLOOKUP(12,$DE$8:$DN$78,CV$8,TRUE)</f>
        <v>[-100x50x20x1.6 mm.</v>
      </c>
      <c r="CV30" s="52"/>
      <c r="CW30" s="52"/>
      <c r="CX30" s="52"/>
      <c r="CY30" s="52"/>
      <c r="CZ30" s="40"/>
      <c r="DA30" s="40"/>
      <c r="DB30" s="40"/>
      <c r="DC30" s="40"/>
      <c r="DD30" s="40"/>
      <c r="DE30" s="40">
        <v>23</v>
      </c>
      <c r="DF30" s="40" t="str">
        <f>'Steel Table'!C28</f>
        <v>WF-300X300x12x12 mm.</v>
      </c>
      <c r="DG30" s="40"/>
      <c r="DH30" s="40"/>
      <c r="DI30" s="40" t="str">
        <f>'Steel Table'!BC28</f>
        <v>Tube-100x100x4.5 mm.</v>
      </c>
      <c r="DJ30" s="40" t="str">
        <f>'Steel Table'!BO28</f>
        <v>Tube-150x50x6.3 mm.</v>
      </c>
      <c r="DK30" s="40" t="str">
        <f>'Steel Table'!CD28</f>
        <v>Pipe-D114.3x4.5 mm.</v>
      </c>
      <c r="DL30" s="40" t="str">
        <f>'Steel Table'!CO28</f>
        <v>[-125x50x20x2.3 mm.</v>
      </c>
      <c r="DM30" s="40"/>
      <c r="DN30" s="40" t="str">
        <f>'Steel Table'!DG28</f>
        <v>2[]-125x50x20x2.3 mm.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0"/>
    </row>
    <row r="31" spans="1:128" s="35" customFormat="1" ht="15.75" customHeight="1">
      <c r="A31" s="40"/>
      <c r="F31" s="36" t="s">
        <v>89</v>
      </c>
      <c r="G31" s="36" t="s">
        <v>0</v>
      </c>
      <c r="H31" s="426">
        <f>IF(CB10=1,"-",IF(CB10&gt;1,CR12))</f>
        <v>16</v>
      </c>
      <c r="I31" s="426"/>
      <c r="J31" s="400" t="s">
        <v>93</v>
      </c>
      <c r="K31" s="400"/>
      <c r="L31" s="52" t="s">
        <v>90</v>
      </c>
      <c r="M31" s="39" t="s">
        <v>0</v>
      </c>
      <c r="N31" s="402">
        <f>IF(CB10=1,"-",IF(CB10&gt;1,CR13))</f>
        <v>6.06</v>
      </c>
      <c r="O31" s="402"/>
      <c r="P31" s="400" t="s">
        <v>93</v>
      </c>
      <c r="Q31" s="400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99"/>
      <c r="AC31" s="397" t="s">
        <v>462</v>
      </c>
      <c r="AD31" s="398"/>
      <c r="AE31" s="398"/>
      <c r="AF31" s="398"/>
      <c r="AG31" s="399"/>
      <c r="AH31" s="152"/>
      <c r="AI31" s="153"/>
      <c r="AJ31" s="153"/>
      <c r="AK31" s="153"/>
      <c r="AL31" s="153"/>
      <c r="AM31" s="153"/>
      <c r="AN31" s="153"/>
      <c r="AO31" s="153"/>
      <c r="AP31" s="40"/>
      <c r="AQ31" s="40"/>
      <c r="AR31" s="40"/>
      <c r="BY31" s="40" t="s">
        <v>120</v>
      </c>
      <c r="BZ31" s="40"/>
      <c r="CA31" s="40"/>
      <c r="CB31" s="101">
        <f>SQRT(X^2+Y^2)</f>
        <v>4.17612260356422</v>
      </c>
      <c r="CC31" s="396"/>
      <c r="CD31" s="396"/>
      <c r="CE31" s="40"/>
      <c r="CF31" s="39"/>
      <c r="CG31" s="39"/>
      <c r="CH31" s="63"/>
      <c r="CI31" s="63" t="s">
        <v>497</v>
      </c>
      <c r="CJ31" s="40">
        <v>2</v>
      </c>
      <c r="CK31" s="40"/>
      <c r="CL31" s="40">
        <f>IF(AND(CL30=1,CM30=1),1,IF(OR(AND(CL30=1,CM30=2),AND(CL30=2,CM30=1),AND(CL30=2,CM30=2)),2))</f>
        <v>1</v>
      </c>
      <c r="CM31" s="40" t="str">
        <f>IF(CL31=1,CL33,IF(CL31=2,CL34))</f>
        <v>สามารถรองรับน้ำหนักบรรทุกได้อย่างปลอดภัย</v>
      </c>
      <c r="CN31" s="40"/>
      <c r="CO31" s="40"/>
      <c r="CP31" s="40"/>
      <c r="CQ31" s="40"/>
      <c r="CR31" s="40"/>
      <c r="CS31" s="40"/>
      <c r="CT31" s="52">
        <v>13</v>
      </c>
      <c r="CU31" s="52" t="str">
        <f>VLOOKUP(13,$DE$8:$DN$78,CV$8,TRUE)</f>
        <v>[-100x50x20x2 mm.</v>
      </c>
      <c r="CV31" s="52"/>
      <c r="CW31" s="40"/>
      <c r="CX31" s="40"/>
      <c r="CY31" s="40"/>
      <c r="CZ31" s="40"/>
      <c r="DA31" s="40"/>
      <c r="DB31" s="40"/>
      <c r="DC31" s="40"/>
      <c r="DD31" s="40"/>
      <c r="DE31" s="40">
        <v>24</v>
      </c>
      <c r="DF31" s="40" t="str">
        <f>'Steel Table'!C29</f>
        <v>WF-300X300x9x14 mm.</v>
      </c>
      <c r="DG31" s="40"/>
      <c r="DH31" s="40"/>
      <c r="DI31" s="40" t="str">
        <f>'Steel Table'!BC29</f>
        <v>Tube-100x100x6 mm.</v>
      </c>
      <c r="DJ31" s="40" t="str">
        <f>'Steel Table'!BO29</f>
        <v>Tube-200x100x4.5 mm.</v>
      </c>
      <c r="DK31" s="40" t="str">
        <f>'Steel Table'!CD29</f>
        <v>Pipe-D139.8x3.6 mm.</v>
      </c>
      <c r="DL31" s="40" t="str">
        <f>'Steel Table'!CO29</f>
        <v>[-125x50x20x3.2 mm.</v>
      </c>
      <c r="DM31" s="40"/>
      <c r="DN31" s="40" t="str">
        <f>'Steel Table'!DG29</f>
        <v>2[]-125x50x20x3.2 mm.</v>
      </c>
      <c r="DO31" s="40"/>
      <c r="DP31" s="40"/>
      <c r="DQ31" s="40"/>
      <c r="DR31" s="40"/>
      <c r="DS31" s="40"/>
      <c r="DT31" s="40"/>
      <c r="DU31" s="40"/>
      <c r="DV31" s="40"/>
      <c r="DW31" s="40"/>
      <c r="DX31" s="40"/>
    </row>
    <row r="32" spans="1:128" s="35" customFormat="1" ht="15.75" customHeight="1">
      <c r="A32" s="40"/>
      <c r="B32" s="34"/>
      <c r="C32" s="40"/>
      <c r="D32" s="40"/>
      <c r="E32" s="40"/>
      <c r="F32" s="39" t="s">
        <v>87</v>
      </c>
      <c r="G32" s="39" t="s">
        <v>0</v>
      </c>
      <c r="H32" s="402">
        <f>IF(CB10=1,"-",IF(CB10&gt;1,CR10))</f>
        <v>80.7</v>
      </c>
      <c r="I32" s="402"/>
      <c r="J32" s="400" t="s">
        <v>94</v>
      </c>
      <c r="K32" s="400"/>
      <c r="L32" s="52" t="s">
        <v>88</v>
      </c>
      <c r="M32" s="39" t="s">
        <v>0</v>
      </c>
      <c r="N32" s="402">
        <f>IF(CB10=1,"-",IF(CB10&gt;1,CR11))</f>
        <v>19</v>
      </c>
      <c r="O32" s="402"/>
      <c r="P32" s="400" t="s">
        <v>94</v>
      </c>
      <c r="Q32" s="400"/>
      <c r="R32" s="80"/>
      <c r="S32" s="80"/>
      <c r="T32" s="80"/>
      <c r="U32" s="80"/>
      <c r="V32" s="80"/>
      <c r="W32" s="80"/>
      <c r="X32" s="80"/>
      <c r="Y32" s="80"/>
      <c r="Z32" s="80"/>
      <c r="AA32" s="52"/>
      <c r="AB32" s="99"/>
      <c r="AC32" s="152"/>
      <c r="AD32" s="152"/>
      <c r="AE32" s="152"/>
      <c r="AF32" s="152"/>
      <c r="AG32" s="152"/>
      <c r="AH32" s="152"/>
      <c r="AI32" s="152"/>
      <c r="AJ32" s="152"/>
      <c r="AK32" s="153"/>
      <c r="AL32" s="153"/>
      <c r="AM32" s="153"/>
      <c r="AN32" s="153"/>
      <c r="AO32" s="153"/>
      <c r="AP32" s="40"/>
      <c r="AQ32" s="40"/>
      <c r="AR32" s="40"/>
      <c r="BY32" s="40" t="s">
        <v>394</v>
      </c>
      <c r="BZ32" s="40"/>
      <c r="CA32" s="40"/>
      <c r="CB32" s="40">
        <f>AC22/(Cosθ)</f>
        <v>1.044030650891055</v>
      </c>
      <c r="CC32" s="396">
        <f>CB32*100</f>
        <v>104.40306508910551</v>
      </c>
      <c r="CD32" s="396"/>
      <c r="CE32" s="40"/>
      <c r="CF32" s="39"/>
      <c r="CG32" s="39"/>
      <c r="CH32" s="63"/>
      <c r="CI32" s="63"/>
      <c r="CJ32" s="117"/>
      <c r="CK32" s="40"/>
      <c r="CL32" s="40"/>
      <c r="CM32" s="40"/>
      <c r="CN32" s="40"/>
      <c r="CO32" s="40"/>
      <c r="CP32" s="40"/>
      <c r="CQ32" s="40"/>
      <c r="CR32" s="40"/>
      <c r="CS32" s="40"/>
      <c r="CT32" s="52">
        <v>14</v>
      </c>
      <c r="CU32" s="52" t="str">
        <f>VLOOKUP(14,$DE$8:$DN$78,CV$8,TRUE)</f>
        <v>[-100x50x20x2.3 mm.</v>
      </c>
      <c r="CV32" s="52"/>
      <c r="CW32" s="40"/>
      <c r="CX32" s="40"/>
      <c r="CY32" s="40"/>
      <c r="CZ32" s="40"/>
      <c r="DA32" s="40"/>
      <c r="DB32" s="40"/>
      <c r="DC32" s="40"/>
      <c r="DD32" s="40"/>
      <c r="DE32" s="40">
        <v>25</v>
      </c>
      <c r="DF32" s="40" t="str">
        <f>'Steel Table'!C30</f>
        <v>WF-300X300x10x15 mm.</v>
      </c>
      <c r="DG32" s="40"/>
      <c r="DH32" s="40"/>
      <c r="DI32" s="40" t="str">
        <f>'Steel Table'!BC30</f>
        <v>Tube-125x125x3.2 mm.</v>
      </c>
      <c r="DJ32" s="40" t="str">
        <f>'Steel Table'!BO30</f>
        <v>Tube-200x100x6 mm.</v>
      </c>
      <c r="DK32" s="40" t="str">
        <f>'Steel Table'!CD30</f>
        <v>Pipe-D139.8x4 mm.</v>
      </c>
      <c r="DL32" s="40" t="str">
        <f>'Steel Table'!CO30</f>
        <v>[-125x50x20x4 mm.</v>
      </c>
      <c r="DM32" s="40"/>
      <c r="DN32" s="40" t="str">
        <f>'Steel Table'!DG30</f>
        <v>2[]-125x50x20x4 mm.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</row>
    <row r="33" spans="1:128" s="35" customFormat="1" ht="15.75" customHeight="1">
      <c r="A33" s="40"/>
      <c r="C33" s="40"/>
      <c r="D33" s="40"/>
      <c r="E33" s="40"/>
      <c r="X33" s="52"/>
      <c r="Y33" s="52"/>
      <c r="Z33" s="52"/>
      <c r="AA33" s="52"/>
      <c r="AB33" s="99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40"/>
      <c r="AQ33" s="40"/>
      <c r="AR33" s="40"/>
      <c r="BY33" s="40" t="s">
        <v>452</v>
      </c>
      <c r="BZ33" s="40"/>
      <c r="CA33" s="40"/>
      <c r="CB33" s="40">
        <f>(W*(CB31^2-CB32^2))/(2*CB31)</f>
        <v>111.52687500000002</v>
      </c>
      <c r="CC33" s="40"/>
      <c r="CD33" s="40"/>
      <c r="CE33" s="40"/>
      <c r="CF33" s="39"/>
      <c r="CG33" s="39"/>
      <c r="CH33" s="63"/>
      <c r="CI33" s="63" t="str">
        <f>IF(CI29=1,CI30,IF(CI29=2,CI31))</f>
        <v>จันทัน</v>
      </c>
      <c r="CJ33" s="40"/>
      <c r="CK33" s="40"/>
      <c r="CL33" s="40" t="s">
        <v>501</v>
      </c>
      <c r="CM33" s="40"/>
      <c r="CN33" s="40"/>
      <c r="CO33" s="40"/>
      <c r="CP33" s="40"/>
      <c r="CQ33" s="40"/>
      <c r="CR33" s="40"/>
      <c r="CS33" s="40"/>
      <c r="CT33" s="52">
        <v>15</v>
      </c>
      <c r="CU33" s="52" t="str">
        <f>VLOOKUP(15,$DE$8:$DN$78,CV$8,TRUE)</f>
        <v>[-100x50x20x2.8 mm.</v>
      </c>
      <c r="CV33" s="52"/>
      <c r="CW33" s="40"/>
      <c r="CX33" s="40"/>
      <c r="CY33" s="40"/>
      <c r="CZ33" s="40"/>
      <c r="DA33" s="40"/>
      <c r="DB33" s="40"/>
      <c r="DC33" s="40"/>
      <c r="DD33" s="40"/>
      <c r="DE33" s="40">
        <v>26</v>
      </c>
      <c r="DF33" s="40" t="str">
        <f>'Steel Table'!C31</f>
        <v>WF-300X300x15x15 mm.</v>
      </c>
      <c r="DG33" s="40"/>
      <c r="DH33" s="40"/>
      <c r="DI33" s="40" t="str">
        <f>'Steel Table'!BC31</f>
        <v>Tube-125x125x4.5 mm.</v>
      </c>
      <c r="DJ33" s="40" t="str">
        <f>'Steel Table'!BO31</f>
        <v>Tube-200x100x6.3 mm.</v>
      </c>
      <c r="DK33" s="40" t="str">
        <f>'Steel Table'!CD31</f>
        <v>Pipe-D139.8x4.5 mm.</v>
      </c>
      <c r="DL33" s="40" t="str">
        <f>'Steel Table'!CO31</f>
        <v>[-125x50x20x4.5 mm.</v>
      </c>
      <c r="DM33" s="40"/>
      <c r="DN33" s="40" t="str">
        <f>'Steel Table'!DG31</f>
        <v>2[]-125x50x20x4.5 mm.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</row>
    <row r="34" spans="1:128" s="35" customFormat="1" ht="15.75" customHeight="1">
      <c r="A34" s="40"/>
      <c r="B34" s="105" t="s">
        <v>102</v>
      </c>
      <c r="C34" s="40"/>
      <c r="D34" s="40"/>
      <c r="E34" s="40"/>
      <c r="F34" s="40"/>
      <c r="G34" s="40"/>
      <c r="H34" s="40"/>
      <c r="I34" s="40"/>
      <c r="J34" s="40"/>
      <c r="K34" s="40"/>
      <c r="U34" s="35" t="s">
        <v>493</v>
      </c>
      <c r="W34" s="35" t="str">
        <f>"M2 = "&amp;ROUND(CB40,2)&amp;" kg.-m."</f>
        <v>M2 = 31.05 kg.-m.</v>
      </c>
      <c r="X34" s="52"/>
      <c r="Y34" s="52"/>
      <c r="Z34" s="52"/>
      <c r="AA34" s="52"/>
      <c r="AB34" s="99"/>
      <c r="AC34" s="152"/>
      <c r="AD34" s="152"/>
      <c r="AE34" s="152"/>
      <c r="AF34" s="152"/>
      <c r="AG34" s="152"/>
      <c r="AH34" s="155"/>
      <c r="AI34" s="156"/>
      <c r="AJ34" s="156"/>
      <c r="AK34" s="156"/>
      <c r="AL34" s="156"/>
      <c r="AM34" s="156"/>
      <c r="AN34" s="156"/>
      <c r="AO34" s="156"/>
      <c r="AP34" s="123"/>
      <c r="AQ34" s="40"/>
      <c r="AR34" s="40"/>
      <c r="BY34" s="40" t="s">
        <v>481</v>
      </c>
      <c r="BZ34" s="40"/>
      <c r="CA34" s="40"/>
      <c r="CB34" s="40">
        <f>(W*(CB31+CB32)^2)/(2*CB31)</f>
        <v>185.87812500000004</v>
      </c>
      <c r="CC34" s="40"/>
      <c r="CD34" s="40"/>
      <c r="CE34" s="40"/>
      <c r="CF34" s="39"/>
      <c r="CG34" s="39"/>
      <c r="CH34" s="101"/>
      <c r="CI34" s="40" t="s">
        <v>498</v>
      </c>
      <c r="CJ34" s="40"/>
      <c r="CK34" s="40"/>
      <c r="CL34" s="40" t="s">
        <v>502</v>
      </c>
      <c r="CM34" s="40"/>
      <c r="CN34" s="40"/>
      <c r="CO34" s="40"/>
      <c r="CP34" s="40"/>
      <c r="CQ34" s="40"/>
      <c r="CR34" s="40"/>
      <c r="CS34" s="40"/>
      <c r="CT34" s="52">
        <v>16</v>
      </c>
      <c r="CU34" s="52" t="str">
        <f>VLOOKUP(16,$DE$8:$DN$78,CV$8,TRUE)</f>
        <v>[-100x50x20x3.2 mm.</v>
      </c>
      <c r="CV34" s="52"/>
      <c r="CW34" s="40"/>
      <c r="CX34" s="40"/>
      <c r="CY34" s="40"/>
      <c r="CZ34" s="40"/>
      <c r="DA34" s="40"/>
      <c r="DB34" s="40"/>
      <c r="DC34" s="40"/>
      <c r="DD34" s="40"/>
      <c r="DE34" s="40">
        <v>27</v>
      </c>
      <c r="DF34" s="40" t="str">
        <f>'Steel Table'!C32</f>
        <v>WF-300X300x11x17 mm.</v>
      </c>
      <c r="DG34" s="40"/>
      <c r="DH34" s="40"/>
      <c r="DI34" s="40" t="str">
        <f>'Steel Table'!BC32</f>
        <v>Tube-125x125x5 mm.</v>
      </c>
      <c r="DJ34" s="40"/>
      <c r="DK34" s="40" t="str">
        <f>'Steel Table'!CD32</f>
        <v>Pipe-D139.8x6 mm.</v>
      </c>
      <c r="DL34" s="40" t="str">
        <f>'Steel Table'!CO32</f>
        <v>[-150x50x20x2.3 mm.</v>
      </c>
      <c r="DM34" s="40"/>
      <c r="DN34" s="40" t="str">
        <f>'Steel Table'!DG32</f>
        <v>2[]-150x50x20x2.3 mm.</v>
      </c>
      <c r="DO34" s="40"/>
      <c r="DP34" s="40"/>
      <c r="DQ34" s="40"/>
      <c r="DR34" s="40"/>
      <c r="DS34" s="40"/>
      <c r="DT34" s="40"/>
      <c r="DU34" s="40"/>
      <c r="DV34" s="40"/>
      <c r="DW34" s="40"/>
      <c r="DX34" s="40"/>
    </row>
    <row r="35" spans="1:128" s="35" customFormat="1" ht="15.75" customHeight="1">
      <c r="A35" s="40"/>
      <c r="B35" s="95" t="s">
        <v>490</v>
      </c>
      <c r="C35" s="52"/>
      <c r="D35" s="52"/>
      <c r="E35" s="52"/>
      <c r="F35" s="128"/>
      <c r="G35" s="128"/>
      <c r="H35" s="128"/>
      <c r="I35" s="129"/>
      <c r="J35" s="129"/>
      <c r="K35" s="129"/>
      <c r="L35" s="76"/>
      <c r="M35" s="39" t="s">
        <v>0</v>
      </c>
      <c r="N35" s="403">
        <f>(CB31*100)/360</f>
        <v>1.1600340565456169</v>
      </c>
      <c r="O35" s="403"/>
      <c r="P35" s="403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99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52"/>
      <c r="AQ35" s="40"/>
      <c r="AR35" s="40"/>
      <c r="BY35" s="40" t="s">
        <v>482</v>
      </c>
      <c r="BZ35" s="40"/>
      <c r="CA35" s="40"/>
      <c r="CB35" s="40">
        <f>CB33</f>
        <v>111.52687500000002</v>
      </c>
      <c r="CC35" s="40"/>
      <c r="CD35" s="40"/>
      <c r="CE35" s="40"/>
      <c r="CF35" s="39"/>
      <c r="CG35" s="39"/>
      <c r="CH35" s="40"/>
      <c r="CI35" s="40" t="s">
        <v>499</v>
      </c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52">
        <v>17</v>
      </c>
      <c r="CU35" s="52" t="str">
        <f>VLOOKUP(17,$DE$8:$DN$78,CV$8,TRUE)</f>
        <v>[-100x50x20x4 mm.</v>
      </c>
      <c r="CV35" s="52"/>
      <c r="CW35" s="40"/>
      <c r="CX35" s="40"/>
      <c r="CY35" s="40"/>
      <c r="CZ35" s="40"/>
      <c r="DA35" s="40"/>
      <c r="DB35" s="40"/>
      <c r="DC35" s="40"/>
      <c r="DD35" s="40"/>
      <c r="DE35" s="40">
        <v>28</v>
      </c>
      <c r="DF35" s="40" t="str">
        <f>'Steel Table'!C33</f>
        <v>WF-350X175x6x9 mm.</v>
      </c>
      <c r="DG35" s="40"/>
      <c r="DH35" s="40"/>
      <c r="DI35" s="40" t="str">
        <f>'Steel Table'!BC33</f>
        <v>Tube-125x125x6 mm.</v>
      </c>
      <c r="DJ35" s="40"/>
      <c r="DK35" s="40" t="str">
        <f>'Steel Table'!CD33</f>
        <v>Pipe-D165.2x4.5 mm.</v>
      </c>
      <c r="DL35" s="40" t="str">
        <f>'Steel Table'!CO33</f>
        <v>[-150x50x20x3.2 mm.</v>
      </c>
      <c r="DM35" s="40"/>
      <c r="DN35" s="40" t="str">
        <f>'Steel Table'!DG33</f>
        <v>2[]-150x50x20x3.2 mm.</v>
      </c>
      <c r="DO35" s="40"/>
      <c r="DP35" s="40"/>
      <c r="DQ35" s="40"/>
      <c r="DR35" s="40"/>
      <c r="DS35" s="40"/>
      <c r="DT35" s="40"/>
      <c r="DU35" s="40"/>
      <c r="DV35" s="40"/>
      <c r="DW35" s="40"/>
      <c r="DX35" s="40"/>
    </row>
    <row r="36" spans="1:128" s="35" customFormat="1" ht="15.75" customHeight="1">
      <c r="A36" s="40"/>
      <c r="B36" s="34" t="s">
        <v>491</v>
      </c>
      <c r="C36" s="40"/>
      <c r="D36" s="40"/>
      <c r="E36" s="40"/>
      <c r="F36" s="40"/>
      <c r="G36" s="40"/>
      <c r="H36" s="40"/>
      <c r="I36" s="40"/>
      <c r="J36" s="40"/>
      <c r="K36" s="40"/>
      <c r="L36" s="39"/>
      <c r="M36" s="39" t="s">
        <v>0</v>
      </c>
      <c r="N36" s="403">
        <f>CB48</f>
        <v>1.1220769114414586</v>
      </c>
      <c r="O36" s="403"/>
      <c r="P36" s="403"/>
      <c r="Q36" s="52"/>
      <c r="R36" s="52"/>
      <c r="U36" s="52"/>
      <c r="V36" s="52"/>
      <c r="W36" s="52"/>
      <c r="X36" s="52"/>
      <c r="Y36" s="52"/>
      <c r="Z36" s="52"/>
      <c r="AA36" s="52"/>
      <c r="AB36" s="99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40"/>
      <c r="AQ36" s="40"/>
      <c r="AR36" s="40"/>
      <c r="BY36" s="40" t="s">
        <v>483</v>
      </c>
      <c r="BZ36" s="40"/>
      <c r="CA36" s="40"/>
      <c r="CB36" s="40">
        <f>(CB35-(W*CB31))</f>
        <v>-126.39712500000005</v>
      </c>
      <c r="CC36" s="40"/>
      <c r="CD36" s="40"/>
      <c r="CE36" s="40"/>
      <c r="CF36" s="39"/>
      <c r="CG36" s="39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52">
        <v>18</v>
      </c>
      <c r="CU36" s="52" t="str">
        <f>VLOOKUP(18,$DE$8:$DN$78,CV$8,TRUE)</f>
        <v>[-100x50x20x4.5 mm.</v>
      </c>
      <c r="CV36" s="52"/>
      <c r="CW36" s="40"/>
      <c r="CX36" s="40"/>
      <c r="CY36" s="40"/>
      <c r="CZ36" s="40"/>
      <c r="DA36" s="40"/>
      <c r="DB36" s="40"/>
      <c r="DC36" s="40"/>
      <c r="DD36" s="40"/>
      <c r="DE36" s="40">
        <v>29</v>
      </c>
      <c r="DF36" s="40" t="str">
        <f>'Steel Table'!C34</f>
        <v>WF-350X175x7x11 mm.</v>
      </c>
      <c r="DG36" s="40"/>
      <c r="DH36" s="40"/>
      <c r="DI36" s="40" t="str">
        <f>'Steel Table'!BC34</f>
        <v>Tube-150x150x4.5 mm.</v>
      </c>
      <c r="DJ36" s="40"/>
      <c r="DK36" s="40" t="str">
        <f>'Steel Table'!CD34</f>
        <v>Pipe-D165.2x5 mm.</v>
      </c>
      <c r="DL36" s="40" t="str">
        <f>'Steel Table'!CO34</f>
        <v>[-150x50x20x4.5 mm.</v>
      </c>
      <c r="DM36" s="40"/>
      <c r="DN36" s="40" t="str">
        <f>'Steel Table'!DG34</f>
        <v>2[]-150x50x20x4.5 mm.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</row>
    <row r="37" spans="1:128" s="35" customFormat="1" ht="15.75" customHeight="1">
      <c r="A37" s="40"/>
      <c r="C37" s="52"/>
      <c r="D37" s="52"/>
      <c r="E37" s="52"/>
      <c r="F37" s="128"/>
      <c r="G37" s="128"/>
      <c r="H37" s="128"/>
      <c r="I37" s="129"/>
      <c r="J37" s="130"/>
      <c r="K37" s="130"/>
      <c r="L37" s="76"/>
      <c r="M37" s="131"/>
      <c r="N37" s="39"/>
      <c r="O37" s="63"/>
      <c r="P37" s="39"/>
      <c r="Q37" s="52"/>
      <c r="R37" s="320"/>
      <c r="S37" s="320"/>
      <c r="T37" s="320"/>
      <c r="U37" s="80"/>
      <c r="V37" s="80"/>
      <c r="W37" s="80"/>
      <c r="X37" s="80"/>
      <c r="Y37" s="80"/>
      <c r="Z37" s="80"/>
      <c r="AA37" s="52"/>
      <c r="AB37" s="99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40"/>
      <c r="AQ37" s="40"/>
      <c r="AR37" s="40"/>
      <c r="BY37" s="40" t="s">
        <v>484</v>
      </c>
      <c r="BZ37" s="40"/>
      <c r="CA37" s="40"/>
      <c r="CB37" s="40">
        <f>CB36+CB34</f>
        <v>59.480999999999995</v>
      </c>
      <c r="CC37" s="40"/>
      <c r="CD37" s="40"/>
      <c r="CE37" s="40"/>
      <c r="CF37" s="39"/>
      <c r="CG37" s="39"/>
      <c r="CH37" s="40"/>
      <c r="CI37" s="40" t="str">
        <f>CI33&amp;"เหล็ก "&amp;CW19&amp;" @ "&amp;ROUND(N23,2)&amp;" m. "&amp;CM31</f>
        <v>จันทันเหล็ก [-100x50x20x2.3 mm. @ 1.35 m. สามารถรองรับน้ำหนักบรรทุกได้อย่างปลอดภัย</v>
      </c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52">
        <v>19</v>
      </c>
      <c r="CU37" s="52" t="str">
        <f>VLOOKUP(19,$DE$8:$DN$78,CV$8,TRUE)</f>
        <v>[-120x40x20x3.2 mm.</v>
      </c>
      <c r="CV37" s="52"/>
      <c r="CW37" s="40"/>
      <c r="CX37" s="40"/>
      <c r="CY37" s="40"/>
      <c r="CZ37" s="40"/>
      <c r="DA37" s="40"/>
      <c r="DB37" s="40"/>
      <c r="DC37" s="40"/>
      <c r="DD37" s="40"/>
      <c r="DE37" s="40">
        <v>30</v>
      </c>
      <c r="DF37" s="40" t="str">
        <f>'Steel Table'!C35</f>
        <v>WF-350X175x8x13 mm.</v>
      </c>
      <c r="DG37" s="40"/>
      <c r="DH37" s="40"/>
      <c r="DI37" s="40" t="str">
        <f>'Steel Table'!BC35</f>
        <v>Tube-150x150x5 mm.</v>
      </c>
      <c r="DJ37" s="40"/>
      <c r="DK37" s="40" t="str">
        <f>'Steel Table'!CD35</f>
        <v>Pipe-D165.2x6 mm.</v>
      </c>
      <c r="DL37" s="40" t="str">
        <f>'Steel Table'!CO35</f>
        <v>[-150x65x20x2.3 mm.</v>
      </c>
      <c r="DM37" s="40"/>
      <c r="DN37" s="40" t="str">
        <f>'Steel Table'!DG35</f>
        <v>2[]-150x65x20x2.3 mm.</v>
      </c>
      <c r="DO37" s="40"/>
      <c r="DP37" s="40"/>
      <c r="DQ37" s="40"/>
      <c r="DR37" s="40"/>
      <c r="DS37" s="40"/>
      <c r="DT37" s="40"/>
      <c r="DU37" s="40"/>
      <c r="DV37" s="40"/>
      <c r="DW37" s="40"/>
      <c r="DX37" s="40"/>
    </row>
    <row r="38" spans="1:128" s="35" customFormat="1" ht="15.75" customHeight="1">
      <c r="A38" s="40"/>
      <c r="B38" s="52"/>
      <c r="J38" s="396" t="s">
        <v>107</v>
      </c>
      <c r="K38" s="396"/>
      <c r="L38" s="396"/>
      <c r="M38" s="40"/>
      <c r="N38" s="396" t="s">
        <v>108</v>
      </c>
      <c r="O38" s="396"/>
      <c r="P38" s="396"/>
      <c r="Q38" s="52"/>
      <c r="R38" s="63"/>
      <c r="S38" s="63"/>
      <c r="T38" s="63"/>
      <c r="U38" s="52"/>
      <c r="V38" s="52"/>
      <c r="W38" s="52"/>
      <c r="X38" s="52"/>
      <c r="Y38" s="52"/>
      <c r="Z38" s="52"/>
      <c r="AA38" s="52"/>
      <c r="AB38" s="99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40"/>
      <c r="AQ38" s="40"/>
      <c r="AR38" s="40"/>
      <c r="BY38" s="40" t="s">
        <v>457</v>
      </c>
      <c r="BZ38" s="40"/>
      <c r="CA38" s="40"/>
      <c r="CB38" s="40">
        <f>((CB31/2)*(1-(CB32^2/CB31^2)))</f>
        <v>1.9575574704207281</v>
      </c>
      <c r="CC38" s="40"/>
      <c r="CD38" s="40"/>
      <c r="CE38" s="101">
        <f>CB31-CB38</f>
        <v>2.218565133143492</v>
      </c>
      <c r="CF38" s="39"/>
      <c r="CG38" s="39"/>
      <c r="CH38" s="40"/>
      <c r="CI38" s="40" t="str">
        <f>CI33&amp;"เหล็ก "&amp;CW19&amp;" "&amp;CM31</f>
        <v>จันทันเหล็ก [-100x50x20x2.3 mm. สามารถรองรับน้ำหนักบรรทุกได้อย่างปลอดภัย</v>
      </c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52">
        <v>20</v>
      </c>
      <c r="CU38" s="52" t="str">
        <f>VLOOKUP(20,$DE$8:$DN$78,CV$8,TRUE)</f>
        <v>[-120x60x25x2.3 mm.</v>
      </c>
      <c r="CV38" s="40"/>
      <c r="CW38" s="40"/>
      <c r="CX38" s="40"/>
      <c r="CY38" s="40"/>
      <c r="CZ38" s="40"/>
      <c r="DA38" s="40"/>
      <c r="DB38" s="40"/>
      <c r="DC38" s="40"/>
      <c r="DD38" s="40"/>
      <c r="DE38" s="40">
        <v>31</v>
      </c>
      <c r="DF38" s="40" t="str">
        <f>'Steel Table'!C36</f>
        <v>WF-350x250x8x12 mm.</v>
      </c>
      <c r="DG38" s="40"/>
      <c r="DH38" s="40"/>
      <c r="DI38" s="40" t="str">
        <f>'Steel Table'!BC36</f>
        <v>Tube-150x150x6 mm.</v>
      </c>
      <c r="DJ38" s="40"/>
      <c r="DK38" s="40" t="str">
        <f>'Steel Table'!CD36</f>
        <v>Pipe-D165.2x7.1 mm.</v>
      </c>
      <c r="DL38" s="40" t="str">
        <f>'Steel Table'!CO36</f>
        <v>[-150x65x20x3.2 mm.</v>
      </c>
      <c r="DM38" s="40"/>
      <c r="DN38" s="40" t="str">
        <f>'Steel Table'!DG36</f>
        <v>2[]-150x65x20x3.2 mm.</v>
      </c>
      <c r="DO38" s="40"/>
      <c r="DP38" s="40"/>
      <c r="DQ38" s="40"/>
      <c r="DR38" s="40"/>
      <c r="DS38" s="40"/>
      <c r="DT38" s="40"/>
      <c r="DU38" s="40"/>
      <c r="DV38" s="40"/>
      <c r="DW38" s="40"/>
      <c r="DX38" s="40"/>
    </row>
    <row r="39" spans="1:128" s="35" customFormat="1" ht="15.75" customHeight="1">
      <c r="A39" s="40"/>
      <c r="B39" s="34" t="s">
        <v>106</v>
      </c>
      <c r="C39" s="95"/>
      <c r="D39" s="52"/>
      <c r="E39" s="52"/>
      <c r="F39" s="128"/>
      <c r="G39" s="128"/>
      <c r="H39" s="128"/>
      <c r="I39" s="321"/>
      <c r="J39" s="401">
        <f>IF(CB10=1,"-",IF(CB10&gt;1,N36))</f>
        <v>1.1220769114414586</v>
      </c>
      <c r="K39" s="402"/>
      <c r="L39" s="402"/>
      <c r="M39" s="39" t="str">
        <f>IF(J39&lt;=N39,"&lt;",IF(J39&gt;N39,"&gt;"))</f>
        <v>&lt;</v>
      </c>
      <c r="N39" s="403">
        <f>N35</f>
        <v>1.1600340565456169</v>
      </c>
      <c r="O39" s="396"/>
      <c r="P39" s="396"/>
      <c r="Q39" s="396" t="str">
        <f>IF(J39&lt;=N39,"Ok.",IF(J39&gt;N39,"Not. Ok."))</f>
        <v>Ok.</v>
      </c>
      <c r="R39" s="396"/>
      <c r="S39" s="134"/>
      <c r="T39" s="134"/>
      <c r="U39" s="52" t="str">
        <f>"∆max = "&amp;ROUND(CB46,3)&amp;" cm."</f>
        <v>∆max = 1.122 cm.</v>
      </c>
      <c r="V39" s="52"/>
      <c r="W39" s="40"/>
      <c r="X39" s="40"/>
      <c r="Y39" s="40"/>
      <c r="Z39" s="40"/>
      <c r="AA39" s="40"/>
      <c r="AB39" s="40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40"/>
      <c r="AQ39" s="40"/>
      <c r="AR39" s="40"/>
      <c r="BY39" s="40" t="s">
        <v>458</v>
      </c>
      <c r="BZ39" s="40"/>
      <c r="CA39" s="40"/>
      <c r="CB39" s="40">
        <f>(W*(CB31+CB32)^2*(CB31-CB32)^2)/(8*CB31^2)</f>
        <v>109.16013365446439</v>
      </c>
      <c r="CC39" s="396">
        <f>MAX(CB39:CB40)</f>
        <v>109.16013365446439</v>
      </c>
      <c r="CD39" s="396"/>
      <c r="CE39" s="40"/>
      <c r="CF39" s="39"/>
      <c r="CG39" s="39"/>
      <c r="CH39" s="40"/>
      <c r="CI39" s="39"/>
      <c r="CJ39" s="135"/>
      <c r="CK39" s="40"/>
      <c r="CL39" s="40"/>
      <c r="CM39" s="40"/>
      <c r="CN39" s="40"/>
      <c r="CO39" s="40"/>
      <c r="CP39" s="40"/>
      <c r="CQ39" s="40"/>
      <c r="CR39" s="40"/>
      <c r="CS39" s="40"/>
      <c r="CT39" s="52">
        <v>21</v>
      </c>
      <c r="CU39" s="52" t="str">
        <f>VLOOKUP(21,$DE$8:$DN$78,CV$8,TRUE)</f>
        <v>[-120x60x25x3.2 mm.</v>
      </c>
      <c r="CV39" s="40"/>
      <c r="CW39" s="40"/>
      <c r="CX39" s="40"/>
      <c r="CY39" s="40"/>
      <c r="CZ39" s="40"/>
      <c r="DA39" s="40"/>
      <c r="DB39" s="40"/>
      <c r="DC39" s="40"/>
      <c r="DD39" s="40"/>
      <c r="DE39" s="40">
        <v>32</v>
      </c>
      <c r="DF39" s="40" t="str">
        <f>'Steel Table'!C37</f>
        <v>WF-350x250x9x14 mm.</v>
      </c>
      <c r="DG39" s="40"/>
      <c r="DH39" s="40"/>
      <c r="DI39" s="40" t="str">
        <f>'Steel Table'!BC37</f>
        <v>Tube-150x150x6.3 mm.</v>
      </c>
      <c r="DJ39" s="40"/>
      <c r="DK39" s="40" t="str">
        <f>'Steel Table'!CD37</f>
        <v>Pipe-D216.3x4.5 mm.</v>
      </c>
      <c r="DL39" s="40" t="str">
        <f>'Steel Table'!CO37</f>
        <v>[-150x65x20x4 mm.</v>
      </c>
      <c r="DM39" s="40"/>
      <c r="DN39" s="40" t="str">
        <f>'Steel Table'!DG37</f>
        <v>2[]-150x65x20x4 mm.</v>
      </c>
      <c r="DO39" s="40"/>
      <c r="DP39" s="40"/>
      <c r="DQ39" s="40"/>
      <c r="DR39" s="40"/>
      <c r="DS39" s="40"/>
      <c r="DT39" s="40"/>
      <c r="DU39" s="40"/>
      <c r="DV39" s="40"/>
      <c r="DW39" s="40"/>
      <c r="DX39" s="40"/>
    </row>
    <row r="40" spans="1:128" s="35" customFormat="1" ht="15.75" customHeight="1">
      <c r="A40" s="40"/>
      <c r="B40" s="52"/>
      <c r="C40" s="52"/>
      <c r="D40" s="52"/>
      <c r="E40" s="52"/>
      <c r="F40" s="128"/>
      <c r="G40" s="128"/>
      <c r="H40" s="128"/>
      <c r="I40" s="129"/>
      <c r="J40" s="129"/>
      <c r="K40" s="129"/>
      <c r="L40" s="76"/>
      <c r="M40" s="131"/>
      <c r="N40" s="131"/>
      <c r="O40" s="131"/>
      <c r="P40" s="40"/>
      <c r="Q40" s="40"/>
      <c r="R40" s="34"/>
      <c r="S40" s="34"/>
      <c r="T40" s="34"/>
      <c r="U40" s="39" t="s">
        <v>494</v>
      </c>
      <c r="V40" s="34"/>
      <c r="W40" s="34"/>
      <c r="X40" s="34"/>
      <c r="Y40" s="34"/>
      <c r="Z40" s="34"/>
      <c r="AA40" s="40"/>
      <c r="AB40" s="40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40"/>
      <c r="AQ40" s="40"/>
      <c r="AR40" s="40"/>
      <c r="BY40" s="40" t="s">
        <v>459</v>
      </c>
      <c r="BZ40" s="40"/>
      <c r="CA40" s="40"/>
      <c r="CB40" s="88">
        <f>(W*CB32^2)/2</f>
        <v>31.04999357282543</v>
      </c>
      <c r="CC40" s="40"/>
      <c r="CD40" s="117"/>
      <c r="CE40" s="40"/>
      <c r="CF40" s="39"/>
      <c r="CG40" s="39"/>
      <c r="CH40" s="40"/>
      <c r="CI40" s="39"/>
      <c r="CJ40" s="135"/>
      <c r="CK40" s="40"/>
      <c r="CL40" s="40"/>
      <c r="CM40" s="40"/>
      <c r="CN40" s="40"/>
      <c r="CO40" s="40"/>
      <c r="CP40" s="92"/>
      <c r="CQ40" s="40"/>
      <c r="CR40" s="40"/>
      <c r="CS40" s="40"/>
      <c r="CT40" s="52">
        <v>22</v>
      </c>
      <c r="CU40" s="52" t="str">
        <f>VLOOKUP(22,$DE$8:$DN$78,CV$8,TRUE)</f>
        <v>[-120x60x25x4.5 mm.</v>
      </c>
      <c r="CV40" s="40"/>
      <c r="CW40" s="40"/>
      <c r="CX40" s="40"/>
      <c r="CY40" s="40"/>
      <c r="CZ40" s="40"/>
      <c r="DA40" s="40"/>
      <c r="DB40" s="40"/>
      <c r="DC40" s="40"/>
      <c r="DD40" s="40"/>
      <c r="DE40" s="40">
        <v>33</v>
      </c>
      <c r="DF40" s="40" t="str">
        <f>'Steel Table'!C38</f>
        <v>WF-350X350x13x13 mm.</v>
      </c>
      <c r="DG40" s="40"/>
      <c r="DH40" s="40"/>
      <c r="DI40" s="40"/>
      <c r="DJ40" s="40"/>
      <c r="DK40" s="40" t="str">
        <f>'Steel Table'!CD38</f>
        <v>Pipe-D216.3x5.8 mm.</v>
      </c>
      <c r="DL40" s="40" t="str">
        <f>'Steel Table'!CO38</f>
        <v>[-150x75x20x3.2 mm.</v>
      </c>
      <c r="DM40" s="40"/>
      <c r="DN40" s="40" t="str">
        <f>'Steel Table'!DG38</f>
        <v>2[]-150x75x20x3.2 mm.</v>
      </c>
      <c r="DO40" s="40"/>
      <c r="DP40" s="40"/>
      <c r="DQ40" s="40"/>
      <c r="DR40" s="40"/>
      <c r="DS40" s="40"/>
      <c r="DT40" s="40"/>
      <c r="DU40" s="40"/>
      <c r="DV40" s="40"/>
      <c r="DW40" s="40"/>
      <c r="DX40" s="40"/>
    </row>
    <row r="41" spans="1:128" s="35" customFormat="1" ht="15.75" customHeight="1">
      <c r="A41" s="40"/>
      <c r="C41" s="52"/>
      <c r="D41" s="52"/>
      <c r="E41" s="52"/>
      <c r="F41" s="128"/>
      <c r="G41" s="128"/>
      <c r="H41" s="128"/>
      <c r="I41" s="129"/>
      <c r="J41" s="129"/>
      <c r="K41" s="129"/>
      <c r="L41" s="76"/>
      <c r="M41" s="131"/>
      <c r="N41" s="131"/>
      <c r="O41" s="131"/>
      <c r="P41" s="40"/>
      <c r="Q41" s="40"/>
      <c r="R41" s="40"/>
      <c r="S41" s="40"/>
      <c r="T41" s="40"/>
      <c r="V41" s="40"/>
      <c r="W41" s="40"/>
      <c r="X41" s="40"/>
      <c r="Y41" s="40"/>
      <c r="Z41" s="40"/>
      <c r="AA41" s="40"/>
      <c r="AB41" s="40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40"/>
      <c r="AQ41" s="40"/>
      <c r="AR41" s="40"/>
      <c r="BY41" s="40" t="s">
        <v>485</v>
      </c>
      <c r="BZ41" s="40" t="s">
        <v>0</v>
      </c>
      <c r="CA41" s="40"/>
      <c r="CB41" s="40">
        <f>CE38/CB31</f>
        <v>0.53125</v>
      </c>
      <c r="CC41" s="40"/>
      <c r="CD41" s="101"/>
      <c r="CE41" s="40"/>
      <c r="CF41" s="39"/>
      <c r="CG41" s="39"/>
      <c r="CH41" s="40"/>
      <c r="CI41" s="39"/>
      <c r="CJ41" s="135"/>
      <c r="CK41" s="40"/>
      <c r="CL41" s="40"/>
      <c r="CM41" s="40"/>
      <c r="CN41" s="40"/>
      <c r="CO41" s="40"/>
      <c r="CP41" s="40"/>
      <c r="CQ41" s="40"/>
      <c r="CR41" s="40"/>
      <c r="CS41" s="40"/>
      <c r="CT41" s="52">
        <v>23</v>
      </c>
      <c r="CU41" s="52" t="str">
        <f>VLOOKUP(23,$DE$8:$DN$78,CV$8,TRUE)</f>
        <v>[-125x50x20x2.3 mm.</v>
      </c>
      <c r="CV41" s="40"/>
      <c r="CW41" s="40"/>
      <c r="CX41" s="40"/>
      <c r="CY41" s="40"/>
      <c r="CZ41" s="40"/>
      <c r="DA41" s="40"/>
      <c r="DB41" s="40"/>
      <c r="DC41" s="40"/>
      <c r="DD41" s="40"/>
      <c r="DE41" s="40">
        <v>34</v>
      </c>
      <c r="DF41" s="40" t="str">
        <f>'Steel Table'!C39</f>
        <v>WF-350X350x10x16 mm.</v>
      </c>
      <c r="DG41" s="40"/>
      <c r="DH41" s="40"/>
      <c r="DI41" s="40"/>
      <c r="DJ41" s="40"/>
      <c r="DK41" s="40" t="str">
        <f>'Steel Table'!CD39</f>
        <v>Pipe-D216.3x7 mm.</v>
      </c>
      <c r="DL41" s="40" t="str">
        <f>'Steel Table'!CO39</f>
        <v>[-150x75x20x4 mm.</v>
      </c>
      <c r="DM41" s="40"/>
      <c r="DN41" s="40" t="str">
        <f>'Steel Table'!DG39</f>
        <v>2[]-150x75x20x4 mm.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0"/>
    </row>
    <row r="42" spans="1:128" s="35" customFormat="1" ht="15.75" customHeight="1">
      <c r="A42" s="40"/>
      <c r="B42" s="322" t="s">
        <v>380</v>
      </c>
      <c r="C42" s="31" t="str">
        <f>IF(CI29=1,CI37,IF(CI29=2,CI38))</f>
        <v>จันทันเหล็ก [-100x50x20x2.3 mm. @ 1.35 m. สามารถรองรับน้ำหนักบรรทุกได้อย่างปลอดภัย</v>
      </c>
      <c r="S42" s="34"/>
      <c r="T42" s="323"/>
      <c r="U42" s="95"/>
      <c r="V42" s="95"/>
      <c r="W42" s="95"/>
      <c r="X42" s="95"/>
      <c r="Y42" s="95"/>
      <c r="Z42" s="95"/>
      <c r="AA42" s="40"/>
      <c r="AB42" s="40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40"/>
      <c r="AQ42" s="40"/>
      <c r="AR42" s="40"/>
      <c r="BY42" s="40" t="s">
        <v>486</v>
      </c>
      <c r="BZ42" s="40" t="s">
        <v>0</v>
      </c>
      <c r="CA42" s="40"/>
      <c r="CB42" s="40">
        <f>CB32/CB31</f>
        <v>0.25</v>
      </c>
      <c r="CC42" s="40"/>
      <c r="CD42" s="117"/>
      <c r="CE42" s="40"/>
      <c r="CF42" s="39"/>
      <c r="CG42" s="39"/>
      <c r="CH42" s="40"/>
      <c r="CI42" s="39"/>
      <c r="CJ42" s="84"/>
      <c r="CK42" s="40"/>
      <c r="CL42" s="40"/>
      <c r="CM42" s="40"/>
      <c r="CN42" s="40"/>
      <c r="CO42" s="40"/>
      <c r="CP42" s="40"/>
      <c r="CQ42" s="40"/>
      <c r="CR42" s="40"/>
      <c r="CS42" s="40"/>
      <c r="CT42" s="52">
        <v>24</v>
      </c>
      <c r="CU42" s="52" t="str">
        <f>VLOOKUP(24,$DE$8:$DN$78,CV$8,TRUE)</f>
        <v>[-125x50x20x3.2 mm.</v>
      </c>
      <c r="CV42" s="40"/>
      <c r="CW42" s="40"/>
      <c r="CX42" s="40"/>
      <c r="CY42" s="40"/>
      <c r="CZ42" s="40"/>
      <c r="DA42" s="40"/>
      <c r="DB42" s="40"/>
      <c r="DC42" s="40"/>
      <c r="DD42" s="40"/>
      <c r="DE42" s="40">
        <v>35</v>
      </c>
      <c r="DF42" s="40" t="str">
        <f>'Steel Table'!C40</f>
        <v>WF-350X350x16x16 mm.</v>
      </c>
      <c r="DG42" s="40"/>
      <c r="DH42" s="40"/>
      <c r="DI42" s="40"/>
      <c r="DJ42" s="40"/>
      <c r="DK42" s="40" t="str">
        <f>'Steel Table'!CD40</f>
        <v>Pipe-D216.3x8.2 mm.</v>
      </c>
      <c r="DL42" s="40" t="str">
        <f>'Steel Table'!CO40</f>
        <v>[-150x75x20x4.5 mm.</v>
      </c>
      <c r="DM42" s="40"/>
      <c r="DN42" s="40" t="str">
        <f>'Steel Table'!DG40</f>
        <v>2[]-150x75x20x4.5 mm.</v>
      </c>
      <c r="DO42" s="40"/>
      <c r="DP42" s="40"/>
      <c r="DQ42" s="40"/>
      <c r="DR42" s="40"/>
      <c r="DS42" s="40"/>
      <c r="DT42" s="40"/>
      <c r="DU42" s="40"/>
      <c r="DV42" s="40"/>
      <c r="DW42" s="40"/>
      <c r="DX42" s="40"/>
    </row>
    <row r="43" spans="1:128" s="35" customFormat="1" ht="15.75" customHeight="1">
      <c r="A43" s="40"/>
      <c r="S43" s="34"/>
      <c r="T43" s="323"/>
      <c r="U43" s="95"/>
      <c r="V43" s="95"/>
      <c r="W43" s="95"/>
      <c r="X43" s="95"/>
      <c r="Y43" s="95"/>
      <c r="Z43" s="95"/>
      <c r="AA43" s="40"/>
      <c r="AB43" s="40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40"/>
      <c r="AQ43" s="40"/>
      <c r="AR43" s="40"/>
      <c r="BY43" s="132" t="s">
        <v>422</v>
      </c>
      <c r="BZ43" s="40" t="s">
        <v>0</v>
      </c>
      <c r="CA43" s="40"/>
      <c r="CB43" s="40">
        <f>W/100</f>
        <v>0.5697246527123931</v>
      </c>
      <c r="CC43" s="40"/>
      <c r="CD43" s="101"/>
      <c r="CE43" s="40"/>
      <c r="CF43" s="39"/>
      <c r="CG43" s="39"/>
      <c r="CH43" s="40"/>
      <c r="CI43" s="40"/>
      <c r="CJ43" s="39"/>
      <c r="CK43" s="40"/>
      <c r="CL43" s="40"/>
      <c r="CM43" s="40"/>
      <c r="CN43" s="40"/>
      <c r="CO43" s="40"/>
      <c r="CP43" s="40"/>
      <c r="CQ43" s="40"/>
      <c r="CR43" s="40"/>
      <c r="CS43" s="40"/>
      <c r="CT43" s="52">
        <v>25</v>
      </c>
      <c r="CU43" s="52" t="str">
        <f>VLOOKUP(25,$DE$8:$DN$78,CV$8,TRUE)</f>
        <v>[-125x50x20x4 mm.</v>
      </c>
      <c r="CV43" s="40"/>
      <c r="CW43" s="40"/>
      <c r="CX43" s="40"/>
      <c r="CY43" s="40"/>
      <c r="CZ43" s="40"/>
      <c r="DA43" s="40"/>
      <c r="DB43" s="40"/>
      <c r="DC43" s="40"/>
      <c r="DD43" s="40"/>
      <c r="DE43" s="40">
        <v>36</v>
      </c>
      <c r="DF43" s="40" t="str">
        <f>'Steel Table'!C41</f>
        <v>WF-350X350x12x19 mm.</v>
      </c>
      <c r="DG43" s="40"/>
      <c r="DH43" s="40"/>
      <c r="DI43" s="40"/>
      <c r="DJ43" s="40"/>
      <c r="DK43" s="40"/>
      <c r="DL43" s="40" t="str">
        <f>'Steel Table'!CO41</f>
        <v>[-150x75x25x3.2 mm.</v>
      </c>
      <c r="DM43" s="40"/>
      <c r="DN43" s="40" t="str">
        <f>'Steel Table'!DG41</f>
        <v>2[]-150x75x25x3.2 mm.</v>
      </c>
      <c r="DO43" s="40"/>
      <c r="DP43" s="40"/>
      <c r="DQ43" s="40"/>
      <c r="DR43" s="40"/>
      <c r="DS43" s="40"/>
      <c r="DT43" s="40"/>
      <c r="DU43" s="40"/>
      <c r="DV43" s="40"/>
      <c r="DW43" s="40"/>
      <c r="DX43" s="40"/>
    </row>
    <row r="44" spans="1:128" s="35" customFormat="1" ht="15.75" customHeight="1">
      <c r="A44" s="40"/>
      <c r="B44" s="34"/>
      <c r="C44" s="40"/>
      <c r="D44" s="40"/>
      <c r="E44" s="40"/>
      <c r="F44" s="40"/>
      <c r="G44" s="40"/>
      <c r="H44" s="40"/>
      <c r="I44" s="40"/>
      <c r="J44" s="40"/>
      <c r="K44" s="40"/>
      <c r="L44" s="39"/>
      <c r="M44" s="40"/>
      <c r="U44" s="40"/>
      <c r="V44" s="40"/>
      <c r="W44" s="40"/>
      <c r="X44" s="40"/>
      <c r="Y44" s="39"/>
      <c r="Z44" s="40"/>
      <c r="AA44" s="40"/>
      <c r="AB44" s="40"/>
      <c r="AC44" s="155"/>
      <c r="AD44" s="155"/>
      <c r="AE44" s="155"/>
      <c r="AF44" s="155"/>
      <c r="AG44" s="155"/>
      <c r="AH44" s="155"/>
      <c r="AI44" s="153"/>
      <c r="AJ44" s="153"/>
      <c r="AK44" s="153"/>
      <c r="AL44" s="153"/>
      <c r="AM44" s="153"/>
      <c r="AN44" s="153"/>
      <c r="AO44" s="153"/>
      <c r="AP44" s="40"/>
      <c r="AQ44" s="40"/>
      <c r="AR44" s="40"/>
      <c r="BY44" s="40" t="s">
        <v>120</v>
      </c>
      <c r="BZ44" s="40"/>
      <c r="CA44" s="40"/>
      <c r="CB44" s="40">
        <f>CB31*100</f>
        <v>417.61226035642204</v>
      </c>
      <c r="CC44" s="40"/>
      <c r="CD44" s="117"/>
      <c r="CE44" s="40"/>
      <c r="CF44" s="39"/>
      <c r="CG44" s="39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52">
        <v>26</v>
      </c>
      <c r="CU44" s="52" t="str">
        <f>VLOOKUP(26,$DE$8:$DN$78,CV$8,TRUE)</f>
        <v>[-125x50x20x4.5 mm.</v>
      </c>
      <c r="CV44" s="40"/>
      <c r="CW44" s="40"/>
      <c r="CX44" s="40"/>
      <c r="CY44" s="40"/>
      <c r="CZ44" s="40"/>
      <c r="DA44" s="40"/>
      <c r="DB44" s="40"/>
      <c r="DC44" s="40"/>
      <c r="DD44" s="40"/>
      <c r="DE44" s="40">
        <v>37</v>
      </c>
      <c r="DF44" s="40" t="str">
        <f>'Steel Table'!C42</f>
        <v>WF-350X350x19x19 mm.</v>
      </c>
      <c r="DG44" s="40"/>
      <c r="DH44" s="40"/>
      <c r="DI44" s="40"/>
      <c r="DJ44" s="40"/>
      <c r="DK44" s="40"/>
      <c r="DL44" s="40" t="str">
        <f>'Steel Table'!CO42</f>
        <v>[-150x75x25x4 mm.</v>
      </c>
      <c r="DM44" s="40"/>
      <c r="DN44" s="40" t="str">
        <f>'Steel Table'!DG42</f>
        <v>2[]-150x75x25x4 mm.</v>
      </c>
      <c r="DO44" s="40"/>
      <c r="DP44" s="40"/>
      <c r="DQ44" s="40"/>
      <c r="DR44" s="40"/>
      <c r="DS44" s="40"/>
      <c r="DT44" s="40"/>
      <c r="DU44" s="40"/>
      <c r="DV44" s="40"/>
      <c r="DW44" s="40"/>
      <c r="DX44" s="40"/>
    </row>
    <row r="45" spans="1:128" s="35" customFormat="1" ht="15.75" customHeight="1">
      <c r="A45" s="40"/>
      <c r="C45" s="40"/>
      <c r="D45" s="40"/>
      <c r="E45" s="40"/>
      <c r="F45" s="40"/>
      <c r="G45" s="40"/>
      <c r="H45" s="40"/>
      <c r="I45" s="40"/>
      <c r="J45" s="39"/>
      <c r="K45" s="69"/>
      <c r="L45" s="69"/>
      <c r="M45" s="69"/>
      <c r="W45" s="40"/>
      <c r="X45" s="39"/>
      <c r="Y45" s="69"/>
      <c r="Z45" s="69"/>
      <c r="AA45" s="69"/>
      <c r="AB45" s="40"/>
      <c r="AC45" s="155"/>
      <c r="AD45" s="155"/>
      <c r="AE45" s="155"/>
      <c r="AF45" s="155"/>
      <c r="AG45" s="155"/>
      <c r="AH45" s="155"/>
      <c r="AI45" s="153"/>
      <c r="AJ45" s="153"/>
      <c r="AK45" s="153"/>
      <c r="AL45" s="153"/>
      <c r="AM45" s="153"/>
      <c r="AN45" s="153"/>
      <c r="AO45" s="153"/>
      <c r="AP45" s="40"/>
      <c r="AQ45" s="40"/>
      <c r="AR45" s="40"/>
      <c r="BY45" s="40" t="s">
        <v>460</v>
      </c>
      <c r="BZ45" s="40"/>
      <c r="CA45" s="40"/>
      <c r="CB45" s="40">
        <f>N11*CR10</f>
        <v>169470000</v>
      </c>
      <c r="CC45" s="40"/>
      <c r="CD45" s="101"/>
      <c r="CE45" s="40"/>
      <c r="CF45" s="39"/>
      <c r="CG45" s="39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52">
        <v>27</v>
      </c>
      <c r="CU45" s="52" t="str">
        <f>VLOOKUP(27,$DE$8:$DN$78,CV$8,TRUE)</f>
        <v>[-150x50x20x2.3 mm.</v>
      </c>
      <c r="CV45" s="40"/>
      <c r="CW45" s="40"/>
      <c r="CX45" s="40"/>
      <c r="CY45" s="40"/>
      <c r="CZ45" s="40"/>
      <c r="DA45" s="40"/>
      <c r="DB45" s="40"/>
      <c r="DC45" s="40"/>
      <c r="DD45" s="40"/>
      <c r="DE45" s="40">
        <v>38</v>
      </c>
      <c r="DF45" s="40" t="str">
        <f>'Steel Table'!C43</f>
        <v>WF-400X200x7x11 mm.</v>
      </c>
      <c r="DG45" s="40"/>
      <c r="DH45" s="40"/>
      <c r="DI45" s="40"/>
      <c r="DJ45" s="40"/>
      <c r="DK45" s="40"/>
      <c r="DL45" s="40" t="str">
        <f>'Steel Table'!CO43</f>
        <v>[-150x75x25x4.5 mm.</v>
      </c>
      <c r="DM45" s="40"/>
      <c r="DN45" s="40" t="str">
        <f>'Steel Table'!DG43</f>
        <v>2[]-150x75x25x4.5 mm.</v>
      </c>
      <c r="DO45" s="40"/>
      <c r="DP45" s="40"/>
      <c r="DQ45" s="40"/>
      <c r="DR45" s="40"/>
      <c r="DS45" s="40"/>
      <c r="DT45" s="40"/>
      <c r="DU45" s="40"/>
      <c r="DV45" s="40"/>
      <c r="DW45" s="40"/>
      <c r="DX45" s="40"/>
    </row>
    <row r="46" spans="1:128" s="35" customFormat="1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39"/>
      <c r="K46" s="52"/>
      <c r="L46" s="52"/>
      <c r="M46" s="52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39"/>
      <c r="Y46" s="69"/>
      <c r="Z46" s="69"/>
      <c r="AA46" s="69"/>
      <c r="AB46" s="40"/>
      <c r="AC46" s="155"/>
      <c r="AD46" s="155"/>
      <c r="AE46" s="155"/>
      <c r="AF46" s="155"/>
      <c r="AG46" s="155"/>
      <c r="AH46" s="155"/>
      <c r="AI46" s="153"/>
      <c r="AJ46" s="153"/>
      <c r="AK46" s="153"/>
      <c r="AL46" s="153"/>
      <c r="AM46" s="153"/>
      <c r="AN46" s="153"/>
      <c r="AO46" s="153"/>
      <c r="AP46" s="40"/>
      <c r="AQ46" s="40"/>
      <c r="AR46" s="40"/>
      <c r="BY46" s="132" t="s">
        <v>487</v>
      </c>
      <c r="BZ46" s="40"/>
      <c r="CA46" s="40"/>
      <c r="CB46" s="40">
        <f>ABS(((CB43*CB44^4)*(CB41^4-(2*CB41^3*(1-CB42^2))+(CB41*(1-(2*CB42^2)))))/(24*CB45))</f>
        <v>1.1220769114414586</v>
      </c>
      <c r="CC46" s="40"/>
      <c r="CD46" s="117"/>
      <c r="CE46" s="40"/>
      <c r="CF46" s="39"/>
      <c r="CG46" s="39"/>
      <c r="CH46" s="40"/>
      <c r="CI46" s="39"/>
      <c r="CJ46" s="75"/>
      <c r="CK46" s="40"/>
      <c r="CL46" s="40"/>
      <c r="CM46" s="40"/>
      <c r="CN46" s="40"/>
      <c r="CO46" s="40"/>
      <c r="CP46" s="40"/>
      <c r="CQ46" s="40"/>
      <c r="CR46" s="40"/>
      <c r="CS46" s="40"/>
      <c r="CT46" s="52">
        <v>28</v>
      </c>
      <c r="CU46" s="52" t="str">
        <f>VLOOKUP(28,$DE$8:$DN$78,CV$8,TRUE)</f>
        <v>[-150x50x20x3.2 mm.</v>
      </c>
      <c r="CV46" s="40"/>
      <c r="CW46" s="40"/>
      <c r="CX46" s="40"/>
      <c r="CY46" s="40"/>
      <c r="CZ46" s="40"/>
      <c r="DA46" s="40"/>
      <c r="DB46" s="40"/>
      <c r="DC46" s="40"/>
      <c r="DD46" s="40"/>
      <c r="DE46" s="40">
        <v>39</v>
      </c>
      <c r="DF46" s="40" t="str">
        <f>'Steel Table'!C44</f>
        <v>WF-400X200x8x13 mm.</v>
      </c>
      <c r="DG46" s="40"/>
      <c r="DH46" s="40"/>
      <c r="DI46" s="40"/>
      <c r="DJ46" s="40"/>
      <c r="DK46" s="40"/>
      <c r="DL46" s="40" t="str">
        <f>'Steel Table'!CO44</f>
        <v>[-200x75x20x3.2 mm.</v>
      </c>
      <c r="DM46" s="40"/>
      <c r="DN46" s="40" t="str">
        <f>'Steel Table'!DG44</f>
        <v>2[]-200x75x20x3.2 mm.</v>
      </c>
      <c r="DO46" s="40"/>
      <c r="DP46" s="40"/>
      <c r="DQ46" s="40"/>
      <c r="DR46" s="40"/>
      <c r="DS46" s="40"/>
      <c r="DT46" s="40"/>
      <c r="DU46" s="40"/>
      <c r="DV46" s="40"/>
      <c r="DW46" s="40"/>
      <c r="DX46" s="40"/>
    </row>
    <row r="47" spans="1:128" s="35" customFormat="1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39"/>
      <c r="K47" s="74"/>
      <c r="L47" s="74"/>
      <c r="M47" s="74"/>
      <c r="N47" s="131"/>
      <c r="O47" s="131"/>
      <c r="P47" s="40"/>
      <c r="Q47" s="40"/>
      <c r="R47" s="40"/>
      <c r="S47" s="40"/>
      <c r="T47" s="40"/>
      <c r="U47" s="40"/>
      <c r="V47" s="40"/>
      <c r="W47" s="40"/>
      <c r="X47" s="39"/>
      <c r="Y47" s="69"/>
      <c r="Z47" s="69"/>
      <c r="AA47" s="69"/>
      <c r="AB47" s="40"/>
      <c r="AC47" s="155"/>
      <c r="AD47" s="155"/>
      <c r="AE47" s="155"/>
      <c r="AF47" s="155"/>
      <c r="AG47" s="155"/>
      <c r="AH47" s="155"/>
      <c r="AI47" s="155"/>
      <c r="AJ47" s="155"/>
      <c r="AK47" s="155"/>
      <c r="AL47" s="153"/>
      <c r="AM47" s="153"/>
      <c r="AN47" s="153"/>
      <c r="AO47" s="153"/>
      <c r="AP47" s="40"/>
      <c r="AQ47" s="40"/>
      <c r="AR47" s="40"/>
      <c r="BY47" s="40"/>
      <c r="BZ47" s="40"/>
      <c r="CA47" s="40"/>
      <c r="CB47" s="40">
        <f>ABS(((CB43*CB32)*((4*CC32^2*CB441)+(6*CC32^2*CC32)-(4*CC32*CC32^2)+(CC32^3)))/(24*CB45))</f>
        <v>0.0004992696789163233</v>
      </c>
      <c r="CC47" s="40"/>
      <c r="CD47" s="101"/>
      <c r="CE47" s="40"/>
      <c r="CF47" s="39"/>
      <c r="CG47" s="39"/>
      <c r="CH47" s="40"/>
      <c r="CI47" s="39"/>
      <c r="CJ47" s="40"/>
      <c r="CK47" s="40"/>
      <c r="CL47" s="40"/>
      <c r="CM47" s="39"/>
      <c r="CN47" s="140"/>
      <c r="CO47" s="40"/>
      <c r="CP47" s="40"/>
      <c r="CQ47" s="40"/>
      <c r="CR47" s="40"/>
      <c r="CS47" s="40"/>
      <c r="CT47" s="52">
        <v>29</v>
      </c>
      <c r="CU47" s="52" t="str">
        <f>VLOOKUP(29,$DE$8:$DN$78,CV$8,TRUE)</f>
        <v>[-150x50x20x4.5 mm.</v>
      </c>
      <c r="CV47" s="40"/>
      <c r="CW47" s="40"/>
      <c r="CX47" s="40"/>
      <c r="CY47" s="40"/>
      <c r="CZ47" s="40"/>
      <c r="DA47" s="40"/>
      <c r="DB47" s="40"/>
      <c r="DC47" s="40"/>
      <c r="DD47" s="40"/>
      <c r="DE47" s="40">
        <v>40</v>
      </c>
      <c r="DF47" s="40" t="str">
        <f>'Steel Table'!C45</f>
        <v>WF-400X200x9x15 mm.</v>
      </c>
      <c r="DG47" s="40"/>
      <c r="DH47" s="40"/>
      <c r="DI47" s="40"/>
      <c r="DJ47" s="40"/>
      <c r="DK47" s="40"/>
      <c r="DL47" s="40" t="str">
        <f>'Steel Table'!CO45</f>
        <v>[-200x75x20x4 mm.</v>
      </c>
      <c r="DM47" s="40"/>
      <c r="DN47" s="40" t="str">
        <f>'Steel Table'!DG45</f>
        <v>2[]-200x75x20x4 mm.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</row>
    <row r="48" spans="1:128" s="35" customFormat="1" ht="15.75" customHeight="1" thickBo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40"/>
      <c r="N48" s="40"/>
      <c r="O48" s="40"/>
      <c r="P48" s="40"/>
      <c r="Q48" s="40"/>
      <c r="R48" s="40"/>
      <c r="S48" s="31"/>
      <c r="T48" s="31"/>
      <c r="U48" s="31"/>
      <c r="V48" s="32"/>
      <c r="W48" s="32"/>
      <c r="X48" s="32"/>
      <c r="Y48" s="32"/>
      <c r="Z48" s="32"/>
      <c r="AA48" s="32"/>
      <c r="AB48" s="40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40"/>
      <c r="AQ48" s="40"/>
      <c r="AR48" s="40"/>
      <c r="BY48" s="40"/>
      <c r="BZ48" s="40"/>
      <c r="CA48" s="40"/>
      <c r="CB48" s="40">
        <f>MAX(CB46:CB47)</f>
        <v>1.1220769114414586</v>
      </c>
      <c r="CC48" s="40"/>
      <c r="CD48" s="40"/>
      <c r="CE48" s="40"/>
      <c r="CF48" s="39"/>
      <c r="CG48" s="39"/>
      <c r="CH48" s="40"/>
      <c r="CI48" s="39"/>
      <c r="CJ48" s="75"/>
      <c r="CK48" s="40"/>
      <c r="CL48" s="40"/>
      <c r="CM48" s="101"/>
      <c r="CN48" s="40"/>
      <c r="CO48" s="40"/>
      <c r="CP48" s="40"/>
      <c r="CQ48" s="40"/>
      <c r="CR48" s="40"/>
      <c r="CS48" s="40"/>
      <c r="CT48" s="52">
        <v>30</v>
      </c>
      <c r="CU48" s="52" t="str">
        <f>VLOOKUP(30,$DE$8:$DN$78,CV$8,TRUE)</f>
        <v>[-150x65x20x2.3 mm.</v>
      </c>
      <c r="CV48" s="40"/>
      <c r="CW48" s="40"/>
      <c r="CX48" s="40"/>
      <c r="CY48" s="40"/>
      <c r="CZ48" s="40"/>
      <c r="DA48" s="40"/>
      <c r="DB48" s="40"/>
      <c r="DC48" s="40"/>
      <c r="DD48" s="40"/>
      <c r="DE48" s="40">
        <v>41</v>
      </c>
      <c r="DF48" s="40" t="str">
        <f>'Steel Table'!C46</f>
        <v>WF-400X300x9x14 mm.</v>
      </c>
      <c r="DG48" s="40"/>
      <c r="DH48" s="40"/>
      <c r="DI48" s="40"/>
      <c r="DJ48" s="40"/>
      <c r="DK48" s="40"/>
      <c r="DL48" s="40" t="str">
        <f>'Steel Table'!CO46</f>
        <v>[-200x75x20x4.5 mm.</v>
      </c>
      <c r="DM48" s="40"/>
      <c r="DN48" s="40" t="str">
        <f>'Steel Table'!DG46</f>
        <v>2[]-200x75x20x4.5 mm.</v>
      </c>
      <c r="DO48" s="40"/>
      <c r="DP48" s="40"/>
      <c r="DQ48" s="40"/>
      <c r="DR48" s="40"/>
      <c r="DS48" s="40"/>
      <c r="DT48" s="40"/>
      <c r="DU48" s="40"/>
      <c r="DV48" s="40"/>
      <c r="DW48" s="40"/>
      <c r="DX48" s="40"/>
    </row>
    <row r="49" spans="1:128" s="35" customFormat="1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40"/>
      <c r="N49" s="40"/>
      <c r="O49" s="40"/>
      <c r="P49" s="40"/>
      <c r="Q49" s="40"/>
      <c r="R49" s="40"/>
      <c r="S49" s="31"/>
      <c r="T49" s="31"/>
      <c r="U49" s="142" t="s">
        <v>114</v>
      </c>
      <c r="V49" s="394" t="str">
        <f>Cover!D10</f>
        <v>สมมุติ</v>
      </c>
      <c r="W49" s="394"/>
      <c r="X49" s="394"/>
      <c r="Y49" s="394"/>
      <c r="Z49" s="394"/>
      <c r="AA49" s="394"/>
      <c r="AB49" s="40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40"/>
      <c r="AQ49" s="40"/>
      <c r="AR49" s="40"/>
      <c r="BY49" s="40"/>
      <c r="BZ49" s="40"/>
      <c r="CA49" s="40"/>
      <c r="CB49" s="40"/>
      <c r="CC49" s="40"/>
      <c r="CD49" s="40"/>
      <c r="CE49" s="40"/>
      <c r="CF49" s="39"/>
      <c r="CG49" s="39"/>
      <c r="CH49" s="40"/>
      <c r="CI49" s="39"/>
      <c r="CJ49" s="39"/>
      <c r="CK49" s="40"/>
      <c r="CL49" s="40"/>
      <c r="CM49" s="39"/>
      <c r="CN49" s="141"/>
      <c r="CO49" s="40"/>
      <c r="CP49" s="40"/>
      <c r="CQ49" s="40"/>
      <c r="CR49" s="40"/>
      <c r="CS49" s="40"/>
      <c r="CT49" s="52">
        <v>31</v>
      </c>
      <c r="CU49" s="52" t="str">
        <f>VLOOKUP(31,$DE$8:$DN$78,CV$8,TRUE)</f>
        <v>[-150x65x20x3.2 mm.</v>
      </c>
      <c r="CV49" s="40"/>
      <c r="CW49" s="40"/>
      <c r="CX49" s="40"/>
      <c r="CY49" s="40"/>
      <c r="CZ49" s="40"/>
      <c r="DA49" s="40"/>
      <c r="DB49" s="40"/>
      <c r="DC49" s="40"/>
      <c r="DD49" s="40"/>
      <c r="DE49" s="40">
        <v>42</v>
      </c>
      <c r="DF49" s="40" t="str">
        <f>'Steel Table'!C47</f>
        <v>WF-400X300x10x16 mm.</v>
      </c>
      <c r="DG49" s="40"/>
      <c r="DH49" s="40"/>
      <c r="DI49" s="40"/>
      <c r="DJ49" s="40"/>
      <c r="DK49" s="40"/>
      <c r="DL49" s="40" t="str">
        <f>'Steel Table'!CO47</f>
        <v>[-200x75x25x3.2 mm.</v>
      </c>
      <c r="DM49" s="40"/>
      <c r="DN49" s="40" t="str">
        <f>'Steel Table'!DG47</f>
        <v>2[]-200x75x25x3.2 mm.</v>
      </c>
      <c r="DO49" s="40"/>
      <c r="DP49" s="40"/>
      <c r="DQ49" s="40"/>
      <c r="DR49" s="40"/>
      <c r="DS49" s="40"/>
      <c r="DT49" s="40"/>
      <c r="DU49" s="40"/>
      <c r="DV49" s="40"/>
      <c r="DW49" s="40"/>
      <c r="DX49" s="40"/>
    </row>
    <row r="50" spans="1:128" s="35" customFormat="1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39"/>
      <c r="M50" s="40"/>
      <c r="N50" s="40"/>
      <c r="O50" s="40"/>
      <c r="P50" s="40"/>
      <c r="Q50" s="40"/>
      <c r="R50" s="40"/>
      <c r="S50" s="31"/>
      <c r="T50" s="31"/>
      <c r="U50" s="142" t="s">
        <v>115</v>
      </c>
      <c r="V50" s="395" t="str">
        <f>Cover!H10</f>
        <v>สย.0000</v>
      </c>
      <c r="W50" s="395"/>
      <c r="X50" s="395"/>
      <c r="Y50" s="395"/>
      <c r="Z50" s="395"/>
      <c r="AA50" s="395"/>
      <c r="AB50" s="40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40"/>
      <c r="AQ50" s="40"/>
      <c r="AR50" s="40"/>
      <c r="BY50" s="40"/>
      <c r="BZ50" s="40"/>
      <c r="CA50" s="40"/>
      <c r="CB50" s="40"/>
      <c r="CC50" s="40"/>
      <c r="CD50" s="40"/>
      <c r="CE50" s="40"/>
      <c r="CF50" s="39"/>
      <c r="CG50" s="39"/>
      <c r="CH50" s="40"/>
      <c r="CI50" s="39"/>
      <c r="CJ50" s="75"/>
      <c r="CK50" s="40"/>
      <c r="CL50" s="40"/>
      <c r="CM50" s="39"/>
      <c r="CN50" s="141"/>
      <c r="CO50" s="40"/>
      <c r="CP50" s="40"/>
      <c r="CQ50" s="40"/>
      <c r="CR50" s="40"/>
      <c r="CS50" s="324"/>
      <c r="CT50" s="52">
        <v>32</v>
      </c>
      <c r="CU50" s="52" t="str">
        <f>VLOOKUP(32,$DE$8:$DN$78,CV$8,TRUE)</f>
        <v>[-150x65x20x4 mm.</v>
      </c>
      <c r="CV50" s="40"/>
      <c r="CW50" s="40"/>
      <c r="CX50" s="40"/>
      <c r="CY50" s="40"/>
      <c r="CZ50" s="40"/>
      <c r="DA50" s="40"/>
      <c r="DB50" s="40"/>
      <c r="DC50" s="40"/>
      <c r="DD50" s="40"/>
      <c r="DE50" s="40">
        <v>43</v>
      </c>
      <c r="DF50" s="40" t="str">
        <f>'Steel Table'!C48</f>
        <v>WF-400X400x15x15 mm.</v>
      </c>
      <c r="DG50" s="40"/>
      <c r="DH50" s="40"/>
      <c r="DI50" s="40"/>
      <c r="DJ50" s="40"/>
      <c r="DK50" s="40"/>
      <c r="DL50" s="40" t="str">
        <f>'Steel Table'!CO48</f>
        <v>[-200x75x25x4 mm.</v>
      </c>
      <c r="DM50" s="40"/>
      <c r="DN50" s="40" t="str">
        <f>'Steel Table'!DG48</f>
        <v>2[]-200x75x25x4 mm.</v>
      </c>
      <c r="DO50" s="40"/>
      <c r="DP50" s="40"/>
      <c r="DQ50" s="40"/>
      <c r="DR50" s="40"/>
      <c r="DS50" s="40"/>
      <c r="DT50" s="40"/>
      <c r="DU50" s="40"/>
      <c r="DV50" s="40"/>
      <c r="DW50" s="40"/>
      <c r="DX50" s="40"/>
    </row>
    <row r="51" spans="1:128" ht="15.75" customHeight="1">
      <c r="A51" s="34"/>
      <c r="C51" s="40"/>
      <c r="D51" s="40"/>
      <c r="E51" s="40"/>
      <c r="F51" s="40"/>
      <c r="G51" s="40"/>
      <c r="H51" s="40"/>
      <c r="I51" s="40"/>
      <c r="J51" s="40"/>
      <c r="K51" s="40"/>
      <c r="L51" s="39"/>
      <c r="M51" s="75"/>
      <c r="N51" s="94"/>
      <c r="O51" s="94"/>
      <c r="P51" s="94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BY51" s="34"/>
      <c r="BZ51" s="34"/>
      <c r="CA51" s="34"/>
      <c r="CB51" s="34"/>
      <c r="CC51" s="34"/>
      <c r="CD51" s="34"/>
      <c r="CE51" s="40"/>
      <c r="CF51" s="39"/>
      <c r="CG51" s="39"/>
      <c r="CH51" s="40"/>
      <c r="CI51" s="39"/>
      <c r="CJ51" s="40"/>
      <c r="CK51" s="40"/>
      <c r="CL51" s="40"/>
      <c r="CM51" s="39"/>
      <c r="CN51" s="39"/>
      <c r="CO51" s="40"/>
      <c r="CP51" s="40"/>
      <c r="CQ51" s="34"/>
      <c r="CR51" s="34"/>
      <c r="CS51" s="34"/>
      <c r="CT51" s="52">
        <v>33</v>
      </c>
      <c r="CU51" s="52" t="str">
        <f>VLOOKUP(33,$DE$8:$DN$78,CV$8,TRUE)</f>
        <v>[-150x75x20x3.2 mm.</v>
      </c>
      <c r="CV51" s="34"/>
      <c r="CW51" s="34"/>
      <c r="CX51" s="41"/>
      <c r="CY51" s="34"/>
      <c r="CZ51" s="34"/>
      <c r="DA51" s="34"/>
      <c r="DB51" s="34"/>
      <c r="DC51" s="34"/>
      <c r="DD51" s="34"/>
      <c r="DE51" s="40">
        <v>44</v>
      </c>
      <c r="DF51" s="40" t="str">
        <f>'Steel Table'!C49</f>
        <v>WF-400X400x11x18 mm.</v>
      </c>
      <c r="DG51" s="34"/>
      <c r="DH51" s="34"/>
      <c r="DI51" s="34"/>
      <c r="DJ51" s="34"/>
      <c r="DK51" s="40"/>
      <c r="DL51" s="40" t="str">
        <f>'Steel Table'!CO49</f>
        <v>[-200x75x25x4.5 mm.</v>
      </c>
      <c r="DM51" s="34"/>
      <c r="DN51" s="40" t="str">
        <f>'Steel Table'!DG49</f>
        <v>2[]-200x75x25x4.5 mm.</v>
      </c>
      <c r="DO51" s="34"/>
      <c r="DP51" s="34"/>
      <c r="DQ51" s="34"/>
      <c r="DR51" s="34"/>
      <c r="DS51" s="34"/>
      <c r="DT51" s="34"/>
      <c r="DU51" s="34"/>
      <c r="DV51" s="34"/>
      <c r="DW51" s="34"/>
      <c r="DX51" s="34"/>
    </row>
    <row r="52" spans="1:128" ht="15.75" customHeight="1">
      <c r="A52" s="34"/>
      <c r="B52" s="95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75"/>
      <c r="N52" s="325"/>
      <c r="O52" s="325"/>
      <c r="P52" s="325"/>
      <c r="Q52" s="94"/>
      <c r="R52" s="94"/>
      <c r="S52" s="94"/>
      <c r="T52" s="94"/>
      <c r="U52" s="94"/>
      <c r="V52" s="94"/>
      <c r="W52" s="94"/>
      <c r="X52" s="326"/>
      <c r="Y52" s="326"/>
      <c r="Z52" s="326"/>
      <c r="AA52" s="326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BY52" s="34"/>
      <c r="BZ52" s="34"/>
      <c r="CA52" s="34"/>
      <c r="CB52" s="34"/>
      <c r="CC52" s="34"/>
      <c r="CD52" s="34"/>
      <c r="CE52" s="40"/>
      <c r="CF52" s="39"/>
      <c r="CG52" s="39"/>
      <c r="CH52" s="40"/>
      <c r="CI52" s="39"/>
      <c r="CJ52" s="40"/>
      <c r="CK52" s="40"/>
      <c r="CL52" s="40"/>
      <c r="CM52" s="39"/>
      <c r="CN52" s="39"/>
      <c r="CO52" s="40"/>
      <c r="CP52" s="40"/>
      <c r="CQ52" s="34"/>
      <c r="CR52" s="34"/>
      <c r="CS52" s="34"/>
      <c r="CT52" s="52">
        <v>34</v>
      </c>
      <c r="CU52" s="52" t="str">
        <f>VLOOKUP(34,$DE$8:$DN$78,CV$8,TRUE)</f>
        <v>[-150x75x20x4 mm.</v>
      </c>
      <c r="CV52" s="34"/>
      <c r="CW52" s="34"/>
      <c r="CX52" s="41"/>
      <c r="CY52" s="34"/>
      <c r="CZ52" s="327"/>
      <c r="DA52" s="34"/>
      <c r="DB52" s="34"/>
      <c r="DC52" s="34"/>
      <c r="DD52" s="34"/>
      <c r="DE52" s="40">
        <v>45</v>
      </c>
      <c r="DF52" s="40" t="str">
        <f>'Steel Table'!C50</f>
        <v>WF-400X400x18x18 mm.</v>
      </c>
      <c r="DG52" s="34"/>
      <c r="DH52" s="34"/>
      <c r="DI52" s="34"/>
      <c r="DJ52" s="34"/>
      <c r="DK52" s="40"/>
      <c r="DL52" s="40" t="str">
        <f>'Steel Table'!CO50</f>
        <v>[-250x75x25x4.5 mm.</v>
      </c>
      <c r="DM52" s="34"/>
      <c r="DN52" s="40" t="str">
        <f>'Steel Table'!DG50</f>
        <v>2[]-250x75x25x4.5 mm.</v>
      </c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pans="1:128" ht="15.75" customHeight="1">
      <c r="A53" s="34"/>
      <c r="B53" s="95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75"/>
      <c r="N53" s="74"/>
      <c r="O53" s="74"/>
      <c r="P53" s="7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BY53" s="34"/>
      <c r="BZ53" s="34"/>
      <c r="CA53" s="34"/>
      <c r="CB53" s="34"/>
      <c r="CC53" s="34"/>
      <c r="CD53" s="34"/>
      <c r="CE53" s="40"/>
      <c r="CF53" s="39"/>
      <c r="CG53" s="39"/>
      <c r="CH53" s="40"/>
      <c r="CI53" s="39"/>
      <c r="CJ53" s="40"/>
      <c r="CK53" s="40"/>
      <c r="CL53" s="40"/>
      <c r="CM53" s="39"/>
      <c r="CN53" s="84"/>
      <c r="CO53" s="40"/>
      <c r="CP53" s="40"/>
      <c r="CQ53" s="34"/>
      <c r="CR53" s="34"/>
      <c r="CS53" s="34"/>
      <c r="CT53" s="52">
        <v>35</v>
      </c>
      <c r="CU53" s="52" t="str">
        <f>VLOOKUP(35,$DE$8:$DN$78,CV$8,TRUE)</f>
        <v>[-150x75x20x4.5 mm.</v>
      </c>
      <c r="CV53" s="34"/>
      <c r="CW53" s="34"/>
      <c r="CX53" s="41"/>
      <c r="CY53" s="146"/>
      <c r="CZ53" s="327"/>
      <c r="DA53" s="34"/>
      <c r="DB53" s="34"/>
      <c r="DC53" s="34"/>
      <c r="DD53" s="34"/>
      <c r="DE53" s="40">
        <v>46</v>
      </c>
      <c r="DF53" s="40" t="str">
        <f>'Steel Table'!C51</f>
        <v>WF-400X400x13x21 mm.</v>
      </c>
      <c r="DG53" s="34"/>
      <c r="DH53" s="34"/>
      <c r="DI53" s="34"/>
      <c r="DJ53" s="34"/>
      <c r="DK53" s="40"/>
      <c r="DL53" s="40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</row>
    <row r="54" spans="1:128" ht="15.75" customHeight="1">
      <c r="A54" s="34"/>
      <c r="B54" s="95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75"/>
      <c r="N54" s="74"/>
      <c r="O54" s="74"/>
      <c r="P54" s="7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BY54" s="34"/>
      <c r="BZ54" s="34"/>
      <c r="CA54" s="34"/>
      <c r="CB54" s="34"/>
      <c r="CC54" s="34"/>
      <c r="CD54" s="34"/>
      <c r="CE54" s="40"/>
      <c r="CF54" s="39"/>
      <c r="CG54" s="39"/>
      <c r="CH54" s="40"/>
      <c r="CI54" s="39"/>
      <c r="CJ54" s="75"/>
      <c r="CK54" s="40"/>
      <c r="CL54" s="40"/>
      <c r="CM54" s="39"/>
      <c r="CN54" s="39"/>
      <c r="CO54" s="40"/>
      <c r="CP54" s="40"/>
      <c r="CQ54" s="34"/>
      <c r="CR54" s="34"/>
      <c r="CS54" s="34"/>
      <c r="CT54" s="52">
        <v>36</v>
      </c>
      <c r="CU54" s="52" t="str">
        <f>VLOOKUP(36,$DE$8:$DN$78,CV$8,TRUE)</f>
        <v>[-150x75x25x3.2 mm.</v>
      </c>
      <c r="CV54" s="34"/>
      <c r="CW54" s="34"/>
      <c r="CX54" s="41"/>
      <c r="CY54" s="146"/>
      <c r="CZ54" s="327"/>
      <c r="DA54" s="34"/>
      <c r="DB54" s="34"/>
      <c r="DC54" s="34"/>
      <c r="DD54" s="34"/>
      <c r="DE54" s="40">
        <v>47</v>
      </c>
      <c r="DF54" s="40" t="str">
        <f>'Steel Table'!C52</f>
        <v>WF-400X400x21x21 mm.</v>
      </c>
      <c r="DG54" s="34"/>
      <c r="DH54" s="34"/>
      <c r="DI54" s="34"/>
      <c r="DJ54" s="34"/>
      <c r="DK54" s="40"/>
      <c r="DL54" s="40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15.75" customHeight="1">
      <c r="A55" s="34"/>
      <c r="B55" s="95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75"/>
      <c r="N55" s="74"/>
      <c r="O55" s="74"/>
      <c r="P55" s="7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BY55" s="34"/>
      <c r="BZ55" s="34"/>
      <c r="CA55" s="34"/>
      <c r="CB55" s="34"/>
      <c r="CC55" s="34"/>
      <c r="CD55" s="34"/>
      <c r="CE55" s="40"/>
      <c r="CF55" s="39"/>
      <c r="CG55" s="39"/>
      <c r="CH55" s="40"/>
      <c r="CI55" s="40"/>
      <c r="CJ55" s="40"/>
      <c r="CK55" s="40"/>
      <c r="CL55" s="40"/>
      <c r="CM55" s="39"/>
      <c r="CN55" s="88"/>
      <c r="CO55" s="40"/>
      <c r="CP55" s="40"/>
      <c r="CQ55" s="34"/>
      <c r="CR55" s="34"/>
      <c r="CS55" s="34"/>
      <c r="CT55" s="52">
        <v>37</v>
      </c>
      <c r="CU55" s="52" t="str">
        <f>VLOOKUP(37,$DE$8:$DN$78,CV$8,TRUE)</f>
        <v>[-150x75x25x4 mm.</v>
      </c>
      <c r="CV55" s="34"/>
      <c r="CW55" s="34"/>
      <c r="CX55" s="41"/>
      <c r="CY55" s="41"/>
      <c r="CZ55" s="143"/>
      <c r="DA55" s="34"/>
      <c r="DB55" s="34"/>
      <c r="DC55" s="34"/>
      <c r="DD55" s="34"/>
      <c r="DE55" s="40">
        <v>48</v>
      </c>
      <c r="DF55" s="40" t="str">
        <f>'Steel Table'!C53</f>
        <v>WF-400X400x18x28 mm.</v>
      </c>
      <c r="DG55" s="34"/>
      <c r="DH55" s="34"/>
      <c r="DI55" s="41"/>
      <c r="DJ55" s="143"/>
      <c r="DK55" s="40"/>
      <c r="DL55" s="40"/>
      <c r="DM55" s="34"/>
      <c r="DN55" s="34"/>
      <c r="DO55" s="34"/>
      <c r="DP55" s="41"/>
      <c r="DQ55" s="146"/>
      <c r="DR55" s="34"/>
      <c r="DS55" s="34"/>
      <c r="DT55" s="34"/>
      <c r="DU55" s="34"/>
      <c r="DV55" s="34"/>
      <c r="DW55" s="34"/>
      <c r="DX55" s="34"/>
    </row>
    <row r="56" spans="1:128" ht="15.75" customHeight="1">
      <c r="A56" s="34"/>
      <c r="B56" s="95"/>
      <c r="C56" s="40"/>
      <c r="D56" s="40"/>
      <c r="E56" s="40"/>
      <c r="F56" s="40"/>
      <c r="G56" s="40"/>
      <c r="H56" s="40"/>
      <c r="I56" s="40"/>
      <c r="J56" s="40"/>
      <c r="K56" s="40"/>
      <c r="L56" s="39"/>
      <c r="M56" s="75"/>
      <c r="N56" s="74"/>
      <c r="O56" s="74"/>
      <c r="P56" s="7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BY56" s="34"/>
      <c r="BZ56" s="34"/>
      <c r="CA56" s="34"/>
      <c r="CB56" s="34"/>
      <c r="CC56" s="34"/>
      <c r="CD56" s="34"/>
      <c r="CE56" s="40"/>
      <c r="CF56" s="39"/>
      <c r="CG56" s="39"/>
      <c r="CH56" s="40"/>
      <c r="CI56" s="40"/>
      <c r="CJ56" s="40"/>
      <c r="CK56" s="40"/>
      <c r="CL56" s="40"/>
      <c r="CM56" s="39"/>
      <c r="CN56" s="88"/>
      <c r="CO56" s="40"/>
      <c r="CP56" s="40"/>
      <c r="CQ56" s="34"/>
      <c r="CR56" s="34"/>
      <c r="CS56" s="34"/>
      <c r="CT56" s="52">
        <v>38</v>
      </c>
      <c r="CU56" s="52" t="str">
        <f>VLOOKUP(38,$DE$8:$DN$78,CV$8,TRUE)</f>
        <v>[-150x75x25x4.5 mm.</v>
      </c>
      <c r="CV56" s="34"/>
      <c r="CW56" s="34"/>
      <c r="CX56" s="41"/>
      <c r="CY56" s="41"/>
      <c r="CZ56" s="143"/>
      <c r="DA56" s="34"/>
      <c r="DB56" s="34"/>
      <c r="DC56" s="34"/>
      <c r="DD56" s="34"/>
      <c r="DE56" s="40">
        <v>49</v>
      </c>
      <c r="DF56" s="40" t="str">
        <f>'Steel Table'!C54</f>
        <v>WF-450X200x8x12 mm.</v>
      </c>
      <c r="DG56" s="34"/>
      <c r="DH56" s="34"/>
      <c r="DI56" s="41"/>
      <c r="DJ56" s="34"/>
      <c r="DK56" s="40"/>
      <c r="DL56" s="40"/>
      <c r="DM56" s="34"/>
      <c r="DN56" s="34"/>
      <c r="DO56" s="34"/>
      <c r="DP56" s="41"/>
      <c r="DQ56" s="146"/>
      <c r="DR56" s="34"/>
      <c r="DS56" s="34"/>
      <c r="DT56" s="34"/>
      <c r="DU56" s="34"/>
      <c r="DV56" s="34"/>
      <c r="DW56" s="34"/>
      <c r="DX56" s="34"/>
    </row>
    <row r="57" spans="1:128" ht="15.75" customHeight="1">
      <c r="A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BY57" s="34"/>
      <c r="BZ57" s="34"/>
      <c r="CA57" s="34"/>
      <c r="CB57" s="34"/>
      <c r="CC57" s="34"/>
      <c r="CD57" s="34"/>
      <c r="CE57" s="40"/>
      <c r="CF57" s="39"/>
      <c r="CG57" s="39"/>
      <c r="CH57" s="40"/>
      <c r="CI57" s="40"/>
      <c r="CJ57" s="40"/>
      <c r="CK57" s="40"/>
      <c r="CL57" s="40"/>
      <c r="CM57" s="39"/>
      <c r="CN57" s="39"/>
      <c r="CO57" s="40"/>
      <c r="CP57" s="40"/>
      <c r="CQ57" s="34"/>
      <c r="CR57" s="34"/>
      <c r="CS57" s="34"/>
      <c r="CT57" s="52">
        <v>39</v>
      </c>
      <c r="CU57" s="52" t="str">
        <f>VLOOKUP(39,$DE$8:$DN$78,CV$8,TRUE)</f>
        <v>[-200x75x20x3.2 mm.</v>
      </c>
      <c r="CV57" s="34"/>
      <c r="CW57" s="34"/>
      <c r="CX57" s="41"/>
      <c r="CY57" s="34"/>
      <c r="CZ57" s="34"/>
      <c r="DA57" s="34"/>
      <c r="DB57" s="34"/>
      <c r="DC57" s="34"/>
      <c r="DD57" s="34"/>
      <c r="DE57" s="40">
        <v>50</v>
      </c>
      <c r="DF57" s="40" t="str">
        <f>'Steel Table'!C55</f>
        <v>WF-450X200x9x14 mm.</v>
      </c>
      <c r="DG57" s="34"/>
      <c r="DH57" s="34"/>
      <c r="DI57" s="41"/>
      <c r="DJ57" s="143"/>
      <c r="DK57" s="40"/>
      <c r="DL57" s="40"/>
      <c r="DM57" s="34"/>
      <c r="DN57" s="34"/>
      <c r="DO57" s="34"/>
      <c r="DP57" s="41"/>
      <c r="DQ57" s="146"/>
      <c r="DR57" s="34"/>
      <c r="DS57" s="34"/>
      <c r="DT57" s="34"/>
      <c r="DU57" s="34"/>
      <c r="DV57" s="34"/>
      <c r="DW57" s="34"/>
      <c r="DX57" s="34"/>
    </row>
    <row r="58" spans="1:128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41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BY58" s="34"/>
      <c r="BZ58" s="34"/>
      <c r="CA58" s="34"/>
      <c r="CB58" s="34"/>
      <c r="CC58" s="34"/>
      <c r="CD58" s="34"/>
      <c r="CE58" s="40"/>
      <c r="CF58" s="39"/>
      <c r="CG58" s="39"/>
      <c r="CH58" s="92"/>
      <c r="CI58" s="40"/>
      <c r="CJ58" s="40"/>
      <c r="CK58" s="40"/>
      <c r="CL58" s="40"/>
      <c r="CM58" s="40"/>
      <c r="CN58" s="40"/>
      <c r="CO58" s="40"/>
      <c r="CP58" s="40"/>
      <c r="CQ58" s="34"/>
      <c r="CR58" s="34"/>
      <c r="CS58" s="34"/>
      <c r="CT58" s="52">
        <v>40</v>
      </c>
      <c r="CU58" s="52" t="str">
        <f>VLOOKUP(40,$DE$8:$DN$78,CV$8,TRUE)</f>
        <v>[-200x75x20x4 mm.</v>
      </c>
      <c r="CV58" s="34"/>
      <c r="CW58" s="34"/>
      <c r="CX58" s="41"/>
      <c r="CY58" s="34"/>
      <c r="CZ58" s="34"/>
      <c r="DA58" s="34"/>
      <c r="DB58" s="34"/>
      <c r="DC58" s="34"/>
      <c r="DD58" s="34"/>
      <c r="DE58" s="40">
        <v>51</v>
      </c>
      <c r="DF58" s="40" t="str">
        <f>'Steel Table'!C56</f>
        <v>WF-450X200x10x17 mm.</v>
      </c>
      <c r="DG58" s="34"/>
      <c r="DH58" s="34"/>
      <c r="DI58" s="41"/>
      <c r="DJ58" s="328"/>
      <c r="DK58" s="40"/>
      <c r="DL58" s="40"/>
      <c r="DM58" s="34"/>
      <c r="DN58" s="34"/>
      <c r="DO58" s="34"/>
      <c r="DP58" s="41"/>
      <c r="DQ58" s="146"/>
      <c r="DR58" s="34"/>
      <c r="DS58" s="34"/>
      <c r="DT58" s="34"/>
      <c r="DU58" s="34"/>
      <c r="DV58" s="34"/>
      <c r="DW58" s="34"/>
      <c r="DX58" s="34"/>
    </row>
    <row r="59" spans="1:128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41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BY59" s="34"/>
      <c r="BZ59" s="34"/>
      <c r="CA59" s="34"/>
      <c r="CB59" s="34"/>
      <c r="CC59" s="34"/>
      <c r="CD59" s="34"/>
      <c r="CE59" s="40"/>
      <c r="CF59" s="39"/>
      <c r="CG59" s="39"/>
      <c r="CH59" s="92"/>
      <c r="CI59" s="40"/>
      <c r="CJ59" s="40"/>
      <c r="CK59" s="40"/>
      <c r="CL59" s="40"/>
      <c r="CM59" s="94"/>
      <c r="CN59" s="94"/>
      <c r="CO59" s="117"/>
      <c r="CP59" s="40"/>
      <c r="CQ59" s="34"/>
      <c r="CR59" s="34"/>
      <c r="CS59" s="34"/>
      <c r="CT59" s="52">
        <v>41</v>
      </c>
      <c r="CU59" s="52" t="str">
        <f>VLOOKUP(41,$DE$8:$DN$78,CV$8,TRUE)</f>
        <v>[-200x75x20x4.5 mm.</v>
      </c>
      <c r="CV59" s="34"/>
      <c r="CW59" s="34"/>
      <c r="CX59" s="41"/>
      <c r="CY59" s="34"/>
      <c r="CZ59" s="34"/>
      <c r="DA59" s="34"/>
      <c r="DB59" s="41"/>
      <c r="DC59" s="34"/>
      <c r="DD59" s="34"/>
      <c r="DE59" s="40">
        <v>52</v>
      </c>
      <c r="DF59" s="40" t="str">
        <f>'Steel Table'!C57</f>
        <v>WF-450X300x10x17 mm.</v>
      </c>
      <c r="DG59" s="34"/>
      <c r="DH59" s="34"/>
      <c r="DI59" s="41"/>
      <c r="DJ59" s="34"/>
      <c r="DK59" s="40"/>
      <c r="DL59" s="40"/>
      <c r="DM59" s="34"/>
      <c r="DN59" s="34"/>
      <c r="DO59" s="34"/>
      <c r="DP59" s="41"/>
      <c r="DQ59" s="147"/>
      <c r="DR59" s="34"/>
      <c r="DS59" s="34"/>
      <c r="DT59" s="34"/>
      <c r="DU59" s="34"/>
      <c r="DV59" s="34"/>
      <c r="DW59" s="34"/>
      <c r="DX59" s="34"/>
    </row>
    <row r="60" spans="1:128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41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BY60" s="34"/>
      <c r="BZ60" s="34"/>
      <c r="CA60" s="34"/>
      <c r="CB60" s="34"/>
      <c r="CC60" s="34"/>
      <c r="CD60" s="34"/>
      <c r="CE60" s="40"/>
      <c r="CF60" s="39"/>
      <c r="CG60" s="39"/>
      <c r="CH60" s="92"/>
      <c r="CI60" s="40"/>
      <c r="CJ60" s="40"/>
      <c r="CK60" s="40"/>
      <c r="CL60" s="40"/>
      <c r="CM60" s="94"/>
      <c r="CN60" s="94"/>
      <c r="CO60" s="40"/>
      <c r="CP60" s="101"/>
      <c r="CQ60" s="34"/>
      <c r="CR60" s="34"/>
      <c r="CS60" s="34"/>
      <c r="CT60" s="52">
        <v>42</v>
      </c>
      <c r="CU60" s="52" t="str">
        <f>VLOOKUP(42,$DE$8:$DN$78,CV$8,TRUE)</f>
        <v>[-200x75x25x3.2 mm.</v>
      </c>
      <c r="CV60" s="34"/>
      <c r="CW60" s="34"/>
      <c r="CX60" s="41"/>
      <c r="CY60" s="34"/>
      <c r="CZ60" s="34"/>
      <c r="DA60" s="34"/>
      <c r="DB60" s="34"/>
      <c r="DC60" s="34"/>
      <c r="DD60" s="34"/>
      <c r="DE60" s="40">
        <v>53</v>
      </c>
      <c r="DF60" s="40" t="str">
        <f>'Steel Table'!C58</f>
        <v>WF-450X300x11x18 mm.</v>
      </c>
      <c r="DG60" s="34"/>
      <c r="DH60" s="34"/>
      <c r="DI60" s="41"/>
      <c r="DJ60" s="34"/>
      <c r="DK60" s="40"/>
      <c r="DL60" s="40"/>
      <c r="DM60" s="34"/>
      <c r="DN60" s="34"/>
      <c r="DO60" s="34"/>
      <c r="DP60" s="41"/>
      <c r="DQ60" s="147"/>
      <c r="DR60" s="34"/>
      <c r="DS60" s="34"/>
      <c r="DT60" s="34"/>
      <c r="DU60" s="34"/>
      <c r="DV60" s="34"/>
      <c r="DW60" s="34"/>
      <c r="DX60" s="34"/>
    </row>
    <row r="61" spans="77:128" ht="15.75" customHeight="1">
      <c r="BY61" s="34"/>
      <c r="BZ61" s="34"/>
      <c r="CA61" s="34"/>
      <c r="CB61" s="34"/>
      <c r="CC61" s="34"/>
      <c r="CD61" s="34"/>
      <c r="CE61" s="40"/>
      <c r="CF61" s="39"/>
      <c r="CG61" s="39"/>
      <c r="CH61" s="92"/>
      <c r="CI61" s="40"/>
      <c r="CJ61" s="40"/>
      <c r="CK61" s="40"/>
      <c r="CL61" s="40"/>
      <c r="CM61" s="94"/>
      <c r="CN61" s="94"/>
      <c r="CO61" s="40"/>
      <c r="CP61" s="101"/>
      <c r="CQ61" s="34"/>
      <c r="CR61" s="34"/>
      <c r="CS61" s="34"/>
      <c r="CT61" s="52">
        <v>43</v>
      </c>
      <c r="CU61" s="52" t="str">
        <f>VLOOKUP(43,$DE$8:$DN$78,CV$8,TRUE)</f>
        <v>[-200x75x25x4 mm.</v>
      </c>
      <c r="CV61" s="34"/>
      <c r="CW61" s="34"/>
      <c r="CX61" s="41"/>
      <c r="CY61" s="34"/>
      <c r="CZ61" s="34"/>
      <c r="DA61" s="34"/>
      <c r="DB61" s="41"/>
      <c r="DC61" s="34"/>
      <c r="DD61" s="34"/>
      <c r="DE61" s="40">
        <v>54</v>
      </c>
      <c r="DF61" s="40" t="str">
        <f>'Steel Table'!C59</f>
        <v>WF-450X300x13x21 mm.</v>
      </c>
      <c r="DG61" s="34"/>
      <c r="DH61" s="34"/>
      <c r="DI61" s="41"/>
      <c r="DJ61" s="143"/>
      <c r="DK61" s="40"/>
      <c r="DL61" s="40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77:128" ht="15.75" customHeight="1">
      <c r="BY62" s="34"/>
      <c r="BZ62" s="34"/>
      <c r="CA62" s="34"/>
      <c r="CB62" s="34"/>
      <c r="CC62" s="34"/>
      <c r="CD62" s="34"/>
      <c r="CE62" s="40"/>
      <c r="CF62" s="39"/>
      <c r="CG62" s="39"/>
      <c r="CH62" s="92"/>
      <c r="CI62" s="40"/>
      <c r="CJ62" s="40"/>
      <c r="CK62" s="40"/>
      <c r="CL62" s="40"/>
      <c r="CM62" s="94"/>
      <c r="CN62" s="94"/>
      <c r="CO62" s="40"/>
      <c r="CP62" s="40"/>
      <c r="CQ62" s="34"/>
      <c r="CR62" s="34"/>
      <c r="CS62" s="34"/>
      <c r="CT62" s="52">
        <v>44</v>
      </c>
      <c r="CU62" s="52" t="str">
        <f>VLOOKUP(44,$DE$8:$DN$78,CV$8,TRUE)</f>
        <v>[-200x75x25x4.5 mm.</v>
      </c>
      <c r="CV62" s="34"/>
      <c r="CW62" s="34"/>
      <c r="CX62" s="41"/>
      <c r="CY62" s="34"/>
      <c r="CZ62" s="34"/>
      <c r="DA62" s="34"/>
      <c r="DB62" s="34"/>
      <c r="DC62" s="34"/>
      <c r="DD62" s="34"/>
      <c r="DE62" s="40">
        <v>55</v>
      </c>
      <c r="DF62" s="40" t="str">
        <f>'Steel Table'!C60</f>
        <v>WF-500X200x9x14 mm.</v>
      </c>
      <c r="DG62" s="34"/>
      <c r="DH62" s="34"/>
      <c r="DI62" s="41"/>
      <c r="DJ62" s="143"/>
      <c r="DK62" s="40"/>
      <c r="DL62" s="40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77:128" ht="15.75" customHeight="1">
      <c r="BY63" s="34"/>
      <c r="BZ63" s="34"/>
      <c r="CA63" s="34"/>
      <c r="CB63" s="34"/>
      <c r="CC63" s="34"/>
      <c r="CD63" s="34"/>
      <c r="CE63" s="40"/>
      <c r="CF63" s="39"/>
      <c r="CG63" s="39"/>
      <c r="CH63" s="40"/>
      <c r="CI63" s="40"/>
      <c r="CJ63" s="40"/>
      <c r="CK63" s="40"/>
      <c r="CL63" s="40"/>
      <c r="CM63" s="40"/>
      <c r="CN63" s="40"/>
      <c r="CO63" s="40"/>
      <c r="CP63" s="40"/>
      <c r="CQ63" s="34"/>
      <c r="CR63" s="34"/>
      <c r="CS63" s="34"/>
      <c r="CT63" s="52">
        <v>45</v>
      </c>
      <c r="CU63" s="52" t="str">
        <f>VLOOKUP(45,$DE$8:$DN$78,CV$8,TRUE)</f>
        <v>[-250x75x25x4.5 mm.</v>
      </c>
      <c r="CV63" s="34"/>
      <c r="CW63" s="34"/>
      <c r="CX63" s="41"/>
      <c r="CY63" s="34"/>
      <c r="CZ63" s="34"/>
      <c r="DA63" s="34"/>
      <c r="DB63" s="34"/>
      <c r="DC63" s="34"/>
      <c r="DD63" s="34"/>
      <c r="DE63" s="40">
        <v>56</v>
      </c>
      <c r="DF63" s="40" t="str">
        <f>'Steel Table'!C61</f>
        <v>WF-500X200x10x16 mm.</v>
      </c>
      <c r="DG63" s="34"/>
      <c r="DH63" s="34"/>
      <c r="DI63" s="41"/>
      <c r="DJ63" s="34"/>
      <c r="DK63" s="40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77:128" ht="15.75" customHeight="1">
      <c r="BY64" s="34"/>
      <c r="BZ64" s="34"/>
      <c r="CA64" s="34"/>
      <c r="CB64" s="34"/>
      <c r="CC64" s="34"/>
      <c r="CD64" s="34"/>
      <c r="CE64" s="40"/>
      <c r="CF64" s="39"/>
      <c r="CG64" s="39"/>
      <c r="CH64" s="40"/>
      <c r="CI64" s="40"/>
      <c r="CJ64" s="40"/>
      <c r="CK64" s="40"/>
      <c r="CL64" s="40"/>
      <c r="CM64" s="40"/>
      <c r="CN64" s="40"/>
      <c r="CO64" s="40"/>
      <c r="CP64" s="40"/>
      <c r="CQ64" s="34"/>
      <c r="CR64" s="34"/>
      <c r="CS64" s="34"/>
      <c r="CT64" s="52">
        <v>46</v>
      </c>
      <c r="CU64" s="52">
        <f>VLOOKUP(46,$DE$8:$DN$78,CV$8,TRUE)</f>
        <v>0</v>
      </c>
      <c r="CV64" s="34"/>
      <c r="CW64" s="34"/>
      <c r="CX64" s="41"/>
      <c r="CY64" s="34"/>
      <c r="CZ64" s="34"/>
      <c r="DA64" s="34"/>
      <c r="DB64" s="34"/>
      <c r="DC64" s="34"/>
      <c r="DD64" s="34"/>
      <c r="DE64" s="40">
        <v>57</v>
      </c>
      <c r="DF64" s="40" t="str">
        <f>'Steel Table'!C62</f>
        <v>WF-500X200x11x19 mm.</v>
      </c>
      <c r="DG64" s="34"/>
      <c r="DH64" s="34"/>
      <c r="DI64" s="41"/>
      <c r="DJ64" s="328"/>
      <c r="DK64" s="40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77:128" ht="15.75" customHeight="1">
      <c r="BY65" s="34"/>
      <c r="BZ65" s="34"/>
      <c r="CA65" s="34"/>
      <c r="CB65" s="34"/>
      <c r="CC65" s="34"/>
      <c r="CD65" s="34"/>
      <c r="CE65" s="40"/>
      <c r="CF65" s="39"/>
      <c r="CG65" s="39"/>
      <c r="CH65" s="40"/>
      <c r="CI65" s="40"/>
      <c r="CJ65" s="40"/>
      <c r="CK65" s="40"/>
      <c r="CL65" s="40"/>
      <c r="CM65" s="40"/>
      <c r="CN65" s="40"/>
      <c r="CO65" s="40"/>
      <c r="CP65" s="40"/>
      <c r="CQ65" s="34"/>
      <c r="CR65" s="34"/>
      <c r="CS65" s="34"/>
      <c r="CT65" s="52">
        <v>47</v>
      </c>
      <c r="CU65" s="52">
        <f>VLOOKUP(47,$DE$8:$DN$78,CV$8,TRUE)</f>
        <v>0</v>
      </c>
      <c r="CV65" s="34"/>
      <c r="CW65" s="34"/>
      <c r="CX65" s="41"/>
      <c r="CY65" s="34"/>
      <c r="CZ65" s="34"/>
      <c r="DA65" s="34"/>
      <c r="DB65" s="34"/>
      <c r="DC65" s="34"/>
      <c r="DD65" s="34"/>
      <c r="DE65" s="40">
        <v>58</v>
      </c>
      <c r="DF65" s="40" t="str">
        <f>'Steel Table'!C63</f>
        <v>WF-500X300x11x15 mm.</v>
      </c>
      <c r="DG65" s="34"/>
      <c r="DH65" s="34"/>
      <c r="DI65" s="41"/>
      <c r="DJ65" s="143"/>
      <c r="DK65" s="40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77:128" ht="15.75" customHeight="1">
      <c r="BY66" s="34"/>
      <c r="BZ66" s="34"/>
      <c r="CA66" s="34"/>
      <c r="CB66" s="34"/>
      <c r="CC66" s="34"/>
      <c r="CD66" s="34"/>
      <c r="CE66" s="40"/>
      <c r="CF66" s="39"/>
      <c r="CG66" s="39"/>
      <c r="CH66" s="40"/>
      <c r="CI66" s="40"/>
      <c r="CJ66" s="40"/>
      <c r="CK66" s="40"/>
      <c r="CL66" s="40"/>
      <c r="CM66" s="40"/>
      <c r="CN66" s="40"/>
      <c r="CO66" s="40"/>
      <c r="CP66" s="40"/>
      <c r="CQ66" s="34"/>
      <c r="CR66" s="34"/>
      <c r="CS66" s="34"/>
      <c r="CT66" s="52">
        <v>48</v>
      </c>
      <c r="CU66" s="52">
        <f>VLOOKUP(48,$DE$8:$DN$78,CV$8,TRUE)</f>
        <v>0</v>
      </c>
      <c r="CV66" s="34"/>
      <c r="CW66" s="34"/>
      <c r="CX66" s="34"/>
      <c r="CY66" s="34"/>
      <c r="CZ66" s="34"/>
      <c r="DA66" s="34"/>
      <c r="DB66" s="34"/>
      <c r="DC66" s="34"/>
      <c r="DD66" s="34"/>
      <c r="DE66" s="40">
        <v>59</v>
      </c>
      <c r="DF66" s="40" t="str">
        <f>'Steel Table'!C64</f>
        <v>WF-500X300x11x18 mm.</v>
      </c>
      <c r="DG66" s="34"/>
      <c r="DH66" s="34"/>
      <c r="DI66" s="41"/>
      <c r="DJ66" s="34"/>
      <c r="DK66" s="40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77:128" ht="15.75" customHeight="1">
      <c r="BY67" s="34"/>
      <c r="BZ67" s="34"/>
      <c r="CA67" s="34"/>
      <c r="CB67" s="34"/>
      <c r="CC67" s="34"/>
      <c r="CD67" s="34"/>
      <c r="CE67" s="40"/>
      <c r="CF67" s="39"/>
      <c r="CG67" s="39"/>
      <c r="CH67" s="40"/>
      <c r="CI67" s="40"/>
      <c r="CJ67" s="40"/>
      <c r="CK67" s="40"/>
      <c r="CL67" s="40"/>
      <c r="CM67" s="40"/>
      <c r="CN67" s="40"/>
      <c r="CO67" s="40"/>
      <c r="CP67" s="40"/>
      <c r="CQ67" s="34"/>
      <c r="CR67" s="34"/>
      <c r="CS67" s="34"/>
      <c r="CT67" s="52">
        <v>49</v>
      </c>
      <c r="CU67" s="52">
        <f>VLOOKUP(49,$DE$8:$DN$78,CV$8,TRUE)</f>
        <v>0</v>
      </c>
      <c r="CV67" s="34"/>
      <c r="CW67" s="34"/>
      <c r="CX67" s="34"/>
      <c r="CY67" s="34"/>
      <c r="CZ67" s="34"/>
      <c r="DA67" s="34"/>
      <c r="DB67" s="34"/>
      <c r="DC67" s="34"/>
      <c r="DD67" s="34"/>
      <c r="DE67" s="40">
        <v>60</v>
      </c>
      <c r="DF67" s="40" t="str">
        <f>'Steel Table'!C65</f>
        <v>WF-500X300x13x21 mm.</v>
      </c>
      <c r="DG67" s="34"/>
      <c r="DH67" s="34"/>
      <c r="DI67" s="41"/>
      <c r="DJ67" s="34"/>
      <c r="DK67" s="40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77:128" ht="15.75" customHeight="1">
      <c r="BY68" s="34"/>
      <c r="BZ68" s="34"/>
      <c r="CA68" s="34"/>
      <c r="CB68" s="34"/>
      <c r="CC68" s="34"/>
      <c r="CD68" s="34"/>
      <c r="CE68" s="40"/>
      <c r="CF68" s="39"/>
      <c r="CG68" s="39"/>
      <c r="CH68" s="40"/>
      <c r="CI68" s="40"/>
      <c r="CJ68" s="40"/>
      <c r="CK68" s="40"/>
      <c r="CL68" s="40"/>
      <c r="CM68" s="40"/>
      <c r="CN68" s="66"/>
      <c r="CO68" s="40"/>
      <c r="CP68" s="40"/>
      <c r="CQ68" s="34"/>
      <c r="CR68" s="34"/>
      <c r="CS68" s="34"/>
      <c r="CT68" s="52">
        <v>50</v>
      </c>
      <c r="CU68" s="52">
        <f>VLOOKUP(50,$DE$8:$DN$78,CV$8,TRUE)</f>
        <v>0</v>
      </c>
      <c r="CV68" s="34"/>
      <c r="CW68" s="34"/>
      <c r="CX68" s="34"/>
      <c r="CY68" s="34"/>
      <c r="CZ68" s="34"/>
      <c r="DA68" s="34"/>
      <c r="DB68" s="34"/>
      <c r="DC68" s="34"/>
      <c r="DD68" s="34"/>
      <c r="DE68" s="40">
        <v>61</v>
      </c>
      <c r="DF68" s="40" t="str">
        <f>'Steel Table'!C66</f>
        <v>WF-600X200x10x15 mm.</v>
      </c>
      <c r="DG68" s="34"/>
      <c r="DH68" s="34"/>
      <c r="DI68" s="41"/>
      <c r="DJ68" s="34"/>
      <c r="DK68" s="40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77:128" ht="15.75" customHeight="1">
      <c r="BY69" s="34"/>
      <c r="BZ69" s="34"/>
      <c r="CA69" s="34"/>
      <c r="CB69" s="34"/>
      <c r="CC69" s="34"/>
      <c r="CD69" s="34"/>
      <c r="CE69" s="40"/>
      <c r="CF69" s="39"/>
      <c r="CG69" s="39"/>
      <c r="CH69" s="40"/>
      <c r="CI69" s="40"/>
      <c r="CJ69" s="40"/>
      <c r="CK69" s="40"/>
      <c r="CL69" s="40"/>
      <c r="CM69" s="40"/>
      <c r="CN69" s="117"/>
      <c r="CO69" s="40"/>
      <c r="CP69" s="40"/>
      <c r="CQ69" s="34"/>
      <c r="CR69" s="34"/>
      <c r="CS69" s="34"/>
      <c r="CT69" s="52">
        <v>51</v>
      </c>
      <c r="CU69" s="52">
        <f>VLOOKUP(51,$DE$8:$DN$78,CV$8,TRUE)</f>
        <v>0</v>
      </c>
      <c r="CV69" s="34"/>
      <c r="CW69" s="34"/>
      <c r="CX69" s="34"/>
      <c r="CY69" s="34"/>
      <c r="CZ69" s="34"/>
      <c r="DA69" s="34"/>
      <c r="DB69" s="34"/>
      <c r="DC69" s="34"/>
      <c r="DD69" s="34"/>
      <c r="DE69" s="40">
        <v>62</v>
      </c>
      <c r="DF69" s="40" t="str">
        <f>'Steel Table'!C67</f>
        <v>WF-600X200x11x17 mm.</v>
      </c>
      <c r="DG69" s="34"/>
      <c r="DH69" s="34"/>
      <c r="DI69" s="41"/>
      <c r="DJ69" s="147"/>
      <c r="DK69" s="40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77:128" ht="15.75" customHeight="1">
      <c r="BY70" s="34"/>
      <c r="BZ70" s="34"/>
      <c r="CA70" s="34"/>
      <c r="CB70" s="34"/>
      <c r="CC70" s="34"/>
      <c r="CD70" s="34"/>
      <c r="CE70" s="40"/>
      <c r="CF70" s="39"/>
      <c r="CG70" s="39"/>
      <c r="CH70" s="40"/>
      <c r="CI70" s="40"/>
      <c r="CJ70" s="40"/>
      <c r="CK70" s="40"/>
      <c r="CL70" s="40"/>
      <c r="CM70" s="40"/>
      <c r="CN70" s="40"/>
      <c r="CO70" s="40"/>
      <c r="CP70" s="40"/>
      <c r="CQ70" s="34"/>
      <c r="CR70" s="34"/>
      <c r="CS70" s="34"/>
      <c r="CT70" s="52">
        <v>52</v>
      </c>
      <c r="CU70" s="52">
        <f>VLOOKUP(52,$DE$8:$DN$78,CV$8,TRUE)</f>
        <v>0</v>
      </c>
      <c r="CV70" s="34"/>
      <c r="CW70" s="34"/>
      <c r="CX70" s="34"/>
      <c r="CY70" s="34"/>
      <c r="CZ70" s="34"/>
      <c r="DA70" s="34"/>
      <c r="DB70" s="34"/>
      <c r="DC70" s="34"/>
      <c r="DD70" s="34"/>
      <c r="DE70" s="40">
        <v>63</v>
      </c>
      <c r="DF70" s="40" t="str">
        <f>'Steel Table'!C68</f>
        <v>WF-600X200x12x20 mm.</v>
      </c>
      <c r="DG70" s="34"/>
      <c r="DH70" s="34"/>
      <c r="DI70" s="41"/>
      <c r="DJ70" s="34"/>
      <c r="DK70" s="40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77:128" ht="15.75" customHeight="1">
      <c r="BY71" s="34"/>
      <c r="BZ71" s="34"/>
      <c r="CA71" s="34"/>
      <c r="CB71" s="34"/>
      <c r="CC71" s="34"/>
      <c r="CD71" s="34"/>
      <c r="CE71" s="40"/>
      <c r="CF71" s="39"/>
      <c r="CG71" s="39"/>
      <c r="CH71" s="40"/>
      <c r="CI71" s="40"/>
      <c r="CJ71" s="40"/>
      <c r="CK71" s="40"/>
      <c r="CL71" s="40"/>
      <c r="CM71" s="40"/>
      <c r="CN71" s="40"/>
      <c r="CO71" s="40"/>
      <c r="CP71" s="40"/>
      <c r="CQ71" s="34"/>
      <c r="CR71" s="34"/>
      <c r="CS71" s="34"/>
      <c r="CT71" s="52">
        <v>53</v>
      </c>
      <c r="CU71" s="52">
        <f>VLOOKUP(53,$DE$8:$DN$78,CV$8,TRUE)</f>
        <v>0</v>
      </c>
      <c r="CV71" s="34"/>
      <c r="CW71" s="34"/>
      <c r="CX71" s="34"/>
      <c r="CY71" s="34"/>
      <c r="CZ71" s="34"/>
      <c r="DA71" s="34"/>
      <c r="DB71" s="34"/>
      <c r="DC71" s="34"/>
      <c r="DD71" s="34"/>
      <c r="DE71" s="40">
        <v>64</v>
      </c>
      <c r="DF71" s="40" t="str">
        <f>'Steel Table'!C69</f>
        <v>WF-600X200x13x23 mm.</v>
      </c>
      <c r="DG71" s="34"/>
      <c r="DH71" s="34"/>
      <c r="DI71" s="41"/>
      <c r="DJ71" s="328"/>
      <c r="DK71" s="40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</row>
    <row r="72" spans="77:128" ht="15.75" customHeight="1">
      <c r="BY72" s="34"/>
      <c r="BZ72" s="34"/>
      <c r="CA72" s="34"/>
      <c r="CB72" s="34"/>
      <c r="CC72" s="34"/>
      <c r="CD72" s="34"/>
      <c r="CE72" s="40"/>
      <c r="CF72" s="39"/>
      <c r="CG72" s="39"/>
      <c r="CH72" s="40"/>
      <c r="CI72" s="40"/>
      <c r="CJ72" s="40"/>
      <c r="CK72" s="40"/>
      <c r="CL72" s="40"/>
      <c r="CM72" s="40"/>
      <c r="CN72" s="40"/>
      <c r="CO72" s="40"/>
      <c r="CP72" s="40"/>
      <c r="CQ72" s="34"/>
      <c r="CR72" s="34"/>
      <c r="CS72" s="34"/>
      <c r="CT72" s="52">
        <v>54</v>
      </c>
      <c r="CU72" s="52">
        <f>VLOOKUP(54,$DE$8:$DN$78,CV$8,TRUE)</f>
        <v>0</v>
      </c>
      <c r="CV72" s="34"/>
      <c r="CW72" s="34"/>
      <c r="CX72" s="34"/>
      <c r="CY72" s="34"/>
      <c r="CZ72" s="34"/>
      <c r="DA72" s="34"/>
      <c r="DB72" s="34"/>
      <c r="DC72" s="34"/>
      <c r="DD72" s="34"/>
      <c r="DE72" s="40">
        <v>65</v>
      </c>
      <c r="DF72" s="40" t="str">
        <f>'Steel Table'!C70</f>
        <v>WF-600X300x12x17 mm.</v>
      </c>
      <c r="DG72" s="34"/>
      <c r="DH72" s="34"/>
      <c r="DI72" s="41"/>
      <c r="DJ72" s="329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</row>
    <row r="73" spans="77:128" ht="15.75" customHeight="1">
      <c r="BY73" s="34"/>
      <c r="BZ73" s="34"/>
      <c r="CA73" s="34"/>
      <c r="CB73" s="34"/>
      <c r="CC73" s="34"/>
      <c r="CD73" s="34"/>
      <c r="CE73" s="40"/>
      <c r="CF73" s="39"/>
      <c r="CG73" s="39"/>
      <c r="CH73" s="40"/>
      <c r="CI73" s="40"/>
      <c r="CJ73" s="40"/>
      <c r="CK73" s="40"/>
      <c r="CL73" s="40"/>
      <c r="CM73" s="40"/>
      <c r="CN73" s="40"/>
      <c r="CO73" s="40"/>
      <c r="CP73" s="40"/>
      <c r="CQ73" s="34"/>
      <c r="CR73" s="34"/>
      <c r="CS73" s="34"/>
      <c r="CT73" s="52">
        <v>55</v>
      </c>
      <c r="CU73" s="52">
        <f>VLOOKUP(55,$DE$8:$DN$78,CV$8,TRUE)</f>
        <v>0</v>
      </c>
      <c r="CV73" s="34"/>
      <c r="CW73" s="34"/>
      <c r="CX73" s="34"/>
      <c r="CY73" s="34"/>
      <c r="CZ73" s="34"/>
      <c r="DA73" s="34"/>
      <c r="DB73" s="34"/>
      <c r="DC73" s="34"/>
      <c r="DD73" s="34"/>
      <c r="DE73" s="40">
        <v>66</v>
      </c>
      <c r="DF73" s="40" t="str">
        <f>'Steel Table'!C71</f>
        <v>WF-600X300x12x20 mm.</v>
      </c>
      <c r="DG73" s="34"/>
      <c r="DH73" s="34"/>
      <c r="DI73" s="41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</row>
    <row r="74" spans="77:128" ht="15.75" customHeight="1">
      <c r="BY74" s="34"/>
      <c r="BZ74" s="34"/>
      <c r="CA74" s="34"/>
      <c r="CB74" s="34"/>
      <c r="CC74" s="34"/>
      <c r="CD74" s="34"/>
      <c r="CE74" s="40"/>
      <c r="CF74" s="39"/>
      <c r="CG74" s="39"/>
      <c r="CH74" s="40"/>
      <c r="CI74" s="40"/>
      <c r="CJ74" s="40"/>
      <c r="CK74" s="40"/>
      <c r="CL74" s="40"/>
      <c r="CM74" s="40"/>
      <c r="CN74" s="40"/>
      <c r="CO74" s="40"/>
      <c r="CP74" s="40"/>
      <c r="CQ74" s="34"/>
      <c r="CR74" s="34"/>
      <c r="CS74" s="34"/>
      <c r="CT74" s="52">
        <v>56</v>
      </c>
      <c r="CU74" s="52">
        <f>VLOOKUP(56,$DE$8:$DN$78,CV$8,TRUE)</f>
        <v>0</v>
      </c>
      <c r="CV74" s="34"/>
      <c r="CW74" s="34"/>
      <c r="CX74" s="34"/>
      <c r="CY74" s="34"/>
      <c r="CZ74" s="34"/>
      <c r="DA74" s="34"/>
      <c r="DB74" s="34"/>
      <c r="DC74" s="34"/>
      <c r="DD74" s="34"/>
      <c r="DE74" s="40">
        <v>67</v>
      </c>
      <c r="DF74" s="40" t="str">
        <f>'Steel Table'!C72</f>
        <v>WF-600X300x14x23 mm.</v>
      </c>
      <c r="DG74" s="34"/>
      <c r="DH74" s="34"/>
      <c r="DI74" s="41"/>
      <c r="DJ74" s="328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</row>
    <row r="75" spans="77:128" ht="15.75" customHeight="1">
      <c r="BY75" s="34"/>
      <c r="BZ75" s="34"/>
      <c r="CA75" s="34"/>
      <c r="CB75" s="34"/>
      <c r="CC75" s="34"/>
      <c r="CD75" s="34"/>
      <c r="CE75" s="40"/>
      <c r="CF75" s="39"/>
      <c r="CG75" s="39"/>
      <c r="CH75" s="40"/>
      <c r="CI75" s="40"/>
      <c r="CJ75" s="40"/>
      <c r="CK75" s="40"/>
      <c r="CL75" s="40"/>
      <c r="CM75" s="40"/>
      <c r="CN75" s="40"/>
      <c r="CO75" s="40"/>
      <c r="CP75" s="40"/>
      <c r="CQ75" s="34"/>
      <c r="CR75" s="34"/>
      <c r="CS75" s="34"/>
      <c r="CT75" s="52">
        <v>57</v>
      </c>
      <c r="CU75" s="52">
        <f>VLOOKUP(57,$DE$8:$DN$78,CV$8,TRUE)</f>
        <v>0</v>
      </c>
      <c r="CV75" s="34"/>
      <c r="CW75" s="34"/>
      <c r="CX75" s="34"/>
      <c r="CY75" s="34"/>
      <c r="CZ75" s="34"/>
      <c r="DA75" s="34"/>
      <c r="DB75" s="34"/>
      <c r="DC75" s="34"/>
      <c r="DD75" s="34"/>
      <c r="DE75" s="40">
        <v>68</v>
      </c>
      <c r="DF75" s="40" t="str">
        <f>'Steel Table'!C73</f>
        <v>WF-700x300x13x20 mm.</v>
      </c>
      <c r="DG75" s="34"/>
      <c r="DH75" s="34"/>
      <c r="DI75" s="41"/>
      <c r="DJ75" s="328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</row>
    <row r="76" spans="77:128" ht="15.75" customHeight="1">
      <c r="BY76" s="34"/>
      <c r="BZ76" s="34"/>
      <c r="CA76" s="34"/>
      <c r="CB76" s="34"/>
      <c r="CC76" s="34"/>
      <c r="CD76" s="34"/>
      <c r="CE76" s="40"/>
      <c r="CF76" s="39"/>
      <c r="CG76" s="39"/>
      <c r="CH76" s="40"/>
      <c r="CI76" s="40"/>
      <c r="CJ76" s="40"/>
      <c r="CK76" s="40"/>
      <c r="CL76" s="40"/>
      <c r="CM76" s="40"/>
      <c r="CN76" s="40"/>
      <c r="CO76" s="40"/>
      <c r="CP76" s="40"/>
      <c r="CQ76" s="34"/>
      <c r="CR76" s="34"/>
      <c r="CS76" s="34"/>
      <c r="CT76" s="52">
        <v>58</v>
      </c>
      <c r="CU76" s="52">
        <f>VLOOKUP(58,$DE$8:$DN$78,CV$8,TRUE)</f>
        <v>0</v>
      </c>
      <c r="CV76" s="34"/>
      <c r="CW76" s="34"/>
      <c r="CX76" s="34"/>
      <c r="CY76" s="34"/>
      <c r="CZ76" s="34"/>
      <c r="DA76" s="34"/>
      <c r="DB76" s="34"/>
      <c r="DC76" s="34"/>
      <c r="DD76" s="34"/>
      <c r="DE76" s="40">
        <v>69</v>
      </c>
      <c r="DF76" s="40" t="str">
        <f>'Steel Table'!C74</f>
        <v>WF-700x300x13x24 mm.</v>
      </c>
      <c r="DG76" s="34"/>
      <c r="DH76" s="34"/>
      <c r="DI76" s="41"/>
      <c r="DJ76" s="147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</row>
    <row r="77" spans="77:128" ht="15.75" customHeight="1">
      <c r="BY77" s="34"/>
      <c r="BZ77" s="34"/>
      <c r="CA77" s="34"/>
      <c r="CB77" s="34"/>
      <c r="CC77" s="34"/>
      <c r="CD77" s="34"/>
      <c r="CE77" s="40"/>
      <c r="CF77" s="39"/>
      <c r="CG77" s="39"/>
      <c r="CH77" s="40"/>
      <c r="CI77" s="40"/>
      <c r="CJ77" s="40"/>
      <c r="CK77" s="40"/>
      <c r="CL77" s="40"/>
      <c r="CM77" s="40"/>
      <c r="CN77" s="40"/>
      <c r="CO77" s="40"/>
      <c r="CP77" s="40"/>
      <c r="CQ77" s="34"/>
      <c r="CR77" s="34"/>
      <c r="CS77" s="34"/>
      <c r="CT77" s="52">
        <v>59</v>
      </c>
      <c r="CU77" s="52">
        <f>VLOOKUP(59,$DE$8:$DN$78,CV$8,TRUE)</f>
        <v>0</v>
      </c>
      <c r="CV77" s="34"/>
      <c r="CW77" s="34"/>
      <c r="CX77" s="34"/>
      <c r="CY77" s="34"/>
      <c r="CZ77" s="34"/>
      <c r="DA77" s="34"/>
      <c r="DB77" s="34"/>
      <c r="DC77" s="34"/>
      <c r="DD77" s="34"/>
      <c r="DE77" s="40">
        <v>70</v>
      </c>
      <c r="DF77" s="40" t="str">
        <f>'Steel Table'!C75</f>
        <v>WF-800x300x14x22 mm.</v>
      </c>
      <c r="DG77" s="34"/>
      <c r="DH77" s="34"/>
      <c r="DI77" s="41"/>
      <c r="DJ77" s="147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</row>
    <row r="78" spans="77:128" ht="15.75" customHeight="1">
      <c r="BY78" s="34"/>
      <c r="BZ78" s="34"/>
      <c r="CA78" s="34"/>
      <c r="CB78" s="34"/>
      <c r="CC78" s="34"/>
      <c r="CD78" s="34"/>
      <c r="CE78" s="40"/>
      <c r="CF78" s="39"/>
      <c r="CG78" s="39"/>
      <c r="CH78" s="40"/>
      <c r="CI78" s="40"/>
      <c r="CJ78" s="40"/>
      <c r="CK78" s="40"/>
      <c r="CL78" s="40"/>
      <c r="CM78" s="40"/>
      <c r="CN78" s="40"/>
      <c r="CO78" s="40"/>
      <c r="CP78" s="40"/>
      <c r="CQ78" s="34"/>
      <c r="CR78" s="34"/>
      <c r="CS78" s="34"/>
      <c r="CT78" s="52">
        <v>60</v>
      </c>
      <c r="CU78" s="52">
        <f>VLOOKUP(60,$DE$8:$DN$78,CV$8,TRUE)</f>
        <v>0</v>
      </c>
      <c r="CV78" s="34"/>
      <c r="CW78" s="34"/>
      <c r="CX78" s="34"/>
      <c r="CY78" s="34"/>
      <c r="CZ78" s="34"/>
      <c r="DA78" s="34"/>
      <c r="DB78" s="34"/>
      <c r="DC78" s="34"/>
      <c r="DD78" s="34"/>
      <c r="DE78" s="40">
        <v>71</v>
      </c>
      <c r="DF78" s="40" t="str">
        <f>'Steel Table'!C76</f>
        <v>WF-800x300x14x26 mm.</v>
      </c>
      <c r="DG78" s="34"/>
      <c r="DH78" s="34"/>
      <c r="DI78" s="41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</row>
    <row r="79" spans="77:128" ht="15.75" customHeight="1">
      <c r="BY79" s="34"/>
      <c r="BZ79" s="34"/>
      <c r="CA79" s="34"/>
      <c r="CB79" s="34"/>
      <c r="CC79" s="34"/>
      <c r="CD79" s="34"/>
      <c r="CE79" s="40"/>
      <c r="CF79" s="39"/>
      <c r="CG79" s="39"/>
      <c r="CH79" s="40"/>
      <c r="CI79" s="40"/>
      <c r="CJ79" s="40"/>
      <c r="CK79" s="40"/>
      <c r="CL79" s="40"/>
      <c r="CM79" s="40"/>
      <c r="CN79" s="40"/>
      <c r="CO79" s="40"/>
      <c r="CP79" s="40"/>
      <c r="CQ79" s="34"/>
      <c r="CR79" s="34"/>
      <c r="CS79" s="34"/>
      <c r="CT79" s="52">
        <v>61</v>
      </c>
      <c r="CU79" s="52">
        <f>VLOOKUP(61,$DE$8:$DN$78,CV$8,TRUE)</f>
        <v>0</v>
      </c>
      <c r="CV79" s="34"/>
      <c r="CW79" s="34"/>
      <c r="CX79" s="34"/>
      <c r="CY79" s="34"/>
      <c r="CZ79" s="34"/>
      <c r="DA79" s="34"/>
      <c r="DB79" s="34"/>
      <c r="DC79" s="34"/>
      <c r="DD79" s="34"/>
      <c r="DE79" s="40">
        <v>72</v>
      </c>
      <c r="DF79" s="40" t="str">
        <f>'Steel Table'!C77</f>
        <v>WF-900x300x16x28 mm.</v>
      </c>
      <c r="DG79" s="34"/>
      <c r="DH79" s="34"/>
      <c r="DI79" s="41"/>
      <c r="DJ79" s="147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</row>
    <row r="80" spans="77:128" ht="15.75" customHeight="1">
      <c r="BY80" s="34"/>
      <c r="BZ80" s="34"/>
      <c r="CA80" s="34"/>
      <c r="CB80" s="34"/>
      <c r="CC80" s="34"/>
      <c r="CD80" s="34"/>
      <c r="CE80" s="40"/>
      <c r="CF80" s="39"/>
      <c r="CG80" s="39"/>
      <c r="CH80" s="40"/>
      <c r="CI80" s="40"/>
      <c r="CJ80" s="40"/>
      <c r="CK80" s="40"/>
      <c r="CL80" s="40"/>
      <c r="CM80" s="40"/>
      <c r="CN80" s="40"/>
      <c r="CO80" s="40"/>
      <c r="CP80" s="40"/>
      <c r="CQ80" s="34"/>
      <c r="CR80" s="34"/>
      <c r="CS80" s="34"/>
      <c r="CT80" s="52">
        <v>62</v>
      </c>
      <c r="CU80" s="52">
        <f>VLOOKUP(62,$DE$8:$DN$78,CV$8,TRUE)</f>
        <v>0</v>
      </c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40"/>
      <c r="DG80" s="34"/>
      <c r="DH80" s="34"/>
      <c r="DI80" s="34"/>
      <c r="DJ80" s="147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</row>
    <row r="81" spans="77:128" ht="15.75" customHeight="1">
      <c r="BY81" s="34"/>
      <c r="BZ81" s="34"/>
      <c r="CA81" s="34"/>
      <c r="CB81" s="34"/>
      <c r="CC81" s="34"/>
      <c r="CD81" s="34"/>
      <c r="CE81" s="40"/>
      <c r="CF81" s="39"/>
      <c r="CG81" s="39"/>
      <c r="CH81" s="40"/>
      <c r="CI81" s="40"/>
      <c r="CJ81" s="40"/>
      <c r="CK81" s="40"/>
      <c r="CL81" s="40"/>
      <c r="CM81" s="40"/>
      <c r="CN81" s="40"/>
      <c r="CO81" s="40"/>
      <c r="CP81" s="40"/>
      <c r="CQ81" s="34"/>
      <c r="CR81" s="34"/>
      <c r="CS81" s="34"/>
      <c r="CT81" s="52">
        <v>63</v>
      </c>
      <c r="CU81" s="52">
        <f>VLOOKUP(63,$DE$8:$DN$78,CV$8,TRUE)</f>
        <v>0</v>
      </c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40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</row>
    <row r="82" spans="77:128" ht="15.75" customHeight="1">
      <c r="BY82" s="34"/>
      <c r="BZ82" s="34"/>
      <c r="CA82" s="34"/>
      <c r="CB82" s="34"/>
      <c r="CC82" s="34"/>
      <c r="CD82" s="34"/>
      <c r="CE82" s="40"/>
      <c r="CF82" s="39"/>
      <c r="CG82" s="39"/>
      <c r="CH82" s="40"/>
      <c r="CI82" s="40"/>
      <c r="CJ82" s="40"/>
      <c r="CK82" s="40"/>
      <c r="CL82" s="40"/>
      <c r="CM82" s="40"/>
      <c r="CN82" s="40"/>
      <c r="CO82" s="40"/>
      <c r="CP82" s="40"/>
      <c r="CQ82" s="34"/>
      <c r="CR82" s="34"/>
      <c r="CS82" s="34"/>
      <c r="CT82" s="52">
        <v>64</v>
      </c>
      <c r="CU82" s="52">
        <f>VLOOKUP(64,$DE$8:$DN$78,CV$8,TRUE)</f>
        <v>0</v>
      </c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40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</row>
    <row r="83" spans="77:128" ht="15.75" customHeight="1">
      <c r="BY83" s="34"/>
      <c r="BZ83" s="34"/>
      <c r="CA83" s="34"/>
      <c r="CB83" s="34"/>
      <c r="CC83" s="34"/>
      <c r="CD83" s="34"/>
      <c r="CE83" s="40"/>
      <c r="CF83" s="39"/>
      <c r="CG83" s="39"/>
      <c r="CH83" s="40"/>
      <c r="CI83" s="40"/>
      <c r="CJ83" s="40"/>
      <c r="CK83" s="40"/>
      <c r="CL83" s="40"/>
      <c r="CM83" s="40"/>
      <c r="CN83" s="40"/>
      <c r="CO83" s="40"/>
      <c r="CP83" s="40"/>
      <c r="CQ83" s="34"/>
      <c r="CR83" s="34"/>
      <c r="CS83" s="34"/>
      <c r="CT83" s="52">
        <v>65</v>
      </c>
      <c r="CU83" s="52">
        <f>VLOOKUP(65,$DE$8:$DN$78,CV$8,TRUE)</f>
        <v>0</v>
      </c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</row>
    <row r="84" spans="77:128" ht="15.75" customHeight="1">
      <c r="BY84" s="34"/>
      <c r="BZ84" s="34"/>
      <c r="CA84" s="34"/>
      <c r="CB84" s="34"/>
      <c r="CC84" s="34"/>
      <c r="CD84" s="34"/>
      <c r="CE84" s="40"/>
      <c r="CF84" s="39"/>
      <c r="CG84" s="39"/>
      <c r="CH84" s="40"/>
      <c r="CI84" s="40"/>
      <c r="CJ84" s="40"/>
      <c r="CK84" s="40"/>
      <c r="CL84" s="40"/>
      <c r="CM84" s="40"/>
      <c r="CN84" s="40"/>
      <c r="CO84" s="40"/>
      <c r="CP84" s="40"/>
      <c r="CQ84" s="34"/>
      <c r="CR84" s="34"/>
      <c r="CS84" s="34"/>
      <c r="CT84" s="52">
        <v>66</v>
      </c>
      <c r="CU84" s="52">
        <f>VLOOKUP(66,$DE$8:$DN$78,CV$8,TRUE)</f>
        <v>0</v>
      </c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</row>
    <row r="85" spans="77:128" ht="15.75" customHeight="1">
      <c r="BY85" s="34"/>
      <c r="BZ85" s="34"/>
      <c r="CA85" s="34"/>
      <c r="CB85" s="34"/>
      <c r="CC85" s="34"/>
      <c r="CD85" s="34"/>
      <c r="CE85" s="40"/>
      <c r="CF85" s="39"/>
      <c r="CG85" s="39"/>
      <c r="CH85" s="40"/>
      <c r="CI85" s="40"/>
      <c r="CJ85" s="40"/>
      <c r="CK85" s="40"/>
      <c r="CL85" s="40"/>
      <c r="CM85" s="40"/>
      <c r="CN85" s="40"/>
      <c r="CO85" s="40"/>
      <c r="CP85" s="40"/>
      <c r="CQ85" s="34"/>
      <c r="CR85" s="34"/>
      <c r="CS85" s="34"/>
      <c r="CT85" s="52">
        <v>67</v>
      </c>
      <c r="CU85" s="52">
        <f>VLOOKUP(67,$DE$8:$DN$78,CV$8,TRUE)</f>
        <v>0</v>
      </c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</row>
    <row r="86" spans="77:128" ht="15.75" customHeight="1">
      <c r="BY86" s="34"/>
      <c r="BZ86" s="34"/>
      <c r="CA86" s="34"/>
      <c r="CB86" s="34"/>
      <c r="CC86" s="34"/>
      <c r="CD86" s="34"/>
      <c r="CE86" s="40"/>
      <c r="CF86" s="39"/>
      <c r="CG86" s="39"/>
      <c r="CH86" s="40"/>
      <c r="CI86" s="40"/>
      <c r="CJ86" s="40"/>
      <c r="CK86" s="40"/>
      <c r="CL86" s="40"/>
      <c r="CM86" s="40"/>
      <c r="CN86" s="40"/>
      <c r="CO86" s="40"/>
      <c r="CP86" s="40"/>
      <c r="CQ86" s="34"/>
      <c r="CR86" s="34"/>
      <c r="CS86" s="34"/>
      <c r="CT86" s="52">
        <v>68</v>
      </c>
      <c r="CU86" s="52">
        <f>VLOOKUP(68,$DE$8:$DN$78,CV$8,TRUE)</f>
        <v>0</v>
      </c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</row>
    <row r="87" spans="77:128" ht="15.75" customHeight="1">
      <c r="BY87" s="34"/>
      <c r="BZ87" s="34"/>
      <c r="CA87" s="34"/>
      <c r="CB87" s="34"/>
      <c r="CC87" s="34"/>
      <c r="CD87" s="34"/>
      <c r="CE87" s="40"/>
      <c r="CF87" s="39"/>
      <c r="CG87" s="39"/>
      <c r="CH87" s="40"/>
      <c r="CI87" s="40"/>
      <c r="CJ87" s="40"/>
      <c r="CK87" s="40"/>
      <c r="CL87" s="40"/>
      <c r="CM87" s="40"/>
      <c r="CN87" s="40"/>
      <c r="CO87" s="40"/>
      <c r="CP87" s="40"/>
      <c r="CQ87" s="34"/>
      <c r="CR87" s="34"/>
      <c r="CS87" s="34"/>
      <c r="CT87" s="52">
        <v>69</v>
      </c>
      <c r="CU87" s="52">
        <f>VLOOKUP(69,$DE$8:$DN$78,CV$8,TRUE)</f>
        <v>0</v>
      </c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</row>
    <row r="88" spans="77:128" ht="15.75" customHeight="1">
      <c r="BY88" s="34"/>
      <c r="BZ88" s="34"/>
      <c r="CA88" s="34"/>
      <c r="CB88" s="34"/>
      <c r="CC88" s="34"/>
      <c r="CD88" s="34"/>
      <c r="CE88" s="40"/>
      <c r="CF88" s="39"/>
      <c r="CG88" s="39"/>
      <c r="CH88" s="40"/>
      <c r="CI88" s="40"/>
      <c r="CJ88" s="40"/>
      <c r="CK88" s="40"/>
      <c r="CL88" s="40"/>
      <c r="CM88" s="40"/>
      <c r="CN88" s="40"/>
      <c r="CO88" s="40"/>
      <c r="CP88" s="40"/>
      <c r="CQ88" s="34"/>
      <c r="CR88" s="34"/>
      <c r="CS88" s="34"/>
      <c r="CT88" s="52">
        <v>70</v>
      </c>
      <c r="CU88" s="52">
        <f>VLOOKUP(70,$DE$8:$DN$78,CV$8,TRUE)</f>
        <v>0</v>
      </c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</row>
    <row r="89" spans="77:128" ht="15.75" customHeight="1">
      <c r="BY89" s="34"/>
      <c r="BZ89" s="34"/>
      <c r="CA89" s="34"/>
      <c r="CB89" s="34"/>
      <c r="CC89" s="34"/>
      <c r="CD89" s="34"/>
      <c r="CE89" s="40"/>
      <c r="CF89" s="39"/>
      <c r="CG89" s="39"/>
      <c r="CH89" s="40"/>
      <c r="CI89" s="40"/>
      <c r="CJ89" s="40"/>
      <c r="CK89" s="40"/>
      <c r="CL89" s="40"/>
      <c r="CM89" s="40"/>
      <c r="CN89" s="40"/>
      <c r="CO89" s="40"/>
      <c r="CP89" s="40"/>
      <c r="CQ89" s="34"/>
      <c r="CR89" s="34"/>
      <c r="CS89" s="34"/>
      <c r="CT89" s="52">
        <v>71</v>
      </c>
      <c r="CU89" s="52">
        <f>VLOOKUP(71,$DE$8:$DN$78,CV$8,TRUE)</f>
        <v>0</v>
      </c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</row>
    <row r="90" spans="98:99" ht="15.75" customHeight="1">
      <c r="CT90" s="52">
        <v>72</v>
      </c>
      <c r="CU90" s="52">
        <f>VLOOKUP(72,$DE$8:$DN$78,CV$8,TRUE)</f>
        <v>0</v>
      </c>
    </row>
    <row r="91" spans="98:99" ht="15.75" customHeight="1">
      <c r="CT91" s="52"/>
      <c r="CU91" s="52"/>
    </row>
    <row r="92" spans="98:99" ht="15.75" customHeight="1">
      <c r="CT92" s="52"/>
      <c r="CU92" s="52"/>
    </row>
    <row r="93" spans="98:99" ht="15.75" customHeight="1">
      <c r="CT93" s="52"/>
      <c r="CU93" s="52"/>
    </row>
    <row r="94" spans="98:99" ht="15.75" customHeight="1">
      <c r="CT94" s="52"/>
      <c r="CU94" s="52"/>
    </row>
  </sheetData>
  <sheetProtection password="DA3E" sheet="1"/>
  <mergeCells count="78">
    <mergeCell ref="CC32:CD32"/>
    <mergeCell ref="CC31:CD31"/>
    <mergeCell ref="AC29:AG29"/>
    <mergeCell ref="BW27:CB27"/>
    <mergeCell ref="AH29:AJ29"/>
    <mergeCell ref="V49:AA49"/>
    <mergeCell ref="V50:AA50"/>
    <mergeCell ref="CC39:CD39"/>
    <mergeCell ref="Q39:R39"/>
    <mergeCell ref="AC31:AG31"/>
    <mergeCell ref="N36:P36"/>
    <mergeCell ref="J39:L39"/>
    <mergeCell ref="N39:P39"/>
    <mergeCell ref="J38:L38"/>
    <mergeCell ref="N38:P38"/>
    <mergeCell ref="P31:Q31"/>
    <mergeCell ref="H32:I32"/>
    <mergeCell ref="N32:O32"/>
    <mergeCell ref="J32:K32"/>
    <mergeCell ref="N35:P35"/>
    <mergeCell ref="P32:Q32"/>
    <mergeCell ref="F30:K30"/>
    <mergeCell ref="H31:I31"/>
    <mergeCell ref="N31:O31"/>
    <mergeCell ref="J31:K31"/>
    <mergeCell ref="N27:P27"/>
    <mergeCell ref="N28:P28"/>
    <mergeCell ref="E3:U3"/>
    <mergeCell ref="E4:U4"/>
    <mergeCell ref="E5:U5"/>
    <mergeCell ref="B7:AA7"/>
    <mergeCell ref="V4:X4"/>
    <mergeCell ref="V3:X3"/>
    <mergeCell ref="Y3:AA3"/>
    <mergeCell ref="Y4:AA4"/>
    <mergeCell ref="Y5:AA5"/>
    <mergeCell ref="V5:X5"/>
    <mergeCell ref="CL7:CM7"/>
    <mergeCell ref="N9:P9"/>
    <mergeCell ref="AG9:AI9"/>
    <mergeCell ref="N10:P10"/>
    <mergeCell ref="N11:P11"/>
    <mergeCell ref="CK11:CL11"/>
    <mergeCell ref="CM11:CN11"/>
    <mergeCell ref="S9:W10"/>
    <mergeCell ref="S11:W11"/>
    <mergeCell ref="CI11:CJ11"/>
    <mergeCell ref="X8:X10"/>
    <mergeCell ref="AG10:AI10"/>
    <mergeCell ref="N26:P26"/>
    <mergeCell ref="N12:P12"/>
    <mergeCell ref="N13:P13"/>
    <mergeCell ref="N21:P21"/>
    <mergeCell ref="N19:P19"/>
    <mergeCell ref="N14:P14"/>
    <mergeCell ref="N15:P15"/>
    <mergeCell ref="N16:P16"/>
    <mergeCell ref="N17:P17"/>
    <mergeCell ref="R20:Z20"/>
    <mergeCell ref="N25:P25"/>
    <mergeCell ref="X14:Z14"/>
    <mergeCell ref="X15:Z15"/>
    <mergeCell ref="X16:Z16"/>
    <mergeCell ref="N24:P24"/>
    <mergeCell ref="N22:P22"/>
    <mergeCell ref="N23:P23"/>
    <mergeCell ref="N18:P18"/>
    <mergeCell ref="N20:P20"/>
    <mergeCell ref="S26:T26"/>
    <mergeCell ref="Y29:Z29"/>
    <mergeCell ref="Y26:Z26"/>
    <mergeCell ref="AC9:AF9"/>
    <mergeCell ref="AC10:AF10"/>
    <mergeCell ref="AA16:AB16"/>
    <mergeCell ref="AC28:AH28"/>
    <mergeCell ref="AC21:AG21"/>
    <mergeCell ref="AC22:AG22"/>
    <mergeCell ref="R19:Z19"/>
  </mergeCells>
  <conditionalFormatting sqref="N47:O47">
    <cfRule type="expression" priority="1" dxfId="0" stopIfTrue="1">
      <formula>IF(K47&lt;27,"Ok.")</formula>
    </cfRule>
    <cfRule type="expression" priority="2" dxfId="1" stopIfTrue="1">
      <formula>IF(K47&gt;27,"Not Ok.")</formula>
    </cfRule>
  </conditionalFormatting>
  <conditionalFormatting sqref="Q39:R39">
    <cfRule type="expression" priority="3" dxfId="1" stopIfTrue="1">
      <formula>IF($J$39&gt;$N$39,1)</formula>
    </cfRule>
  </conditionalFormatting>
  <conditionalFormatting sqref="J39:L39">
    <cfRule type="cellIs" priority="4" dxfId="1" operator="greaterThan" stopIfTrue="1">
      <formula>$N$39</formula>
    </cfRule>
  </conditionalFormatting>
  <conditionalFormatting sqref="M36 L37:O37 L35:M35 L40:O41">
    <cfRule type="cellIs" priority="5" dxfId="1" operator="lessThan" stopIfTrue="1">
      <formula>$CF$18</formula>
    </cfRule>
  </conditionalFormatting>
  <conditionalFormatting sqref="I37:K37">
    <cfRule type="cellIs" priority="6" dxfId="0" operator="greaterThan" stopIfTrue="1">
      <formula>$F$37</formula>
    </cfRule>
  </conditionalFormatting>
  <conditionalFormatting sqref="I40:K41 I35:K35">
    <cfRule type="cellIs" priority="7" dxfId="0" operator="greaterThan" stopIfTrue="1">
      <formula>$F$40</formula>
    </cfRule>
  </conditionalFormatting>
  <conditionalFormatting sqref="Y10:AB10">
    <cfRule type="expression" priority="8" dxfId="1" stopIfTrue="1">
      <formula>IF($V$10&lt;$Y$10,1)</formula>
    </cfRule>
  </conditionalFormatting>
  <conditionalFormatting sqref="V12:W12 AA12:AB12">
    <cfRule type="expression" priority="9" dxfId="1" stopIfTrue="1">
      <formula>IF($V$12&lt;$Y$12,1)</formula>
    </cfRule>
  </conditionalFormatting>
  <conditionalFormatting sqref="AA14:AB14">
    <cfRule type="expression" priority="10" dxfId="1" stopIfTrue="1">
      <formula>IF($Y$14&gt;$V$14,1)</formula>
    </cfRule>
  </conditionalFormatting>
  <conditionalFormatting sqref="U39:V39">
    <cfRule type="expression" priority="11" dxfId="1" stopIfTrue="1">
      <formula>IF(#REF!&gt;#REF!,1)</formula>
    </cfRule>
  </conditionalFormatting>
  <conditionalFormatting sqref="H31:I31">
    <cfRule type="cellIs" priority="12" dxfId="1" operator="lessThan" stopIfTrue="1">
      <formula>$N$28</formula>
    </cfRule>
  </conditionalFormatting>
  <conditionalFormatting sqref="H32:I32 N31:O32 F30:L30">
    <cfRule type="expression" priority="13" dxfId="1" stopIfTrue="1">
      <formula>IF($H$31&lt;$N$28,1)</formula>
    </cfRule>
  </conditionalFormatting>
  <conditionalFormatting sqref="C42">
    <cfRule type="expression" priority="14" dxfId="1" stopIfTrue="1">
      <formula>IF($CL$30=2,1)</formula>
    </cfRule>
  </conditionalFormatting>
  <dataValidations count="10">
    <dataValidation type="list" allowBlank="1" showInputMessage="1" showErrorMessage="1" sqref="AC31:AG31">
      <formula1>"One Channel,Two Channels"</formula1>
    </dataValidation>
    <dataValidation type="list" allowBlank="1" showInputMessage="1" showErrorMessage="1" sqref="AC29">
      <formula1>"Wide Flange,I-Beam,C-Channels,Square Tube,Rectangular Tube,Steel Pipe,Light Lip Channels"</formula1>
    </dataValidation>
    <dataValidation type="list" allowBlank="1" showInputMessage="1" showErrorMessage="1" sqref="AH29:AJ29">
      <formula1>"Vertical,Horizontal"</formula1>
    </dataValidation>
    <dataValidation type="list" allowBlank="1" showInputMessage="1" showErrorMessage="1" sqref="K21:L21">
      <formula1>"Simply,One End Continuous,Both Ends Continuous,Cantilever"</formula1>
    </dataValidation>
    <dataValidation type="list" allowBlank="1" showInputMessage="1" sqref="N17:P17">
      <formula1>"50,80,120,160"</formula1>
    </dataValidation>
    <dataValidation operator="equal" allowBlank="1" showErrorMessage="1" errorTitle="Chang Beam Section" error="หน่วยแรงเฉือนมากเกินกว่าหน่วยแรงที่ยอมให้&#10;ท่านควรแก้ไขหน้าตัดคานใหม่" sqref="CX57"/>
    <dataValidation type="list" allowBlank="1" showInputMessage="1" sqref="N14:P14">
      <formula1>"30,40,50"</formula1>
    </dataValidation>
    <dataValidation type="list" allowBlank="1" showInputMessage="1" sqref="N15:P15">
      <formula1>"5,12,14,17,50"</formula1>
    </dataValidation>
    <dataValidation type="list" allowBlank="1" showInputMessage="1" showErrorMessage="1" sqref="N9:P9">
      <formula1>"2400,3000,4000,5000"</formula1>
    </dataValidation>
    <dataValidation type="list" allowBlank="1" showInputMessage="1" showErrorMessage="1" sqref="AC10:AF10">
      <formula1>"จันทัน,ตะเฆ้สัน"</formula1>
    </dataValidation>
  </dataValidations>
  <printOptions/>
  <pageMargins left="0.35433070866141736" right="0.1968503937007874" top="0.3937007874015748" bottom="0.5905511811023623" header="0.9055118110236221" footer="0.5118110236220472"/>
  <pageSetup horizontalDpi="300" verticalDpi="3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DX94"/>
  <sheetViews>
    <sheetView workbookViewId="0" topLeftCell="A1">
      <selection activeCell="AI18" sqref="AI18"/>
    </sheetView>
  </sheetViews>
  <sheetFormatPr defaultColWidth="3.57421875" defaultRowHeight="15.75" customHeight="1"/>
  <cols>
    <col min="1" max="11" width="3.57421875" style="31" customWidth="1"/>
    <col min="12" max="12" width="3.57421875" style="37" customWidth="1"/>
    <col min="13" max="18" width="3.57421875" style="31" customWidth="1"/>
    <col min="19" max="19" width="4.00390625" style="31" bestFit="1" customWidth="1"/>
    <col min="20" max="76" width="3.57421875" style="31" customWidth="1"/>
    <col min="77" max="77" width="8.140625" style="31" bestFit="1" customWidth="1"/>
    <col min="78" max="79" width="3.57421875" style="31" customWidth="1"/>
    <col min="80" max="80" width="11.00390625" style="31" bestFit="1" customWidth="1"/>
    <col min="81" max="81" width="3.7109375" style="31" bestFit="1" customWidth="1"/>
    <col min="82" max="82" width="4.7109375" style="31" customWidth="1"/>
    <col min="83" max="83" width="18.140625" style="35" bestFit="1" customWidth="1"/>
    <col min="84" max="84" width="9.57421875" style="36" customWidth="1"/>
    <col min="85" max="85" width="9.7109375" style="36" customWidth="1"/>
    <col min="86" max="94" width="9.7109375" style="35" customWidth="1"/>
    <col min="95" max="95" width="18.140625" style="31" bestFit="1" customWidth="1"/>
    <col min="96" max="97" width="9.7109375" style="31" customWidth="1"/>
    <col min="98" max="98" width="4.7109375" style="31" customWidth="1"/>
    <col min="99" max="99" width="18.421875" style="31" bestFit="1" customWidth="1"/>
    <col min="100" max="100" width="6.28125" style="31" bestFit="1" customWidth="1"/>
    <col min="101" max="101" width="14.7109375" style="31" bestFit="1" customWidth="1"/>
    <col min="102" max="102" width="6.28125" style="31" bestFit="1" customWidth="1"/>
    <col min="103" max="108" width="4.7109375" style="31" customWidth="1"/>
    <col min="109" max="109" width="10.7109375" style="31" customWidth="1"/>
    <col min="110" max="110" width="21.00390625" style="31" bestFit="1" customWidth="1"/>
    <col min="111" max="111" width="20.57421875" style="31" bestFit="1" customWidth="1"/>
    <col min="112" max="112" width="19.57421875" style="31" bestFit="1" customWidth="1"/>
    <col min="113" max="113" width="18.8515625" style="31" bestFit="1" customWidth="1"/>
    <col min="114" max="114" width="19.140625" style="31" bestFit="1" customWidth="1"/>
    <col min="115" max="115" width="17.28125" style="31" bestFit="1" customWidth="1"/>
    <col min="116" max="116" width="18.421875" style="31" bestFit="1" customWidth="1"/>
    <col min="117" max="117" width="21.421875" style="31" bestFit="1" customWidth="1"/>
    <col min="118" max="118" width="20.140625" style="31" bestFit="1" customWidth="1"/>
    <col min="119" max="134" width="4.7109375" style="31" customWidth="1"/>
    <col min="135" max="16384" width="3.57421875" style="31" customWidth="1"/>
  </cols>
  <sheetData>
    <row r="1" spans="2:39" ht="15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49">
        <f>IF(AG10="","",AG10)</f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</row>
    <row r="2" spans="29:39" ht="9.75" customHeight="1"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</row>
    <row r="3" spans="2:128" ht="15.75" customHeight="1">
      <c r="B3" s="38" t="s">
        <v>109</v>
      </c>
      <c r="E3" s="375" t="str">
        <f>Cover!A6</f>
        <v>อาคารพาณิชย์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7"/>
      <c r="V3" s="380" t="s">
        <v>112</v>
      </c>
      <c r="W3" s="380"/>
      <c r="X3" s="381"/>
      <c r="Y3" s="382">
        <f ca="1">TODAY()</f>
        <v>40280</v>
      </c>
      <c r="Z3" s="364"/>
      <c r="AA3" s="365"/>
      <c r="AC3" s="149" t="s">
        <v>2</v>
      </c>
      <c r="AD3" s="150"/>
      <c r="AE3" s="150"/>
      <c r="AF3" s="148"/>
      <c r="AG3" s="148"/>
      <c r="AH3" s="148"/>
      <c r="AI3" s="148"/>
      <c r="AJ3" s="148"/>
      <c r="AK3" s="148"/>
      <c r="AL3" s="148"/>
      <c r="AM3" s="148"/>
      <c r="BY3" s="34"/>
      <c r="BZ3" s="34"/>
      <c r="CA3" s="34"/>
      <c r="CB3" s="34"/>
      <c r="CC3" s="34"/>
      <c r="CD3" s="34"/>
      <c r="CE3" s="40"/>
      <c r="CF3" s="39"/>
      <c r="CG3" s="39"/>
      <c r="CH3" s="40"/>
      <c r="CI3" s="40"/>
      <c r="CJ3" s="40"/>
      <c r="CK3" s="40"/>
      <c r="CL3" s="40"/>
      <c r="CM3" s="40"/>
      <c r="CN3" s="40"/>
      <c r="CO3" s="40"/>
      <c r="CP3" s="40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</row>
    <row r="4" spans="2:128" ht="15.75" customHeight="1">
      <c r="B4" s="38" t="s">
        <v>110</v>
      </c>
      <c r="E4" s="375" t="str">
        <f>Cover!D8</f>
        <v>คุณทดลอง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9" t="s">
        <v>533</v>
      </c>
      <c r="W4" s="380"/>
      <c r="X4" s="380"/>
      <c r="Y4" s="366"/>
      <c r="Z4" s="367"/>
      <c r="AA4" s="368"/>
      <c r="AC4" s="151" t="s">
        <v>3</v>
      </c>
      <c r="AD4" s="150"/>
      <c r="AE4" s="150"/>
      <c r="AF4" s="148"/>
      <c r="AG4" s="148"/>
      <c r="AH4" s="148"/>
      <c r="AI4" s="148"/>
      <c r="AJ4" s="148"/>
      <c r="AK4" s="148"/>
      <c r="AL4" s="148"/>
      <c r="AM4" s="148"/>
      <c r="BY4" s="34"/>
      <c r="BZ4" s="34"/>
      <c r="CA4" s="34"/>
      <c r="CB4" s="34"/>
      <c r="CC4" s="34"/>
      <c r="CD4" s="34"/>
      <c r="CE4" s="40"/>
      <c r="CF4" s="39"/>
      <c r="CG4" s="39"/>
      <c r="CH4" s="40"/>
      <c r="CI4" s="40"/>
      <c r="CJ4" s="40"/>
      <c r="CK4" s="40"/>
      <c r="CL4" s="40"/>
      <c r="CM4" s="40"/>
      <c r="CN4" s="40"/>
      <c r="CO4" s="40"/>
      <c r="CP4" s="40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</row>
    <row r="5" spans="2:128" ht="15.75" customHeight="1">
      <c r="B5" s="38" t="s">
        <v>111</v>
      </c>
      <c r="E5" s="375" t="str">
        <f>Cover!D9</f>
        <v>กทม.</v>
      </c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7"/>
      <c r="V5" s="380"/>
      <c r="W5" s="380"/>
      <c r="X5" s="380"/>
      <c r="Y5" s="363"/>
      <c r="Z5" s="363"/>
      <c r="AA5" s="363"/>
      <c r="AC5" s="148"/>
      <c r="AD5" s="148"/>
      <c r="AE5" s="148"/>
      <c r="AF5" s="148"/>
      <c r="AG5" s="148"/>
      <c r="AH5" s="150"/>
      <c r="AI5" s="148"/>
      <c r="AJ5" s="148"/>
      <c r="AK5" s="148"/>
      <c r="AL5" s="148"/>
      <c r="AM5" s="148"/>
      <c r="BY5" s="34"/>
      <c r="BZ5" s="34"/>
      <c r="CA5" s="34"/>
      <c r="CB5" s="34"/>
      <c r="CC5" s="34"/>
      <c r="CD5" s="34"/>
      <c r="CE5" s="40"/>
      <c r="CF5" s="39"/>
      <c r="CG5" s="39"/>
      <c r="CH5" s="40"/>
      <c r="CI5" s="40"/>
      <c r="CJ5" s="40"/>
      <c r="CK5" s="40"/>
      <c r="CL5" s="40"/>
      <c r="CM5" s="40"/>
      <c r="CN5" s="40"/>
      <c r="CO5" s="40"/>
      <c r="CP5" s="40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41" t="s">
        <v>475</v>
      </c>
      <c r="DG5" s="41" t="s">
        <v>307</v>
      </c>
      <c r="DH5" s="41" t="s">
        <v>476</v>
      </c>
      <c r="DI5" s="41" t="s">
        <v>311</v>
      </c>
      <c r="DJ5" s="41" t="s">
        <v>309</v>
      </c>
      <c r="DK5" s="41" t="s">
        <v>278</v>
      </c>
      <c r="DL5" s="41" t="s">
        <v>310</v>
      </c>
      <c r="DM5" s="41" t="s">
        <v>465</v>
      </c>
      <c r="DN5" s="41" t="s">
        <v>466</v>
      </c>
      <c r="DO5" s="34"/>
      <c r="DP5" s="34"/>
      <c r="DQ5" s="34"/>
      <c r="DR5" s="34"/>
      <c r="DS5" s="34"/>
      <c r="DT5" s="34"/>
      <c r="DU5" s="34"/>
      <c r="DV5" s="34"/>
      <c r="DW5" s="34"/>
      <c r="DX5" s="34"/>
    </row>
    <row r="6" spans="2:128" ht="9.7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BY6" s="34"/>
      <c r="BZ6" s="34"/>
      <c r="CA6" s="34"/>
      <c r="CB6" s="34"/>
      <c r="CC6" s="34"/>
      <c r="CD6" s="34"/>
      <c r="CE6" s="40"/>
      <c r="CF6" s="39"/>
      <c r="CG6" s="39"/>
      <c r="CH6" s="40"/>
      <c r="CI6" s="40"/>
      <c r="CJ6" s="40"/>
      <c r="CK6" s="40"/>
      <c r="CL6" s="40"/>
      <c r="CM6" s="40"/>
      <c r="CN6" s="40"/>
      <c r="CO6" s="40"/>
      <c r="CP6" s="40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spans="2:128" s="35" customFormat="1" ht="15.75" customHeight="1">
      <c r="B7" s="378" t="str">
        <f>"การออกแบบหน้าตัด"&amp;CI33&amp;"เหล็ก"</f>
        <v>การออกแบบหน้าตัดจันทันเหล็ก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C7" s="148" t="s">
        <v>27</v>
      </c>
      <c r="AD7" s="152"/>
      <c r="AE7" s="152"/>
      <c r="AF7" s="152"/>
      <c r="AG7" s="152"/>
      <c r="AH7" s="152"/>
      <c r="AI7" s="152"/>
      <c r="AJ7" s="153"/>
      <c r="AK7" s="152"/>
      <c r="AL7" s="152"/>
      <c r="AM7" s="152"/>
      <c r="BY7" s="40"/>
      <c r="BZ7" s="40"/>
      <c r="CA7" s="40"/>
      <c r="CB7" s="40"/>
      <c r="CC7" s="40"/>
      <c r="CD7" s="40"/>
      <c r="CE7" s="40"/>
      <c r="CF7" s="39"/>
      <c r="CG7" s="39"/>
      <c r="CH7" s="40"/>
      <c r="CI7" s="40"/>
      <c r="CJ7" s="40"/>
      <c r="CK7" s="40"/>
      <c r="CL7" s="396"/>
      <c r="CM7" s="396"/>
      <c r="CN7" s="40"/>
      <c r="CO7" s="40"/>
      <c r="CP7" s="40"/>
      <c r="CQ7" s="40"/>
      <c r="CR7" s="40"/>
      <c r="CS7" s="40"/>
      <c r="CT7" s="40"/>
      <c r="CU7" s="34">
        <f>IF(AND(OR(CU8=1,CU8=2,CU8=3,CU8=4,CU8=5,CU8=6,CU8=7),CX8=1),CU8,IF(AND(OR(CU8=1,CU8=2,CU8=4,CU8=5,CU8=6),CX8=2),CU8,IF(AND(CU8=3,CX8=2),8,IF(AND(CU8=7,CX8=2),9))))</f>
        <v>7</v>
      </c>
      <c r="CV7" s="34"/>
      <c r="CW7" s="34"/>
      <c r="CX7" s="34"/>
      <c r="CY7" s="40"/>
      <c r="CZ7" s="40"/>
      <c r="DA7" s="40"/>
      <c r="DB7" s="40"/>
      <c r="DC7" s="40"/>
      <c r="DD7" s="40"/>
      <c r="DE7" s="40"/>
      <c r="DF7" s="39">
        <v>1</v>
      </c>
      <c r="DG7" s="39">
        <v>2</v>
      </c>
      <c r="DH7" s="39">
        <v>3</v>
      </c>
      <c r="DI7" s="39">
        <v>4</v>
      </c>
      <c r="DJ7" s="39">
        <v>5</v>
      </c>
      <c r="DK7" s="39">
        <v>6</v>
      </c>
      <c r="DL7" s="39">
        <v>7</v>
      </c>
      <c r="DM7" s="39">
        <v>8</v>
      </c>
      <c r="DN7" s="39">
        <v>9</v>
      </c>
      <c r="DO7" s="40"/>
      <c r="DP7" s="40"/>
      <c r="DQ7" s="40"/>
      <c r="DR7" s="40"/>
      <c r="DS7" s="40"/>
      <c r="DT7" s="40"/>
      <c r="DU7" s="40"/>
      <c r="DV7" s="40"/>
      <c r="DW7" s="40"/>
      <c r="DX7" s="40"/>
    </row>
    <row r="8" spans="1:128" s="35" customFormat="1" ht="15.75" customHeight="1">
      <c r="A8" s="40"/>
      <c r="B8" s="57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39"/>
      <c r="M8" s="40"/>
      <c r="N8" s="40"/>
      <c r="O8" s="40"/>
      <c r="P8" s="40"/>
      <c r="Q8" s="58"/>
      <c r="S8" s="40"/>
      <c r="T8" s="40"/>
      <c r="U8" s="40"/>
      <c r="V8" s="40"/>
      <c r="W8" s="40"/>
      <c r="X8" s="350" t="str">
        <f>IF(Y="","Y",IF(Y&lt;&gt;"","Y = "&amp;ROUND(Y,2)&amp;" m."))</f>
        <v>Y = 1.15 m.</v>
      </c>
      <c r="Y8" s="40"/>
      <c r="Z8" s="40"/>
      <c r="AA8" s="40"/>
      <c r="AB8" s="40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40"/>
      <c r="AO8" s="40"/>
      <c r="AP8" s="40"/>
      <c r="AQ8" s="40"/>
      <c r="AR8" s="40"/>
      <c r="BY8" s="40"/>
      <c r="BZ8" s="40"/>
      <c r="CA8" s="40"/>
      <c r="CB8" s="40"/>
      <c r="CC8" s="40"/>
      <c r="CD8" s="40"/>
      <c r="CE8" s="40"/>
      <c r="CF8" s="39"/>
      <c r="CG8" s="39"/>
      <c r="CH8" s="40"/>
      <c r="CI8" s="40"/>
      <c r="CJ8" s="40"/>
      <c r="CK8" s="40"/>
      <c r="CL8" s="63"/>
      <c r="CM8" s="63"/>
      <c r="CN8" s="40"/>
      <c r="CO8" s="40"/>
      <c r="CP8" s="40" t="s">
        <v>264</v>
      </c>
      <c r="CQ8" s="39">
        <f>'Steel Table'!ED73</f>
        <v>5.172</v>
      </c>
      <c r="CR8" s="40"/>
      <c r="CS8" s="40"/>
      <c r="CT8" s="40"/>
      <c r="CU8" s="34">
        <f>VLOOKUP(AC29,CU10:CV16,2,FALSE)</f>
        <v>7</v>
      </c>
      <c r="CV8" s="34">
        <f>IF(AND(OR(CU8=1,CU8=2,CU8=3,CU8=4,CU8=5,CU8=6,CU8=7),CX8=1),CU8+1,IF(AND(OR(CU8=1,CU8=2,CU8=4,CU8=5,CU8=6),CX8=2),CU8+1,IF(AND(CU8=3,CX8=2),9,IF(AND(CU8=7,CX8=2),10))))</f>
        <v>8</v>
      </c>
      <c r="CW8" s="34"/>
      <c r="CX8" s="34">
        <f>VLOOKUP(AC31,CW10:CX11,2,FALSE)</f>
        <v>1</v>
      </c>
      <c r="CY8" s="40"/>
      <c r="CZ8" s="40"/>
      <c r="DA8" s="40"/>
      <c r="DB8" s="40"/>
      <c r="DC8" s="40"/>
      <c r="DD8" s="40"/>
      <c r="DE8" s="40">
        <v>1</v>
      </c>
      <c r="DF8" s="40" t="str">
        <f>'Steel Table'!C6</f>
        <v>WF-100x100x6x8 mm.</v>
      </c>
      <c r="DG8" s="40" t="str">
        <f>'Steel Table'!S6</f>
        <v>I-100x75x5x8 mm.</v>
      </c>
      <c r="DH8" s="40" t="str">
        <f>'Steel Table'!AJ6</f>
        <v>[-75x40x5x7 mm.</v>
      </c>
      <c r="DI8" s="40" t="str">
        <f>'Steel Table'!BC6</f>
        <v>Tube-25x25x2 mm.</v>
      </c>
      <c r="DJ8" s="40" t="str">
        <f>'Steel Table'!BO6</f>
        <v>Tube-50x25x2 mm.</v>
      </c>
      <c r="DK8" s="40" t="str">
        <f>'Steel Table'!CD6</f>
        <v>Pipe-D21.7x2 mm.</v>
      </c>
      <c r="DL8" s="40" t="str">
        <f>'Steel Table'!CO6</f>
        <v>[-60x30x10x1.6 mm.</v>
      </c>
      <c r="DM8" s="40" t="str">
        <f>'Steel Table'!AJ27</f>
        <v>2[]-75x40x5x7 mm.</v>
      </c>
      <c r="DN8" s="40" t="str">
        <f>'Steel Table'!DG6</f>
        <v>2[]-60x30x10x1.6 mm.</v>
      </c>
      <c r="DO8" s="40"/>
      <c r="DP8" s="40"/>
      <c r="DQ8" s="40"/>
      <c r="DR8" s="40"/>
      <c r="DS8" s="40"/>
      <c r="DT8" s="40"/>
      <c r="DU8" s="40"/>
      <c r="DV8" s="40"/>
      <c r="DW8" s="40"/>
      <c r="DX8" s="40"/>
    </row>
    <row r="9" spans="1:128" s="35" customFormat="1" ht="15.75" customHeight="1">
      <c r="A9" s="40"/>
      <c r="B9" s="34" t="s">
        <v>32</v>
      </c>
      <c r="C9" s="40"/>
      <c r="D9" s="40"/>
      <c r="E9" s="40"/>
      <c r="F9" s="40"/>
      <c r="G9" s="40"/>
      <c r="H9" s="40"/>
      <c r="I9" s="40"/>
      <c r="J9" s="40"/>
      <c r="K9" s="40"/>
      <c r="L9" s="39"/>
      <c r="M9" s="36" t="s">
        <v>0</v>
      </c>
      <c r="N9" s="359">
        <v>2400</v>
      </c>
      <c r="O9" s="359"/>
      <c r="P9" s="359"/>
      <c r="Q9" s="40"/>
      <c r="R9" s="315"/>
      <c r="S9" s="360"/>
      <c r="T9" s="361"/>
      <c r="U9" s="361"/>
      <c r="V9" s="361"/>
      <c r="W9" s="362"/>
      <c r="X9" s="350"/>
      <c r="Y9" s="52"/>
      <c r="Z9" s="52"/>
      <c r="AA9" s="40"/>
      <c r="AB9" s="40"/>
      <c r="AC9" s="405" t="s">
        <v>495</v>
      </c>
      <c r="AD9" s="406"/>
      <c r="AE9" s="406"/>
      <c r="AF9" s="406"/>
      <c r="AG9" s="427" t="s">
        <v>534</v>
      </c>
      <c r="AH9" s="428"/>
      <c r="AI9" s="429"/>
      <c r="AJ9" s="153"/>
      <c r="AK9" s="153"/>
      <c r="AL9" s="153"/>
      <c r="AM9" s="153"/>
      <c r="AN9" s="40"/>
      <c r="AO9" s="40"/>
      <c r="AP9" s="40"/>
      <c r="AQ9" s="40"/>
      <c r="AR9" s="40"/>
      <c r="BY9" s="40"/>
      <c r="BZ9" s="40"/>
      <c r="CA9" s="40"/>
      <c r="CB9" s="40"/>
      <c r="CC9" s="40"/>
      <c r="CD9" s="40"/>
      <c r="CE9" s="40"/>
      <c r="CF9" s="39"/>
      <c r="CG9" s="39"/>
      <c r="CH9" s="40"/>
      <c r="CI9" s="40"/>
      <c r="CJ9" s="40"/>
      <c r="CK9" s="40"/>
      <c r="CL9" s="63"/>
      <c r="CM9" s="63"/>
      <c r="CN9" s="40"/>
      <c r="CO9" s="40"/>
      <c r="CP9" s="40" t="s">
        <v>422</v>
      </c>
      <c r="CQ9" s="39">
        <f>'Steel Table'!EE73</f>
        <v>4.06</v>
      </c>
      <c r="CR9" s="40"/>
      <c r="CS9" s="40"/>
      <c r="CT9" s="40"/>
      <c r="CU9" s="34"/>
      <c r="CV9" s="34"/>
      <c r="CW9" s="34"/>
      <c r="CX9" s="34"/>
      <c r="CY9" s="40"/>
      <c r="CZ9" s="40"/>
      <c r="DA9" s="40"/>
      <c r="DB9" s="40"/>
      <c r="DC9" s="40"/>
      <c r="DD9" s="40"/>
      <c r="DE9" s="40">
        <v>2</v>
      </c>
      <c r="DF9" s="40" t="str">
        <f>'Steel Table'!C7</f>
        <v>WF-125X125x6.5x9 mm.</v>
      </c>
      <c r="DG9" s="40" t="str">
        <f>'Steel Table'!S7</f>
        <v>I-125x75x5.5x9.5 mm.</v>
      </c>
      <c r="DH9" s="40" t="str">
        <f>'Steel Table'!AJ7</f>
        <v>[-100x50x5x7.5 mm.</v>
      </c>
      <c r="DI9" s="40" t="str">
        <f>'Steel Table'!BC7</f>
        <v>Tube-25x25x2.3 mm.</v>
      </c>
      <c r="DJ9" s="40" t="str">
        <f>'Steel Table'!BO7</f>
        <v>Tube-50x25x2.3 mm.</v>
      </c>
      <c r="DK9" s="40" t="str">
        <f>'Steel Table'!CD7</f>
        <v>Pipe-D27.2x2 mm.</v>
      </c>
      <c r="DL9" s="40" t="str">
        <f>'Steel Table'!CO7</f>
        <v>[-60x30x10x2 mm.</v>
      </c>
      <c r="DM9" s="40" t="str">
        <f>'Steel Table'!AJ28</f>
        <v>2[]-100x50x5x7.5 mm.</v>
      </c>
      <c r="DN9" s="40" t="str">
        <f>'Steel Table'!DG7</f>
        <v>2[]-60x30x10x2 mm.</v>
      </c>
      <c r="DO9" s="40"/>
      <c r="DP9" s="40"/>
      <c r="DQ9" s="40"/>
      <c r="DR9" s="40"/>
      <c r="DS9" s="40"/>
      <c r="DT9" s="40"/>
      <c r="DU9" s="40"/>
      <c r="DV9" s="40"/>
      <c r="DW9" s="40"/>
      <c r="DX9" s="40"/>
    </row>
    <row r="10" spans="1:128" s="35" customFormat="1" ht="15.75" customHeight="1">
      <c r="A10" s="40"/>
      <c r="B10" s="31" t="s">
        <v>33</v>
      </c>
      <c r="C10" s="40"/>
      <c r="D10" s="40"/>
      <c r="E10" s="40"/>
      <c r="F10" s="40"/>
      <c r="G10" s="40"/>
      <c r="H10" s="40"/>
      <c r="I10" s="40"/>
      <c r="J10" s="40"/>
      <c r="K10" s="40"/>
      <c r="L10" s="39"/>
      <c r="M10" s="36" t="s">
        <v>0</v>
      </c>
      <c r="N10" s="370">
        <f>0.6*fy</f>
        <v>1440</v>
      </c>
      <c r="O10" s="370"/>
      <c r="P10" s="370"/>
      <c r="Q10" s="40"/>
      <c r="R10" s="315"/>
      <c r="S10" s="356"/>
      <c r="T10" s="356"/>
      <c r="U10" s="356"/>
      <c r="V10" s="356"/>
      <c r="W10" s="357"/>
      <c r="X10" s="350"/>
      <c r="Y10" s="74"/>
      <c r="Z10" s="74"/>
      <c r="AA10" s="52"/>
      <c r="AB10" s="52"/>
      <c r="AC10" s="410" t="s">
        <v>496</v>
      </c>
      <c r="AD10" s="411"/>
      <c r="AE10" s="411"/>
      <c r="AF10" s="411"/>
      <c r="AG10" s="430"/>
      <c r="AH10" s="431"/>
      <c r="AI10" s="432"/>
      <c r="AJ10" s="153"/>
      <c r="AK10" s="153"/>
      <c r="AL10" s="153"/>
      <c r="AM10" s="153"/>
      <c r="AN10" s="40"/>
      <c r="AO10" s="40"/>
      <c r="AP10" s="40"/>
      <c r="AQ10" s="40"/>
      <c r="AR10" s="40"/>
      <c r="BY10" s="40"/>
      <c r="BZ10" s="40"/>
      <c r="CA10" s="40"/>
      <c r="CB10" s="40">
        <v>2</v>
      </c>
      <c r="CC10" s="40"/>
      <c r="CD10" s="40"/>
      <c r="CE10" s="40"/>
      <c r="CF10" s="39"/>
      <c r="CG10" s="39"/>
      <c r="CH10" s="40"/>
      <c r="CI10" s="40"/>
      <c r="CJ10" s="40"/>
      <c r="CK10" s="40"/>
      <c r="CL10" s="63"/>
      <c r="CM10" s="63"/>
      <c r="CN10" s="40"/>
      <c r="CO10" s="40"/>
      <c r="CP10" s="40" t="s">
        <v>87</v>
      </c>
      <c r="CQ10" s="39">
        <f>'Steel Table'!EF73</f>
        <v>80.7</v>
      </c>
      <c r="CR10" s="40">
        <f>IF(CX$14=1,CQ10,IF(CX$14=2,CQ11))</f>
        <v>80.7</v>
      </c>
      <c r="CS10" s="40"/>
      <c r="CT10" s="40"/>
      <c r="CU10" s="55" t="s">
        <v>306</v>
      </c>
      <c r="CV10" s="56">
        <v>1</v>
      </c>
      <c r="CW10" s="40" t="s">
        <v>462</v>
      </c>
      <c r="CX10" s="40">
        <v>1</v>
      </c>
      <c r="CY10" s="40"/>
      <c r="CZ10" s="40"/>
      <c r="DA10" s="40"/>
      <c r="DB10" s="40"/>
      <c r="DC10" s="40"/>
      <c r="DD10" s="40"/>
      <c r="DE10" s="40">
        <v>3</v>
      </c>
      <c r="DF10" s="40" t="str">
        <f>'Steel Table'!C8</f>
        <v>WF-150X75x6x9 mm.</v>
      </c>
      <c r="DG10" s="40" t="str">
        <f>'Steel Table'!S8</f>
        <v>I-150x75x5.5x9.5 mm.</v>
      </c>
      <c r="DH10" s="40" t="str">
        <f>'Steel Table'!AJ8</f>
        <v>[-125x65x6x8 mm.</v>
      </c>
      <c r="DI10" s="40" t="str">
        <f>'Steel Table'!BC8</f>
        <v>Tube-25x25x2.6 mm.</v>
      </c>
      <c r="DJ10" s="40" t="str">
        <f>'Steel Table'!BO8</f>
        <v>Tube-50x25x3.2 mm.</v>
      </c>
      <c r="DK10" s="40" t="str">
        <f>'Steel Table'!CD8</f>
        <v>Pipe-D27.2x2.3 mm.</v>
      </c>
      <c r="DL10" s="40" t="str">
        <f>'Steel Table'!CO8</f>
        <v>[-60x30x10x2.3 mm.</v>
      </c>
      <c r="DM10" s="40" t="str">
        <f>'Steel Table'!AJ29</f>
        <v>2[]-125x65x6x8 mm.</v>
      </c>
      <c r="DN10" s="40" t="str">
        <f>'Steel Table'!DG8</f>
        <v>2[]-60x30x10x2.3 mm.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</row>
    <row r="11" spans="1:128" s="35" customFormat="1" ht="15.75" customHeight="1">
      <c r="A11" s="40"/>
      <c r="B11" s="31" t="s">
        <v>34</v>
      </c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36" t="s">
        <v>0</v>
      </c>
      <c r="N11" s="370">
        <f>2.1*10^6</f>
        <v>2100000</v>
      </c>
      <c r="O11" s="370"/>
      <c r="P11" s="370"/>
      <c r="Q11" s="315"/>
      <c r="R11" s="315"/>
      <c r="S11" s="358" t="str">
        <f>IF(X="","X",IF(X&lt;&gt;"","X = "&amp;ROUND(X,2)&amp;" m. "))</f>
        <v>X = 2.5 m. </v>
      </c>
      <c r="T11" s="358"/>
      <c r="U11" s="358"/>
      <c r="V11" s="358"/>
      <c r="W11" s="358"/>
      <c r="X11" s="40"/>
      <c r="Y11" s="52"/>
      <c r="Z11" s="52"/>
      <c r="AA11" s="40"/>
      <c r="AB11" s="40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40"/>
      <c r="AO11" s="40"/>
      <c r="AP11" s="40"/>
      <c r="AQ11" s="40"/>
      <c r="AR11" s="40"/>
      <c r="BY11" s="40"/>
      <c r="BZ11" s="40"/>
      <c r="CA11" s="40"/>
      <c r="CB11" s="40"/>
      <c r="CC11" s="40"/>
      <c r="CD11" s="40"/>
      <c r="CE11" s="39" t="s">
        <v>61</v>
      </c>
      <c r="CF11" s="39" t="s">
        <v>72</v>
      </c>
      <c r="CG11" s="39" t="s">
        <v>75</v>
      </c>
      <c r="CH11" s="39" t="s">
        <v>77</v>
      </c>
      <c r="CI11" s="396" t="s">
        <v>78</v>
      </c>
      <c r="CJ11" s="396"/>
      <c r="CK11" s="396" t="s">
        <v>81</v>
      </c>
      <c r="CL11" s="396"/>
      <c r="CM11" s="371" t="s">
        <v>84</v>
      </c>
      <c r="CN11" s="371"/>
      <c r="CO11" s="40"/>
      <c r="CP11" s="40" t="s">
        <v>88</v>
      </c>
      <c r="CQ11" s="39">
        <f>'Steel Table'!EG73</f>
        <v>19</v>
      </c>
      <c r="CR11" s="40">
        <f>IF(CX$14=1,CQ11,IF(CX$14=2,CQ10))</f>
        <v>19</v>
      </c>
      <c r="CS11" s="40"/>
      <c r="CT11" s="40"/>
      <c r="CU11" s="67" t="s">
        <v>307</v>
      </c>
      <c r="CV11" s="68">
        <v>2</v>
      </c>
      <c r="CW11" s="40" t="s">
        <v>463</v>
      </c>
      <c r="CX11" s="40">
        <v>2</v>
      </c>
      <c r="CY11" s="40"/>
      <c r="CZ11" s="40"/>
      <c r="DA11" s="40"/>
      <c r="DB11" s="40"/>
      <c r="DC11" s="40"/>
      <c r="DD11" s="40"/>
      <c r="DE11" s="40">
        <v>4</v>
      </c>
      <c r="DF11" s="40" t="str">
        <f>'Steel Table'!C9</f>
        <v>WF-150x100x6x9 mm.</v>
      </c>
      <c r="DG11" s="40" t="str">
        <f>'Steel Table'!S9</f>
        <v>I-150x125x8.5x14 mm.</v>
      </c>
      <c r="DH11" s="40" t="str">
        <f>'Steel Table'!AJ9</f>
        <v>[-150x75x6.5x10 mm.</v>
      </c>
      <c r="DI11" s="40" t="str">
        <f>'Steel Table'!BC9</f>
        <v>Tube-25x25x3.2 mm.</v>
      </c>
      <c r="DJ11" s="40" t="str">
        <f>'Steel Table'!BO9</f>
        <v>Tube-50x25x3.6 mm.</v>
      </c>
      <c r="DK11" s="40" t="str">
        <f>'Steel Table'!CD9</f>
        <v>Pipe-D34x2.3 mm.</v>
      </c>
      <c r="DL11" s="40" t="str">
        <f>'Steel Table'!CO9</f>
        <v>[-70x40x25x1.6 mm.</v>
      </c>
      <c r="DM11" s="40" t="str">
        <f>'Steel Table'!AJ30</f>
        <v>2[]-150x75x6.5x10 mm.</v>
      </c>
      <c r="DN11" s="40" t="str">
        <f>'Steel Table'!DG9</f>
        <v>2[]-70x40x25x1.6 mm.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</row>
    <row r="12" spans="1:128" s="35" customFormat="1" ht="15.75" customHeight="1">
      <c r="A12" s="40"/>
      <c r="B12" s="34"/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134"/>
      <c r="N12" s="396"/>
      <c r="O12" s="396"/>
      <c r="P12" s="396"/>
      <c r="Q12" s="40"/>
      <c r="S12" s="40"/>
      <c r="T12" s="40"/>
      <c r="U12" s="39"/>
      <c r="V12" s="74"/>
      <c r="W12" s="74"/>
      <c r="X12" s="39"/>
      <c r="Y12" s="76"/>
      <c r="Z12" s="76"/>
      <c r="AA12" s="52"/>
      <c r="AB12" s="52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40"/>
      <c r="AO12" s="40"/>
      <c r="AP12" s="40"/>
      <c r="AQ12" s="40"/>
      <c r="AR12" s="40"/>
      <c r="BY12" s="40"/>
      <c r="BZ12" s="40"/>
      <c r="CA12" s="40"/>
      <c r="CB12" s="40">
        <f>θ*(PI()/180)</f>
        <v>0.43113874071878217</v>
      </c>
      <c r="CC12" s="40"/>
      <c r="CD12" s="40"/>
      <c r="CE12" s="36" t="s">
        <v>73</v>
      </c>
      <c r="CF12" s="36" t="s">
        <v>74</v>
      </c>
      <c r="CG12" s="39" t="s">
        <v>76</v>
      </c>
      <c r="CH12" s="40"/>
      <c r="CI12" s="39" t="s">
        <v>79</v>
      </c>
      <c r="CJ12" s="40" t="s">
        <v>80</v>
      </c>
      <c r="CK12" s="39" t="s">
        <v>82</v>
      </c>
      <c r="CL12" s="30" t="s">
        <v>83</v>
      </c>
      <c r="CM12" s="30" t="s">
        <v>85</v>
      </c>
      <c r="CN12" s="39" t="s">
        <v>86</v>
      </c>
      <c r="CO12" s="40"/>
      <c r="CP12" s="40" t="s">
        <v>89</v>
      </c>
      <c r="CQ12" s="39">
        <f>'Steel Table'!EH73</f>
        <v>16</v>
      </c>
      <c r="CR12" s="40">
        <f>IF(CX$14=1,CQ12,IF(CX$14=2,CQ13))</f>
        <v>16</v>
      </c>
      <c r="CS12" s="40"/>
      <c r="CT12" s="40"/>
      <c r="CU12" s="67" t="s">
        <v>308</v>
      </c>
      <c r="CV12" s="68">
        <v>3</v>
      </c>
      <c r="CW12" s="40" t="s">
        <v>318</v>
      </c>
      <c r="CX12" s="40">
        <v>1</v>
      </c>
      <c r="CY12" s="40"/>
      <c r="CZ12" s="40"/>
      <c r="DA12" s="40"/>
      <c r="DB12" s="40"/>
      <c r="DC12" s="40"/>
      <c r="DD12" s="40"/>
      <c r="DE12" s="40">
        <v>5</v>
      </c>
      <c r="DF12" s="40" t="str">
        <f>'Steel Table'!C10</f>
        <v>WF-150X150x7x10 mm.</v>
      </c>
      <c r="DG12" s="40" t="str">
        <f>'Steel Table'!S10</f>
        <v>I-180x100x6x10 mm.</v>
      </c>
      <c r="DH12" s="40" t="str">
        <f>'Steel Table'!AJ10</f>
        <v>[-150x75x9x12.5 mm.</v>
      </c>
      <c r="DI12" s="40" t="str">
        <f>'Steel Table'!BC10</f>
        <v>Tube-32x32x2.3 mm.</v>
      </c>
      <c r="DJ12" s="40" t="str">
        <f>'Steel Table'!BO10</f>
        <v>Tube-75x38x2.3 mm.</v>
      </c>
      <c r="DK12" s="40" t="str">
        <f>'Steel Table'!CD10</f>
        <v>Pipe-D42.7x2.3 mm.</v>
      </c>
      <c r="DL12" s="40" t="str">
        <f>'Steel Table'!CO10</f>
        <v>[-70x40x25x2.3 mm.</v>
      </c>
      <c r="DM12" s="40" t="str">
        <f>'Steel Table'!AJ31</f>
        <v>2[]-150x75x9x12.5 mm.</v>
      </c>
      <c r="DN12" s="40" t="str">
        <f>'Steel Table'!DG10</f>
        <v>2[]-70x40x25x2.3 mm.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</row>
    <row r="13" spans="1:128" s="35" customFormat="1" ht="15.75" customHeight="1">
      <c r="A13" s="40"/>
      <c r="B13" s="57" t="str">
        <f>"หาน้ำหนักรวมที่กระทำกับ"&amp;CI33&amp;"ทั้งหมด :"</f>
        <v>หาน้ำหนักรวมที่กระทำกับจันทันทั้งหมด :</v>
      </c>
      <c r="C13" s="40"/>
      <c r="D13" s="40"/>
      <c r="E13" s="40"/>
      <c r="F13" s="40"/>
      <c r="G13" s="40"/>
      <c r="H13" s="40"/>
      <c r="I13" s="40"/>
      <c r="J13" s="40"/>
      <c r="K13" s="40"/>
      <c r="L13" s="39"/>
      <c r="M13" s="134"/>
      <c r="N13" s="396"/>
      <c r="O13" s="396"/>
      <c r="P13" s="396"/>
      <c r="Q13" s="40"/>
      <c r="R13" s="58" t="s">
        <v>50</v>
      </c>
      <c r="S13" s="40"/>
      <c r="T13" s="40"/>
      <c r="U13" s="40"/>
      <c r="V13" s="52"/>
      <c r="W13" s="52"/>
      <c r="X13" s="40"/>
      <c r="Y13" s="52"/>
      <c r="Z13" s="52"/>
      <c r="AA13" s="40"/>
      <c r="AB13" s="40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40"/>
      <c r="AO13" s="40"/>
      <c r="AP13" s="40"/>
      <c r="AQ13" s="40"/>
      <c r="AR13" s="40"/>
      <c r="BY13" s="40" t="s">
        <v>55</v>
      </c>
      <c r="BZ13" s="40"/>
      <c r="CA13" s="40" t="s">
        <v>0</v>
      </c>
      <c r="CB13" s="81">
        <f>SIN(CB12)</f>
        <v>0.41790560823214434</v>
      </c>
      <c r="CC13" s="40"/>
      <c r="CD13" s="35">
        <v>1</v>
      </c>
      <c r="CP13" s="35" t="s">
        <v>90</v>
      </c>
      <c r="CQ13" s="36">
        <f>'Steel Table'!EI73</f>
        <v>6.06</v>
      </c>
      <c r="CR13" s="40">
        <f>IF(CX$14=1,CQ13,IF(CX$14=2,CQ12))</f>
        <v>6.06</v>
      </c>
      <c r="CS13" s="40"/>
      <c r="CT13" s="40"/>
      <c r="CU13" s="67" t="s">
        <v>311</v>
      </c>
      <c r="CV13" s="68">
        <v>4</v>
      </c>
      <c r="CW13" s="40" t="s">
        <v>319</v>
      </c>
      <c r="CX13" s="40">
        <v>2</v>
      </c>
      <c r="CY13" s="40"/>
      <c r="CZ13" s="40"/>
      <c r="DA13" s="40"/>
      <c r="DB13" s="40"/>
      <c r="DC13" s="40"/>
      <c r="DD13" s="40"/>
      <c r="DE13" s="40">
        <v>6</v>
      </c>
      <c r="DF13" s="40" t="str">
        <f>'Steel Table'!C11</f>
        <v>WF-175X175x7.5x11 mm.</v>
      </c>
      <c r="DG13" s="40" t="str">
        <f>'Steel Table'!S11</f>
        <v>I-200x100x7x10 mm.</v>
      </c>
      <c r="DH13" s="40" t="str">
        <f>'Steel Table'!AJ11</f>
        <v>[-180x75x7x10.5 mm.</v>
      </c>
      <c r="DI13" s="40" t="str">
        <f>'Steel Table'!BC11</f>
        <v>Tube-32x32x3.2 mm.</v>
      </c>
      <c r="DJ13" s="40" t="str">
        <f>'Steel Table'!BO11</f>
        <v>Tube-75x38x3.2 mm.</v>
      </c>
      <c r="DK13" s="40" t="str">
        <f>'Steel Table'!CD11</f>
        <v>Pipe-D42.7x2.5 mm.</v>
      </c>
      <c r="DL13" s="40" t="str">
        <f>'Steel Table'!CO11</f>
        <v>[-75x45x15x1.6 mm.</v>
      </c>
      <c r="DM13" s="40" t="str">
        <f>'Steel Table'!AJ32</f>
        <v>2[]-180x75x7x10.5 mm.</v>
      </c>
      <c r="DN13" s="40" t="str">
        <f>'Steel Table'!DG11</f>
        <v>2[]-75x45x15x1.6 mm.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</row>
    <row r="14" spans="1:128" s="35" customFormat="1" ht="15.75" customHeight="1">
      <c r="A14" s="40"/>
      <c r="B14" s="34" t="s">
        <v>35</v>
      </c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75" t="s">
        <v>0</v>
      </c>
      <c r="N14" s="352">
        <v>50</v>
      </c>
      <c r="O14" s="352"/>
      <c r="P14" s="352"/>
      <c r="Q14" s="40"/>
      <c r="R14" s="35" t="s">
        <v>52</v>
      </c>
      <c r="S14" s="40"/>
      <c r="T14" s="40"/>
      <c r="U14" s="39"/>
      <c r="V14" s="76"/>
      <c r="W14" s="75" t="s">
        <v>0</v>
      </c>
      <c r="X14" s="351">
        <v>2.5</v>
      </c>
      <c r="Y14" s="351"/>
      <c r="Z14" s="351"/>
      <c r="AA14" s="52"/>
      <c r="AB14" s="52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40"/>
      <c r="AO14" s="40"/>
      <c r="AP14" s="40"/>
      <c r="AQ14" s="40"/>
      <c r="AR14" s="40"/>
      <c r="BY14" s="40"/>
      <c r="BZ14" s="40"/>
      <c r="CA14" s="40"/>
      <c r="CB14" s="40">
        <f>((2*Sinθ)/(1+(Sinθ)^2))</f>
        <v>0.711543612892167</v>
      </c>
      <c r="CC14" s="40"/>
      <c r="CD14" s="40">
        <v>2</v>
      </c>
      <c r="CE14" s="40" t="s">
        <v>62</v>
      </c>
      <c r="CF14" s="75">
        <v>2.25</v>
      </c>
      <c r="CG14" s="39">
        <v>2.872</v>
      </c>
      <c r="CH14" s="40"/>
      <c r="CI14" s="39">
        <v>15.6</v>
      </c>
      <c r="CJ14" s="39">
        <v>3.32</v>
      </c>
      <c r="CK14" s="40"/>
      <c r="CL14" s="63"/>
      <c r="CM14" s="30">
        <v>5.2</v>
      </c>
      <c r="CN14" s="39">
        <v>1.71</v>
      </c>
      <c r="CO14" s="40"/>
      <c r="CP14" s="40" t="s">
        <v>229</v>
      </c>
      <c r="CQ14" s="39">
        <f>'Steel Table'!EJ73</f>
        <v>3.95</v>
      </c>
      <c r="CR14" s="40">
        <f>IF(CX$14=1,CQ14,IF(CX$14=2,CQ15))</f>
        <v>3.95</v>
      </c>
      <c r="CS14" s="40"/>
      <c r="CT14" s="40"/>
      <c r="CU14" s="67" t="s">
        <v>309</v>
      </c>
      <c r="CV14" s="68">
        <v>5</v>
      </c>
      <c r="CW14" s="40"/>
      <c r="CX14" s="40">
        <f>VLOOKUP(AH29,CW12:CX13,2,FALSE)</f>
        <v>1</v>
      </c>
      <c r="CY14" s="40"/>
      <c r="CZ14" s="40"/>
      <c r="DA14" s="40"/>
      <c r="DB14" s="40"/>
      <c r="DC14" s="40"/>
      <c r="DD14" s="40"/>
      <c r="DE14" s="40">
        <v>7</v>
      </c>
      <c r="DF14" s="40" t="str">
        <f>'Steel Table'!C12</f>
        <v>WF-200x100x4.5x7 mm.</v>
      </c>
      <c r="DG14" s="40" t="str">
        <f>'Steel Table'!S12</f>
        <v>I-200x150x9x16 mm.</v>
      </c>
      <c r="DH14" s="40" t="str">
        <f>'Steel Table'!AJ12</f>
        <v>[-180x75x7.5x11 mm.</v>
      </c>
      <c r="DI14" s="40" t="str">
        <f>'Steel Table'!BC12</f>
        <v>Tube-38x38x2.3 mm.</v>
      </c>
      <c r="DJ14" s="40" t="str">
        <f>'Steel Table'!BO12</f>
        <v>Tube-75x45x1.6 mm.</v>
      </c>
      <c r="DK14" s="40" t="str">
        <f>'Steel Table'!CD12</f>
        <v>Pipe-D48.6x2.3 mm.</v>
      </c>
      <c r="DL14" s="40" t="str">
        <f>'Steel Table'!CO12</f>
        <v>[-75x45x15x2 mm.</v>
      </c>
      <c r="DM14" s="40" t="str">
        <f>'Steel Table'!AJ33</f>
        <v>2[]-180x75x7.5x11 mm.</v>
      </c>
      <c r="DN14" s="40" t="str">
        <f>'Steel Table'!DG12</f>
        <v>2[]-75x45x15x2 mm.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</row>
    <row r="15" spans="1:128" s="35" customFormat="1" ht="15.75" customHeight="1">
      <c r="A15" s="40"/>
      <c r="B15" s="95" t="s">
        <v>36</v>
      </c>
      <c r="C15" s="52"/>
      <c r="D15" s="52"/>
      <c r="E15" s="52"/>
      <c r="F15" s="52"/>
      <c r="G15" s="40"/>
      <c r="H15" s="40"/>
      <c r="I15" s="40"/>
      <c r="J15" s="40"/>
      <c r="K15" s="40"/>
      <c r="L15" s="39"/>
      <c r="M15" s="75" t="s">
        <v>0</v>
      </c>
      <c r="N15" s="352">
        <v>50</v>
      </c>
      <c r="O15" s="352"/>
      <c r="P15" s="352"/>
      <c r="Q15" s="40"/>
      <c r="R15" s="40" t="s">
        <v>53</v>
      </c>
      <c r="S15" s="40"/>
      <c r="T15" s="40"/>
      <c r="U15" s="40"/>
      <c r="V15" s="40"/>
      <c r="W15" s="75" t="s">
        <v>0</v>
      </c>
      <c r="X15" s="351">
        <v>1.15</v>
      </c>
      <c r="Y15" s="351"/>
      <c r="Z15" s="351"/>
      <c r="AA15" s="40"/>
      <c r="AB15" s="40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40"/>
      <c r="AO15" s="40"/>
      <c r="AP15" s="40"/>
      <c r="AQ15" s="40"/>
      <c r="AR15" s="40"/>
      <c r="BY15" s="40"/>
      <c r="BZ15" s="40"/>
      <c r="CA15" s="40"/>
      <c r="CB15" s="40">
        <f>CB14*P</f>
        <v>35.577180644608354</v>
      </c>
      <c r="CC15" s="40"/>
      <c r="CD15" s="40">
        <v>3</v>
      </c>
      <c r="CE15" s="40" t="s">
        <v>63</v>
      </c>
      <c r="CF15" s="75">
        <v>3.25</v>
      </c>
      <c r="CG15" s="39">
        <v>4.137</v>
      </c>
      <c r="CH15" s="40"/>
      <c r="CI15" s="39">
        <v>37.1</v>
      </c>
      <c r="CJ15" s="39">
        <v>11.8</v>
      </c>
      <c r="CK15" s="40"/>
      <c r="CL15" s="63"/>
      <c r="CM15" s="30">
        <v>9.9</v>
      </c>
      <c r="CN15" s="39">
        <v>4.24</v>
      </c>
      <c r="CO15" s="40"/>
      <c r="CP15" s="40" t="s">
        <v>230</v>
      </c>
      <c r="CQ15" s="39">
        <f>'Steel Table'!EK73</f>
        <v>1.92</v>
      </c>
      <c r="CR15" s="40">
        <f>IF(CX$14=1,CQ15,IF(CX$14=2,CQ14))</f>
        <v>1.92</v>
      </c>
      <c r="CS15" s="40"/>
      <c r="CT15" s="40"/>
      <c r="CU15" s="67" t="s">
        <v>278</v>
      </c>
      <c r="CV15" s="68">
        <v>6</v>
      </c>
      <c r="CW15" s="40"/>
      <c r="CX15" s="40"/>
      <c r="CY15" s="40"/>
      <c r="CZ15" s="40"/>
      <c r="DA15" s="40"/>
      <c r="DB15" s="40"/>
      <c r="DC15" s="40"/>
      <c r="DD15" s="40"/>
      <c r="DE15" s="40">
        <v>8</v>
      </c>
      <c r="DF15" s="40" t="str">
        <f>'Steel Table'!C13</f>
        <v>WF-200x100x5.5x8 mm.</v>
      </c>
      <c r="DG15" s="40" t="str">
        <f>'Steel Table'!S13</f>
        <v>I-250x125x7.5x12.5 mm.</v>
      </c>
      <c r="DH15" s="40" t="str">
        <f>'Steel Table'!AJ13</f>
        <v>[-180x75x8x13.5 mm.</v>
      </c>
      <c r="DI15" s="40" t="str">
        <f>'Steel Table'!BC13</f>
        <v>Tube-38x38x3.2 mm.</v>
      </c>
      <c r="DJ15" s="40" t="str">
        <f>'Steel Table'!BO13</f>
        <v>Tube-75x45x2.3 mm.</v>
      </c>
      <c r="DK15" s="40" t="str">
        <f>'Steel Table'!CD13</f>
        <v>Pipe-D48.6x2.5 mm.</v>
      </c>
      <c r="DL15" s="40" t="str">
        <f>'Steel Table'!CO13</f>
        <v>[-75x45x15x2.3 mm.</v>
      </c>
      <c r="DM15" s="40" t="str">
        <f>'Steel Table'!AJ34</f>
        <v>2[]-180x75x8x13.5 mm.</v>
      </c>
      <c r="DN15" s="40" t="str">
        <f>'Steel Table'!DG13</f>
        <v>2[]-75x45x15x2.3 mm.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</row>
    <row r="16" spans="1:128" s="35" customFormat="1" ht="15.75" customHeight="1">
      <c r="A16" s="40"/>
      <c r="B16" s="31" t="s">
        <v>37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75" t="s">
        <v>0</v>
      </c>
      <c r="N16" s="403">
        <f>X16</f>
        <v>24.70243022777131</v>
      </c>
      <c r="O16" s="396"/>
      <c r="P16" s="396"/>
      <c r="Q16" s="40"/>
      <c r="R16" s="40" t="s">
        <v>51</v>
      </c>
      <c r="S16" s="40"/>
      <c r="T16" s="40"/>
      <c r="U16" s="40"/>
      <c r="V16" s="40"/>
      <c r="W16" s="75" t="s">
        <v>0</v>
      </c>
      <c r="X16" s="403">
        <f>DEGREES(ATAN(Y/X))</f>
        <v>24.70243022777131</v>
      </c>
      <c r="Y16" s="403"/>
      <c r="Z16" s="403"/>
      <c r="AA16" s="408" t="s">
        <v>54</v>
      </c>
      <c r="AB16" s="408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40"/>
      <c r="AO16" s="40"/>
      <c r="AP16" s="40"/>
      <c r="AQ16" s="40"/>
      <c r="AR16" s="40"/>
      <c r="BY16" s="40" t="s">
        <v>56</v>
      </c>
      <c r="BZ16" s="40"/>
      <c r="CA16" s="40" t="s">
        <v>0</v>
      </c>
      <c r="CB16" s="40">
        <f>COS(CB12)</f>
        <v>0.9084904526785746</v>
      </c>
      <c r="CC16" s="40"/>
      <c r="CD16" s="40">
        <v>4</v>
      </c>
      <c r="CE16" s="40" t="s">
        <v>64</v>
      </c>
      <c r="CF16" s="75">
        <v>4.06</v>
      </c>
      <c r="CG16" s="39">
        <v>5.172</v>
      </c>
      <c r="CH16" s="40"/>
      <c r="CI16" s="39">
        <v>80.7</v>
      </c>
      <c r="CJ16" s="39">
        <v>19</v>
      </c>
      <c r="CK16" s="40"/>
      <c r="CL16" s="63"/>
      <c r="CM16" s="30">
        <v>16.1</v>
      </c>
      <c r="CN16" s="39">
        <v>6.06</v>
      </c>
      <c r="CO16" s="40"/>
      <c r="CP16" s="40" t="s">
        <v>324</v>
      </c>
      <c r="CQ16" s="39">
        <f>'Steel Table'!EL73</f>
        <v>100</v>
      </c>
      <c r="CR16" s="52"/>
      <c r="CS16" s="52"/>
      <c r="CT16" s="52"/>
      <c r="CU16" s="85" t="s">
        <v>310</v>
      </c>
      <c r="CV16" s="86">
        <v>7</v>
      </c>
      <c r="CW16" s="40"/>
      <c r="CX16" s="40"/>
      <c r="CY16" s="52"/>
      <c r="CZ16" s="52"/>
      <c r="DA16" s="52"/>
      <c r="DB16" s="52"/>
      <c r="DC16" s="52"/>
      <c r="DD16" s="52"/>
      <c r="DE16" s="40">
        <v>9</v>
      </c>
      <c r="DF16" s="40" t="str">
        <f>'Steel Table'!C14</f>
        <v>WF-200x150x6x9 mm.</v>
      </c>
      <c r="DG16" s="40" t="str">
        <f>'Steel Table'!S14</f>
        <v>I-250x125x10x19 mm.</v>
      </c>
      <c r="DH16" s="40" t="str">
        <f>'Steel Table'!AJ14</f>
        <v>[-180x75x8.5x13.5 mm.</v>
      </c>
      <c r="DI16" s="40" t="str">
        <f>'Steel Table'!BC14</f>
        <v>Tube-50x50x1.6 mm.</v>
      </c>
      <c r="DJ16" s="40" t="str">
        <f>'Steel Table'!BO14</f>
        <v>Tube-75x45x3.2 mm.</v>
      </c>
      <c r="DK16" s="40" t="str">
        <f>'Steel Table'!CD14</f>
        <v>Pipe-D48.6x2.8 mm.</v>
      </c>
      <c r="DL16" s="40" t="str">
        <f>'Steel Table'!CO14</f>
        <v>[-90x45x20x1.6 mm.</v>
      </c>
      <c r="DM16" s="40" t="str">
        <f>'Steel Table'!AJ35</f>
        <v>2[]-180x75x8.5x13.5 mm.</v>
      </c>
      <c r="DN16" s="40" t="str">
        <f>'Steel Table'!DG14</f>
        <v>2[]-90x45x20x1.6 mm.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</row>
    <row r="17" spans="1:128" s="35" customFormat="1" ht="15.75" customHeight="1">
      <c r="A17" s="40"/>
      <c r="B17" s="31" t="s">
        <v>38</v>
      </c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75" t="s">
        <v>0</v>
      </c>
      <c r="N17" s="352">
        <v>50</v>
      </c>
      <c r="O17" s="352"/>
      <c r="P17" s="352"/>
      <c r="Q17" s="316">
        <f>IF(θ&gt;18,"",IF(θ&lt;=18,"เนื่องจาก "&amp;ROUND(θ,2)&amp;" &lt; 18 องศาเป็นโครงหลังคาแบนไม่คิดแรงลม"))</f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9"/>
      <c r="AC17" s="153"/>
      <c r="AD17" s="153"/>
      <c r="AE17" s="153"/>
      <c r="AF17" s="153"/>
      <c r="AG17" s="153"/>
      <c r="AH17" s="153"/>
      <c r="AI17" s="153"/>
      <c r="AJ17" s="153"/>
      <c r="AK17" s="330"/>
      <c r="AL17" s="153"/>
      <c r="AM17" s="153"/>
      <c r="AN17" s="40"/>
      <c r="AO17" s="40"/>
      <c r="AP17" s="40"/>
      <c r="AQ17" s="40"/>
      <c r="AR17" s="40"/>
      <c r="BY17" s="40"/>
      <c r="BZ17" s="40"/>
      <c r="CA17" s="40"/>
      <c r="CB17" s="40"/>
      <c r="CC17" s="40"/>
      <c r="CD17" s="40">
        <v>5</v>
      </c>
      <c r="CE17" s="40" t="s">
        <v>65</v>
      </c>
      <c r="CF17" s="75">
        <v>5.5</v>
      </c>
      <c r="CG17" s="39">
        <v>7.007</v>
      </c>
      <c r="CH17" s="40"/>
      <c r="CI17" s="39">
        <v>107</v>
      </c>
      <c r="CJ17" s="39">
        <v>24.5</v>
      </c>
      <c r="CK17" s="52"/>
      <c r="CL17" s="52"/>
      <c r="CM17" s="39">
        <v>21.3</v>
      </c>
      <c r="CN17" s="39">
        <v>7.81</v>
      </c>
      <c r="CO17" s="52"/>
      <c r="CP17" s="52" t="s">
        <v>323</v>
      </c>
      <c r="CQ17" s="39">
        <f>'Steel Table'!EM73</f>
        <v>50</v>
      </c>
      <c r="CR17" s="96"/>
      <c r="CS17" s="40"/>
      <c r="CT17" s="40"/>
      <c r="CU17" s="40"/>
      <c r="CV17" s="108"/>
      <c r="CW17" s="40"/>
      <c r="CX17" s="88"/>
      <c r="CY17" s="88"/>
      <c r="CZ17" s="136"/>
      <c r="DA17" s="63"/>
      <c r="DB17" s="101"/>
      <c r="DC17" s="101"/>
      <c r="DD17" s="101"/>
      <c r="DE17" s="40">
        <v>10</v>
      </c>
      <c r="DF17" s="40" t="str">
        <f>'Steel Table'!C15</f>
        <v>WF-200X200x8x12 mm.</v>
      </c>
      <c r="DG17" s="40" t="str">
        <f>'Steel Table'!S15</f>
        <v>I-300x150x8x13 mm.</v>
      </c>
      <c r="DH17" s="40" t="str">
        <f>'Steel Table'!AJ15</f>
        <v>[-250x90x9x13 mm.</v>
      </c>
      <c r="DI17" s="40" t="str">
        <f>'Steel Table'!BC15</f>
        <v>Tube-50x50x2 mm.</v>
      </c>
      <c r="DJ17" s="40" t="str">
        <f>'Steel Table'!BO15</f>
        <v>Tube-100x50x2 mm.</v>
      </c>
      <c r="DK17" s="40" t="str">
        <f>'Steel Table'!CD15</f>
        <v>Pipe-D48.6x3.2 mm.</v>
      </c>
      <c r="DL17" s="40" t="str">
        <f>'Steel Table'!CO15</f>
        <v>[-90x45x20x2.3 mm.</v>
      </c>
      <c r="DM17" s="40" t="str">
        <f>'Steel Table'!AJ36</f>
        <v>2[]-250x90x9x13 mm.</v>
      </c>
      <c r="DN17" s="40" t="str">
        <f>'Steel Table'!DG15</f>
        <v>2[]-90x45x20x2.3 mm.</v>
      </c>
      <c r="DO17" s="52"/>
      <c r="DP17" s="40"/>
      <c r="DQ17" s="40"/>
      <c r="DR17" s="40"/>
      <c r="DS17" s="40"/>
      <c r="DT17" s="40"/>
      <c r="DU17" s="40"/>
      <c r="DV17" s="40"/>
      <c r="DW17" s="40"/>
      <c r="DX17" s="40"/>
    </row>
    <row r="18" spans="1:128" s="35" customFormat="1" ht="15.75" customHeight="1">
      <c r="A18" s="40"/>
      <c r="B18" s="95" t="str">
        <f>"น้ำหนัก"&amp;CI33&amp;" , (kg./m.)"</f>
        <v>น้ำหนักจันทัน , (kg./m.)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75" t="s">
        <v>0</v>
      </c>
      <c r="N18" s="396">
        <f>IF(CB10=1,6,IF(CB10&gt;1,CB28))</f>
        <v>4.06</v>
      </c>
      <c r="O18" s="396"/>
      <c r="P18" s="396"/>
      <c r="AB18" s="99"/>
      <c r="AC18" s="153"/>
      <c r="AD18" s="153"/>
      <c r="AE18" s="153"/>
      <c r="AF18" s="153"/>
      <c r="AG18" s="153"/>
      <c r="AH18" s="153"/>
      <c r="AI18" s="153"/>
      <c r="AJ18" s="153"/>
      <c r="AK18" s="330"/>
      <c r="AL18" s="153"/>
      <c r="AM18" s="153"/>
      <c r="AN18" s="40"/>
      <c r="AO18" s="40"/>
      <c r="AP18" s="40"/>
      <c r="AQ18" s="40"/>
      <c r="AR18" s="40"/>
      <c r="BU18" s="35" t="s">
        <v>489</v>
      </c>
      <c r="BY18" s="40"/>
      <c r="BZ18" s="40"/>
      <c r="CA18" s="40"/>
      <c r="CB18" s="40"/>
      <c r="CC18" s="40"/>
      <c r="CD18" s="40">
        <v>6</v>
      </c>
      <c r="CE18" s="40" t="s">
        <v>66</v>
      </c>
      <c r="CF18" s="75">
        <v>4.51</v>
      </c>
      <c r="CG18" s="39">
        <v>5.747</v>
      </c>
      <c r="CH18" s="52"/>
      <c r="CI18" s="39">
        <v>137</v>
      </c>
      <c r="CJ18" s="75">
        <v>20.6</v>
      </c>
      <c r="CK18" s="40"/>
      <c r="CL18" s="40"/>
      <c r="CM18" s="93">
        <v>21.9</v>
      </c>
      <c r="CN18" s="75">
        <v>6.22</v>
      </c>
      <c r="CO18" s="40"/>
      <c r="CP18" s="40" t="s">
        <v>325</v>
      </c>
      <c r="CQ18" s="39">
        <f>'Steel Table'!EN73</f>
        <v>20</v>
      </c>
      <c r="CR18" s="96"/>
      <c r="CS18" s="40"/>
      <c r="CT18" s="40"/>
      <c r="CU18" s="314">
        <v>14</v>
      </c>
      <c r="CV18" s="108"/>
      <c r="CW18" s="40"/>
      <c r="CX18" s="88"/>
      <c r="CY18" s="88"/>
      <c r="CZ18" s="63"/>
      <c r="DA18" s="63"/>
      <c r="DB18" s="101"/>
      <c r="DC18" s="101"/>
      <c r="DD18" s="101"/>
      <c r="DE18" s="40">
        <v>11</v>
      </c>
      <c r="DF18" s="40" t="str">
        <f>'Steel Table'!C16</f>
        <v>WF-200X200x12x12 mm.</v>
      </c>
      <c r="DG18" s="40" t="str">
        <f>'Steel Table'!S16</f>
        <v>I-300x150x10x18.5 mm.</v>
      </c>
      <c r="DH18" s="40" t="str">
        <f>'Steel Table'!AJ16</f>
        <v>[-250x90x11x14.5 mm.</v>
      </c>
      <c r="DI18" s="40" t="str">
        <f>'Steel Table'!BC16</f>
        <v>Tube-50x50x2.3 mm.</v>
      </c>
      <c r="DJ18" s="40" t="str">
        <f>'Steel Table'!BO16</f>
        <v>Tube-100x50x2.3 mm.</v>
      </c>
      <c r="DK18" s="40" t="str">
        <f>'Steel Table'!CD16</f>
        <v>Pipe-D60.5x2.3 mm.</v>
      </c>
      <c r="DL18" s="40" t="str">
        <f>'Steel Table'!CO16</f>
        <v>[-90x45x20x3.2 mm.</v>
      </c>
      <c r="DM18" s="40" t="str">
        <f>'Steel Table'!AJ37</f>
        <v>2[]-250x90x11x14.5 mm.</v>
      </c>
      <c r="DN18" s="40" t="str">
        <f>'Steel Table'!DG16</f>
        <v>2[]-90x45x20x3.2 mm.</v>
      </c>
      <c r="DO18" s="52"/>
      <c r="DP18" s="40"/>
      <c r="DQ18" s="40"/>
      <c r="DR18" s="40"/>
      <c r="DS18" s="40"/>
      <c r="DT18" s="40"/>
      <c r="DU18" s="40"/>
      <c r="DV18" s="40"/>
      <c r="DW18" s="40"/>
      <c r="DX18" s="40"/>
    </row>
    <row r="19" spans="1:128" s="35" customFormat="1" ht="15.75" customHeight="1">
      <c r="A19" s="52"/>
      <c r="B19" s="31" t="s">
        <v>477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75" t="s">
        <v>0</v>
      </c>
      <c r="N19" s="372">
        <f>(LL+N15+N18)</f>
        <v>104.06</v>
      </c>
      <c r="O19" s="396"/>
      <c r="P19" s="396"/>
      <c r="Q19" s="40"/>
      <c r="R19" s="418" t="str">
        <f>"w = "&amp;ROUND(W,2)&amp;" kg,/m."</f>
        <v>w = 130.11 kg,/m.</v>
      </c>
      <c r="S19" s="418"/>
      <c r="T19" s="418"/>
      <c r="U19" s="418"/>
      <c r="V19" s="418"/>
      <c r="W19" s="418"/>
      <c r="X19" s="418"/>
      <c r="Y19" s="52"/>
      <c r="Z19" s="52"/>
      <c r="AB19" s="99"/>
      <c r="AC19" s="153"/>
      <c r="AD19" s="153"/>
      <c r="AE19" s="153"/>
      <c r="AF19" s="153"/>
      <c r="AG19" s="153"/>
      <c r="AH19" s="150"/>
      <c r="AI19" s="153"/>
      <c r="AJ19" s="153"/>
      <c r="AK19" s="153"/>
      <c r="AL19" s="153"/>
      <c r="AM19" s="153"/>
      <c r="AN19" s="40"/>
      <c r="AO19" s="40"/>
      <c r="AP19" s="40"/>
      <c r="AQ19" s="40"/>
      <c r="AR19" s="40"/>
      <c r="BU19" s="35" t="s">
        <v>60</v>
      </c>
      <c r="BY19" s="40"/>
      <c r="BZ19" s="40"/>
      <c r="CA19" s="40"/>
      <c r="CB19" s="40"/>
      <c r="CC19" s="40"/>
      <c r="CD19" s="40">
        <v>7</v>
      </c>
      <c r="CE19" s="40" t="s">
        <v>67</v>
      </c>
      <c r="CF19" s="39">
        <v>6.13</v>
      </c>
      <c r="CG19" s="39">
        <v>7.807</v>
      </c>
      <c r="CH19" s="52"/>
      <c r="CI19" s="39">
        <v>181</v>
      </c>
      <c r="CJ19" s="75">
        <v>26.6</v>
      </c>
      <c r="CK19" s="40"/>
      <c r="CL19" s="40"/>
      <c r="CM19" s="93">
        <v>29</v>
      </c>
      <c r="CN19" s="75">
        <v>8.02</v>
      </c>
      <c r="CO19" s="40"/>
      <c r="CP19" s="40" t="s">
        <v>137</v>
      </c>
      <c r="CQ19" s="39">
        <f>'Steel Table'!EO73</f>
        <v>2.3</v>
      </c>
      <c r="CR19" s="74"/>
      <c r="CS19" s="52"/>
      <c r="CT19" s="52">
        <v>1</v>
      </c>
      <c r="CU19" s="52" t="str">
        <f>VLOOKUP(1,$DE$8:$DN$78,CV$8,TRUE)</f>
        <v>[-60x30x10x1.6 mm.</v>
      </c>
      <c r="CV19" s="103"/>
      <c r="CW19" s="35" t="str">
        <f>VLOOKUP(CU18,CT19:CU90,2,TRUE)</f>
        <v>[-100x50x20x2.3 mm.</v>
      </c>
      <c r="CX19" s="94"/>
      <c r="CY19" s="94"/>
      <c r="CZ19" s="63"/>
      <c r="DA19" s="63"/>
      <c r="DB19" s="74"/>
      <c r="DC19" s="74"/>
      <c r="DD19" s="52"/>
      <c r="DE19" s="40">
        <v>12</v>
      </c>
      <c r="DF19" s="40" t="str">
        <f>'Steel Table'!C17</f>
        <v>WF-200X200x10x16 mm.</v>
      </c>
      <c r="DG19" s="40" t="str">
        <f>'Steel Table'!S17</f>
        <v>I-300x150x11.5x22 mm.</v>
      </c>
      <c r="DH19" s="40" t="str">
        <f>'Steel Table'!AJ17</f>
        <v>[-300x90x9x13 mm.</v>
      </c>
      <c r="DI19" s="40" t="str">
        <f>'Steel Table'!BC17</f>
        <v>Tube-50x50x3.2 mm.</v>
      </c>
      <c r="DJ19" s="40" t="str">
        <f>'Steel Table'!BO17</f>
        <v>Tube-100x50x3.2 mm.</v>
      </c>
      <c r="DK19" s="40" t="str">
        <f>'Steel Table'!CD17</f>
        <v>Pipe-D60.5x3.2 mm.</v>
      </c>
      <c r="DL19" s="40" t="str">
        <f>'Steel Table'!CO17</f>
        <v>[-100x50x20x1.6 mm.</v>
      </c>
      <c r="DM19" s="40" t="str">
        <f>'Steel Table'!AJ38</f>
        <v>2[]-300x90x9x13 mm.</v>
      </c>
      <c r="DN19" s="40" t="str">
        <f>'Steel Table'!DG17</f>
        <v>2[]-100x50x20x1.6 mm.</v>
      </c>
      <c r="DO19" s="52"/>
      <c r="DP19" s="40"/>
      <c r="DQ19" s="40"/>
      <c r="DR19" s="40"/>
      <c r="DS19" s="40"/>
      <c r="DT19" s="40"/>
      <c r="DU19" s="40"/>
      <c r="DV19" s="40"/>
      <c r="DW19" s="40"/>
      <c r="DX19" s="40"/>
    </row>
    <row r="20" spans="1:128" s="35" customFormat="1" ht="15.75" customHeight="1">
      <c r="A20" s="52"/>
      <c r="B20" s="95" t="s">
        <v>479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75" t="s">
        <v>0</v>
      </c>
      <c r="N20" s="372">
        <f>CB22</f>
        <v>94.53751650573248</v>
      </c>
      <c r="O20" s="372"/>
      <c r="P20" s="372"/>
      <c r="Q20" s="40"/>
      <c r="R20" s="419" t="s">
        <v>404</v>
      </c>
      <c r="S20" s="420"/>
      <c r="T20" s="420"/>
      <c r="U20" s="420"/>
      <c r="V20" s="420"/>
      <c r="W20" s="420"/>
      <c r="X20" s="421"/>
      <c r="Y20" s="331"/>
      <c r="Z20" s="331"/>
      <c r="AB20" s="99"/>
      <c r="AC20" s="153"/>
      <c r="AD20" s="153"/>
      <c r="AE20" s="153"/>
      <c r="AF20" s="153"/>
      <c r="AG20" s="153"/>
      <c r="AH20" s="150"/>
      <c r="AI20" s="153"/>
      <c r="AJ20" s="153"/>
      <c r="AK20" s="153"/>
      <c r="AL20" s="153"/>
      <c r="AM20" s="153"/>
      <c r="AN20" s="40"/>
      <c r="AO20" s="40"/>
      <c r="AP20" s="40"/>
      <c r="AQ20" s="40"/>
      <c r="AR20" s="40"/>
      <c r="BY20" s="40" t="s">
        <v>47</v>
      </c>
      <c r="BZ20" s="40"/>
      <c r="CA20" s="40" t="s">
        <v>0</v>
      </c>
      <c r="CB20" s="101" t="b">
        <f>IF(Mx&gt;My,Mx,IF(Mx&lt;My,My))</f>
        <v>0</v>
      </c>
      <c r="CC20" s="40"/>
      <c r="CD20" s="40">
        <v>8</v>
      </c>
      <c r="CE20" s="40" t="s">
        <v>68</v>
      </c>
      <c r="CF20" s="39">
        <v>4.96</v>
      </c>
      <c r="CG20" s="39">
        <v>6.322</v>
      </c>
      <c r="CH20" s="52"/>
      <c r="CI20" s="39">
        <v>210</v>
      </c>
      <c r="CJ20" s="75">
        <v>21.9</v>
      </c>
      <c r="CK20" s="52"/>
      <c r="CL20" s="52"/>
      <c r="CM20" s="93">
        <v>28</v>
      </c>
      <c r="CN20" s="75">
        <v>6.33</v>
      </c>
      <c r="CO20" s="52"/>
      <c r="CP20" s="52" t="s">
        <v>138</v>
      </c>
      <c r="CQ20" s="75">
        <f>'Steel Table'!EP73</f>
        <v>0</v>
      </c>
      <c r="CR20" s="74"/>
      <c r="CS20" s="52"/>
      <c r="CT20" s="52">
        <v>2</v>
      </c>
      <c r="CU20" s="52" t="str">
        <f>VLOOKUP(2,$DE$8:$DN$78,CV$8,TRUE)</f>
        <v>[-60x30x10x2 mm.</v>
      </c>
      <c r="CV20" s="103"/>
      <c r="CW20" s="52"/>
      <c r="CX20" s="94"/>
      <c r="CY20" s="94"/>
      <c r="CZ20" s="63"/>
      <c r="DA20" s="63"/>
      <c r="DB20" s="74"/>
      <c r="DC20" s="74"/>
      <c r="DD20" s="52"/>
      <c r="DE20" s="40">
        <v>13</v>
      </c>
      <c r="DF20" s="40" t="str">
        <f>'Steel Table'!C18</f>
        <v>WF-250x125x5x8 mm.</v>
      </c>
      <c r="DG20" s="40" t="str">
        <f>'Steel Table'!S18</f>
        <v>I-350x150x9x15 mm.</v>
      </c>
      <c r="DH20" s="40" t="str">
        <f>'Steel Table'!AJ18</f>
        <v>[-300x90x10x15.5 mm.</v>
      </c>
      <c r="DI20" s="40" t="str">
        <f>'Steel Table'!BC18</f>
        <v>Tube-50x50x3.6 mm.</v>
      </c>
      <c r="DJ20" s="40" t="str">
        <f>'Steel Table'!BO18</f>
        <v>Tube-100x50x3.6 mm.</v>
      </c>
      <c r="DK20" s="40" t="str">
        <f>'Steel Table'!CD18</f>
        <v>Pipe-D60.5x4 mm.</v>
      </c>
      <c r="DL20" s="40" t="str">
        <f>'Steel Table'!CO18</f>
        <v>[-100x50x20x2 mm.</v>
      </c>
      <c r="DM20" s="40" t="str">
        <f>'Steel Table'!AJ39</f>
        <v>2[]-300x90x10x15.5 mm.</v>
      </c>
      <c r="DN20" s="40" t="str">
        <f>'Steel Table'!DG18</f>
        <v>2[]-100x50x20x2 mm.</v>
      </c>
      <c r="DO20" s="52"/>
      <c r="DP20" s="40"/>
      <c r="DQ20" s="40"/>
      <c r="DR20" s="40"/>
      <c r="DS20" s="40"/>
      <c r="DT20" s="40"/>
      <c r="DU20" s="40"/>
      <c r="DV20" s="40"/>
      <c r="DW20" s="40"/>
      <c r="DX20" s="40"/>
    </row>
    <row r="21" spans="1:128" s="35" customFormat="1" ht="15.75" customHeight="1">
      <c r="A21" s="52"/>
      <c r="B21" s="31" t="s">
        <v>41</v>
      </c>
      <c r="C21" s="40"/>
      <c r="D21" s="40"/>
      <c r="E21" s="40"/>
      <c r="F21" s="40"/>
      <c r="G21" s="40"/>
      <c r="H21" s="40"/>
      <c r="I21" s="40"/>
      <c r="J21" s="40"/>
      <c r="K21" s="52"/>
      <c r="L21" s="52"/>
      <c r="M21" s="75" t="s">
        <v>0</v>
      </c>
      <c r="N21" s="372">
        <f>IF(θ&lt;=18,"-",IF(θ&gt;18,Wo))</f>
        <v>35.577180644608354</v>
      </c>
      <c r="O21" s="372"/>
      <c r="P21" s="372"/>
      <c r="Q21" s="40"/>
      <c r="R21" s="40"/>
      <c r="S21" s="40"/>
      <c r="T21" s="40"/>
      <c r="U21" s="40"/>
      <c r="V21" s="40"/>
      <c r="W21" s="40"/>
      <c r="X21" s="40"/>
      <c r="Y21" s="40"/>
      <c r="Z21" s="40"/>
      <c r="AB21" s="99"/>
      <c r="AC21" s="332"/>
      <c r="AD21" s="332"/>
      <c r="AE21" s="332"/>
      <c r="AF21" s="332"/>
      <c r="AG21" s="332"/>
      <c r="AH21" s="153"/>
      <c r="AI21" s="153"/>
      <c r="AJ21" s="153"/>
      <c r="AK21" s="153"/>
      <c r="AL21" s="153"/>
      <c r="AM21" s="153"/>
      <c r="AN21" s="40"/>
      <c r="AO21" s="40"/>
      <c r="AP21" s="40"/>
      <c r="AQ21" s="40"/>
      <c r="AR21" s="40"/>
      <c r="BY21" s="40"/>
      <c r="BZ21" s="40"/>
      <c r="CA21" s="40"/>
      <c r="CB21" s="40"/>
      <c r="CC21" s="40"/>
      <c r="CD21" s="40">
        <v>9</v>
      </c>
      <c r="CE21" s="40" t="s">
        <v>69</v>
      </c>
      <c r="CF21" s="39">
        <v>6.76</v>
      </c>
      <c r="CG21" s="39">
        <v>8.607</v>
      </c>
      <c r="CH21" s="52"/>
      <c r="CI21" s="39">
        <v>280</v>
      </c>
      <c r="CJ21" s="75">
        <v>28.3</v>
      </c>
      <c r="CK21" s="52"/>
      <c r="CL21" s="52"/>
      <c r="CM21" s="93">
        <v>37.4</v>
      </c>
      <c r="CN21" s="75">
        <v>8.19</v>
      </c>
      <c r="CO21" s="52"/>
      <c r="CP21" s="52" t="s">
        <v>172</v>
      </c>
      <c r="CQ21" s="39">
        <f>'Steel Table'!EQ73</f>
        <v>0</v>
      </c>
      <c r="CR21" s="40"/>
      <c r="CS21" s="40"/>
      <c r="CT21" s="52">
        <v>3</v>
      </c>
      <c r="CU21" s="52" t="str">
        <f>VLOOKUP(3,$DE$8:$DN$78,CV$8,TRUE)</f>
        <v>[-60x30x10x2.3 mm.</v>
      </c>
      <c r="CV21" s="104"/>
      <c r="CW21" s="40"/>
      <c r="CX21" s="40"/>
      <c r="CY21" s="40"/>
      <c r="CZ21" s="40"/>
      <c r="DA21" s="40"/>
      <c r="DB21" s="40"/>
      <c r="DC21" s="40"/>
      <c r="DD21" s="40"/>
      <c r="DE21" s="40">
        <v>14</v>
      </c>
      <c r="DF21" s="40" t="str">
        <f>'Steel Table'!C19</f>
        <v>WF-250x125x6x9 mm.</v>
      </c>
      <c r="DG21" s="40" t="str">
        <f>'Steel Table'!S19</f>
        <v>I-350x150x12x24 mm.</v>
      </c>
      <c r="DH21" s="40" t="str">
        <f>'Steel Table'!AJ19</f>
        <v>[-300x90x12x16 mm.</v>
      </c>
      <c r="DI21" s="40" t="str">
        <f>'Steel Table'!BC19</f>
        <v>Tube-50x50x4 mm.</v>
      </c>
      <c r="DJ21" s="40" t="str">
        <f>'Steel Table'!BO19</f>
        <v>Tube-100x50x4 mm.</v>
      </c>
      <c r="DK21" s="40" t="str">
        <f>'Steel Table'!CD19</f>
        <v>Pipe-D76.3x2.8 mm.</v>
      </c>
      <c r="DL21" s="40" t="str">
        <f>'Steel Table'!CO19</f>
        <v>[-100x50x20x2.3 mm.</v>
      </c>
      <c r="DM21" s="40" t="str">
        <f>'Steel Table'!AJ40</f>
        <v>2[]-300x90x12x16 mm.</v>
      </c>
      <c r="DN21" s="40" t="str">
        <f>'Steel Table'!DG19</f>
        <v>2[]-100x50x20x2.3 mm.</v>
      </c>
      <c r="DO21" s="52"/>
      <c r="DP21" s="40"/>
      <c r="DQ21" s="40"/>
      <c r="DR21" s="40"/>
      <c r="DS21" s="40"/>
      <c r="DT21" s="40"/>
      <c r="DU21" s="40"/>
      <c r="DV21" s="40"/>
      <c r="DW21" s="40"/>
      <c r="DX21" s="40"/>
    </row>
    <row r="22" spans="1:128" s="35" customFormat="1" ht="15.75" customHeight="1">
      <c r="A22" s="52"/>
      <c r="B22" s="31" t="str">
        <f>"น้ำหนักรวมตั้งฉากกับ"&amp;CI33&amp;" , (kg./m.²)"</f>
        <v>น้ำหนักรวมตั้งฉากกับจันทัน , (kg./m.²)</v>
      </c>
      <c r="K22" s="317"/>
      <c r="M22" s="36" t="s">
        <v>0</v>
      </c>
      <c r="N22" s="422">
        <f>SUM(N20:P21)</f>
        <v>130.11469715034085</v>
      </c>
      <c r="O22" s="373"/>
      <c r="P22" s="373"/>
      <c r="Q22" s="70"/>
      <c r="R22" s="70"/>
      <c r="S22" s="70"/>
      <c r="T22" s="70"/>
      <c r="U22" s="71" t="str">
        <f>"L = "&amp;ROUND(CB31,2)&amp;" m."</f>
        <v>L = 2.75 m.</v>
      </c>
      <c r="V22" s="70"/>
      <c r="W22" s="70"/>
      <c r="X22" s="70"/>
      <c r="Y22" s="80"/>
      <c r="Z22" s="52"/>
      <c r="AA22" s="40"/>
      <c r="AB22" s="99"/>
      <c r="AC22" s="333"/>
      <c r="AD22" s="333"/>
      <c r="AE22" s="333"/>
      <c r="AF22" s="333"/>
      <c r="AG22" s="333"/>
      <c r="AH22" s="153"/>
      <c r="AI22" s="153"/>
      <c r="AJ22" s="153"/>
      <c r="AK22" s="153"/>
      <c r="AL22" s="153"/>
      <c r="AM22" s="153"/>
      <c r="AN22" s="40"/>
      <c r="AO22" s="40"/>
      <c r="AP22" s="40"/>
      <c r="AQ22" s="40"/>
      <c r="AR22" s="40"/>
      <c r="BY22" s="40" t="s">
        <v>478</v>
      </c>
      <c r="BZ22" s="40"/>
      <c r="CA22" s="40" t="s">
        <v>0</v>
      </c>
      <c r="CB22" s="101">
        <f>N19*Cosθ</f>
        <v>94.53751650573248</v>
      </c>
      <c r="CC22" s="40"/>
      <c r="CD22" s="40">
        <v>10</v>
      </c>
      <c r="CE22" s="40" t="s">
        <v>70</v>
      </c>
      <c r="CF22" s="75">
        <v>5.5</v>
      </c>
      <c r="CG22" s="39">
        <v>7.012</v>
      </c>
      <c r="CH22" s="52"/>
      <c r="CI22" s="39">
        <v>248</v>
      </c>
      <c r="CJ22" s="75">
        <v>41.1</v>
      </c>
      <c r="CK22" s="40"/>
      <c r="CL22" s="40"/>
      <c r="CM22" s="39">
        <v>33</v>
      </c>
      <c r="CN22" s="39">
        <v>9.37</v>
      </c>
      <c r="CO22" s="40"/>
      <c r="CP22" s="40" t="s">
        <v>173</v>
      </c>
      <c r="CQ22" s="39">
        <f>'Steel Table'!ER73</f>
        <v>0</v>
      </c>
      <c r="CR22" s="40"/>
      <c r="CS22" s="40"/>
      <c r="CT22" s="52">
        <v>4</v>
      </c>
      <c r="CU22" s="52" t="str">
        <f>VLOOKUP(4,$DE$8:$DN$78,CV$8,TRUE)</f>
        <v>[-70x40x25x1.6 mm.</v>
      </c>
      <c r="CV22" s="104"/>
      <c r="CW22" s="40"/>
      <c r="CX22" s="40"/>
      <c r="CY22" s="40"/>
      <c r="CZ22" s="40"/>
      <c r="DA22" s="40"/>
      <c r="DB22" s="40"/>
      <c r="DC22" s="40"/>
      <c r="DD22" s="40"/>
      <c r="DE22" s="40">
        <v>15</v>
      </c>
      <c r="DF22" s="40" t="str">
        <f>'Steel Table'!C20</f>
        <v>WF-250X250x11x11 mm.</v>
      </c>
      <c r="DG22" s="40" t="str">
        <f>'Steel Table'!S20</f>
        <v>I-400x150x10x18 mm.</v>
      </c>
      <c r="DH22" s="40" t="str">
        <f>'Steel Table'!AJ20</f>
        <v>[-380x100x10.5x16 mm.</v>
      </c>
      <c r="DI22" s="40" t="str">
        <f>'Steel Table'!BC20</f>
        <v>Tube-50x50x5 mm.</v>
      </c>
      <c r="DJ22" s="40" t="str">
        <f>'Steel Table'!BO20</f>
        <v>Tube-100x50x4.5 mm.</v>
      </c>
      <c r="DK22" s="40" t="str">
        <f>'Steel Table'!CD20</f>
        <v>Pipe-D76.3x3.2 mm.</v>
      </c>
      <c r="DL22" s="40" t="str">
        <f>'Steel Table'!CO20</f>
        <v>[-100x50x20x2.8 mm.</v>
      </c>
      <c r="DM22" s="40" t="str">
        <f>'Steel Table'!AJ41</f>
        <v>2[]-380x100x10.5x16 mm.</v>
      </c>
      <c r="DN22" s="40" t="str">
        <f>'Steel Table'!DG20</f>
        <v>2[]-100x50x20x2.8 mm.</v>
      </c>
      <c r="DO22" s="52"/>
      <c r="DP22" s="40"/>
      <c r="DQ22" s="40"/>
      <c r="DR22" s="40"/>
      <c r="DS22" s="40"/>
      <c r="DT22" s="40"/>
      <c r="DU22" s="40"/>
      <c r="DV22" s="40"/>
      <c r="DW22" s="40"/>
      <c r="DX22" s="40"/>
    </row>
    <row r="23" spans="1:128" s="35" customFormat="1" ht="15.75" customHeight="1">
      <c r="A23" s="40"/>
      <c r="B23" s="34" t="str">
        <f>IF(CI29=1,CI34,IF(CI29=2,CI35))</f>
        <v>ระยะห่างของจันทัน , (m.)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75" t="s">
        <v>0</v>
      </c>
      <c r="N23" s="351">
        <v>1</v>
      </c>
      <c r="O23" s="351"/>
      <c r="P23" s="351"/>
      <c r="Q23" s="40"/>
      <c r="S23" s="40"/>
      <c r="T23" s="40"/>
      <c r="U23" s="40"/>
      <c r="V23" s="40"/>
      <c r="W23" s="40"/>
      <c r="X23" s="40"/>
      <c r="Z23" s="40"/>
      <c r="AB23" s="99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40"/>
      <c r="AO23" s="40"/>
      <c r="AP23" s="40"/>
      <c r="AQ23" s="40"/>
      <c r="AR23" s="40"/>
      <c r="BY23" s="40"/>
      <c r="BZ23" s="40"/>
      <c r="CA23" s="40"/>
      <c r="CB23" s="40"/>
      <c r="CC23" s="40"/>
      <c r="CD23" s="40">
        <v>11</v>
      </c>
      <c r="CE23" s="40" t="s">
        <v>71</v>
      </c>
      <c r="CF23" s="75">
        <v>7.51</v>
      </c>
      <c r="CG23" s="39">
        <v>9.57</v>
      </c>
      <c r="CH23" s="52"/>
      <c r="CI23" s="39">
        <v>332</v>
      </c>
      <c r="CJ23" s="75">
        <v>53.8</v>
      </c>
      <c r="CK23" s="40"/>
      <c r="CL23" s="40"/>
      <c r="CM23" s="39">
        <v>44.3</v>
      </c>
      <c r="CN23" s="39">
        <v>12.2</v>
      </c>
      <c r="CO23" s="40"/>
      <c r="CP23" s="40"/>
      <c r="CQ23" s="40"/>
      <c r="CR23" s="96"/>
      <c r="CS23" s="40"/>
      <c r="CT23" s="52">
        <v>5</v>
      </c>
      <c r="CU23" s="52" t="str">
        <f>VLOOKUP(5,$DE$8:$DN$78,CV$8,TRUE)</f>
        <v>[-70x40x25x2.3 mm.</v>
      </c>
      <c r="CV23" s="108"/>
      <c r="CW23" s="40"/>
      <c r="CX23" s="88"/>
      <c r="CY23" s="88"/>
      <c r="CZ23" s="136"/>
      <c r="DA23" s="63"/>
      <c r="DB23" s="101"/>
      <c r="DC23" s="101"/>
      <c r="DD23" s="40"/>
      <c r="DE23" s="40">
        <v>16</v>
      </c>
      <c r="DF23" s="40" t="str">
        <f>'Steel Table'!C21</f>
        <v>WF-250X250x8x13 mm.</v>
      </c>
      <c r="DG23" s="40" t="str">
        <f>'Steel Table'!S21</f>
        <v>I-400x150x12.5x25 mm.</v>
      </c>
      <c r="DH23" s="40" t="str">
        <f>'Steel Table'!AJ21</f>
        <v>[-380x100x13x16.5 mm.</v>
      </c>
      <c r="DI23" s="40" t="str">
        <f>'Steel Table'!BC21</f>
        <v>Tube-75x75x2.3 mm.</v>
      </c>
      <c r="DJ23" s="40" t="str">
        <f>'Steel Table'!BO21</f>
        <v>Tube-125x75x2.3 mm.</v>
      </c>
      <c r="DK23" s="40" t="str">
        <f>'Steel Table'!CD21</f>
        <v>Pipe-D76.3x4 mm.</v>
      </c>
      <c r="DL23" s="40" t="str">
        <f>'Steel Table'!CO21</f>
        <v>[-100x50x20x3.2 mm.</v>
      </c>
      <c r="DM23" s="40" t="str">
        <f>'Steel Table'!AJ42</f>
        <v>2[]-380x100x13x16.5 mm.</v>
      </c>
      <c r="DN23" s="40" t="str">
        <f>'Steel Table'!DG21</f>
        <v>2[]-100x50x20x3.2 mm.</v>
      </c>
      <c r="DO23" s="52"/>
      <c r="DP23" s="40"/>
      <c r="DQ23" s="40"/>
      <c r="DR23" s="40"/>
      <c r="DS23" s="40"/>
      <c r="DT23" s="40"/>
      <c r="DU23" s="40"/>
      <c r="DV23" s="40"/>
      <c r="DW23" s="40"/>
      <c r="DX23" s="40"/>
    </row>
    <row r="24" spans="1:128" s="35" customFormat="1" ht="15.75" customHeight="1">
      <c r="A24" s="40"/>
      <c r="B24" s="34" t="str">
        <f>"รวมน้ำหนักลง"&amp;CI33&amp;"ทั้งหมด , W (kg./m.)"</f>
        <v>รวมน้ำหนักลงจันทันทั้งหมด , W (kg./m.)</v>
      </c>
      <c r="C24" s="40"/>
      <c r="D24" s="40"/>
      <c r="E24" s="40"/>
      <c r="F24" s="40"/>
      <c r="G24" s="40"/>
      <c r="H24" s="40"/>
      <c r="I24" s="40"/>
      <c r="J24" s="40"/>
      <c r="K24" s="40"/>
      <c r="L24" s="39"/>
      <c r="M24" s="75" t="s">
        <v>0</v>
      </c>
      <c r="N24" s="372">
        <f>N22*N23</f>
        <v>130.11469715034085</v>
      </c>
      <c r="O24" s="396"/>
      <c r="P24" s="396"/>
      <c r="Q24" s="40"/>
      <c r="R24" s="40" t="str">
        <f>"Ra = "&amp;ROUND(CB33,2)&amp;" kg."</f>
        <v>Ra = 179.03 kg.</v>
      </c>
      <c r="S24" s="52"/>
      <c r="T24" s="39"/>
      <c r="U24" s="74"/>
      <c r="V24" s="74"/>
      <c r="W24" s="74"/>
      <c r="X24" s="52"/>
      <c r="Y24" s="40" t="str">
        <f>"Rb = "&amp;ROUND(CB34,2)&amp;" kg."</f>
        <v>Rb = 179.03 kg.</v>
      </c>
      <c r="Z24" s="40"/>
      <c r="AA24" s="40"/>
      <c r="AB24" s="99"/>
      <c r="AC24" s="152"/>
      <c r="AD24" s="152"/>
      <c r="AE24" s="152"/>
      <c r="AF24" s="152"/>
      <c r="AG24" s="152"/>
      <c r="AH24" s="153"/>
      <c r="AI24" s="153"/>
      <c r="AJ24" s="153"/>
      <c r="AK24" s="153"/>
      <c r="AL24" s="153"/>
      <c r="AM24" s="153"/>
      <c r="AN24" s="40"/>
      <c r="AO24" s="40"/>
      <c r="AP24" s="40"/>
      <c r="AQ24" s="40"/>
      <c r="AR24" s="40"/>
      <c r="BY24" s="40"/>
      <c r="BZ24" s="40"/>
      <c r="CA24" s="40"/>
      <c r="CB24" s="40"/>
      <c r="CC24" s="40"/>
      <c r="CD24" s="40">
        <v>12</v>
      </c>
      <c r="CE24" s="40" t="s">
        <v>116</v>
      </c>
      <c r="CF24" s="39">
        <v>9.85</v>
      </c>
      <c r="CG24" s="39">
        <v>12.55</v>
      </c>
      <c r="CH24" s="52"/>
      <c r="CI24" s="39">
        <v>445</v>
      </c>
      <c r="CJ24" s="75">
        <v>91</v>
      </c>
      <c r="CK24" s="40"/>
      <c r="CL24" s="40"/>
      <c r="CM24" s="93">
        <v>59.3</v>
      </c>
      <c r="CN24" s="93">
        <v>18.2</v>
      </c>
      <c r="CO24" s="40"/>
      <c r="CP24" s="40"/>
      <c r="CQ24" s="40"/>
      <c r="CR24" s="96"/>
      <c r="CS24" s="40"/>
      <c r="CT24" s="52">
        <v>6</v>
      </c>
      <c r="CU24" s="52" t="str">
        <f>VLOOKUP(6,$DE$8:$DN$78,CV$8,TRUE)</f>
        <v>[-75x45x15x1.6 mm.</v>
      </c>
      <c r="CV24" s="108"/>
      <c r="CW24" s="40"/>
      <c r="CX24" s="88"/>
      <c r="CY24" s="88"/>
      <c r="CZ24" s="63"/>
      <c r="DA24" s="63"/>
      <c r="DB24" s="101"/>
      <c r="DC24" s="101"/>
      <c r="DD24" s="101"/>
      <c r="DE24" s="40">
        <v>17</v>
      </c>
      <c r="DF24" s="40" t="str">
        <f>'Steel Table'!C22</f>
        <v>WF-250X250x9x14 mm.</v>
      </c>
      <c r="DG24" s="40" t="str">
        <f>'Steel Table'!S22</f>
        <v>I-450x175x11x20 mm.</v>
      </c>
      <c r="DH24" s="40" t="str">
        <f>'Steel Table'!AJ22</f>
        <v>[-380x100x13x20 mm.</v>
      </c>
      <c r="DI24" s="40" t="str">
        <f>'Steel Table'!BC22</f>
        <v>Tube-75x75x3.2 mm.</v>
      </c>
      <c r="DJ24" s="40" t="str">
        <f>'Steel Table'!BO22</f>
        <v>Tube-125x75x3.2 mm.</v>
      </c>
      <c r="DK24" s="40" t="str">
        <f>'Steel Table'!CD22</f>
        <v>Pipe-D89.1x2.8 mm.</v>
      </c>
      <c r="DL24" s="40" t="str">
        <f>'Steel Table'!CO22</f>
        <v>[-100x50x20x4 mm.</v>
      </c>
      <c r="DM24" s="40" t="str">
        <f>'Steel Table'!AJ43</f>
        <v>2[]-380x100x13x20 mm.</v>
      </c>
      <c r="DN24" s="40" t="str">
        <f>'Steel Table'!DG22</f>
        <v>2[]-100x50x20x4 mm.</v>
      </c>
      <c r="DO24" s="52"/>
      <c r="DP24" s="40"/>
      <c r="DQ24" s="40"/>
      <c r="DR24" s="40"/>
      <c r="DS24" s="40"/>
      <c r="DT24" s="40"/>
      <c r="DU24" s="40"/>
      <c r="DV24" s="40"/>
      <c r="DW24" s="40"/>
      <c r="DX24" s="40"/>
    </row>
    <row r="25" spans="1:128" s="35" customFormat="1" ht="15.75" customHeight="1">
      <c r="A25" s="40"/>
      <c r="N25" s="373"/>
      <c r="O25" s="373"/>
      <c r="P25" s="373"/>
      <c r="Q25" s="40"/>
      <c r="R25" s="52"/>
      <c r="S25" s="52"/>
      <c r="T25" s="39"/>
      <c r="U25" s="52"/>
      <c r="V25" s="52"/>
      <c r="W25" s="52"/>
      <c r="X25" s="52"/>
      <c r="Y25" s="52"/>
      <c r="Z25" s="40"/>
      <c r="AA25" s="40"/>
      <c r="AB25" s="99"/>
      <c r="AC25" s="152"/>
      <c r="AD25" s="152"/>
      <c r="AE25" s="152"/>
      <c r="AF25" s="152"/>
      <c r="AG25" s="152"/>
      <c r="AH25" s="153"/>
      <c r="AI25" s="153"/>
      <c r="AJ25" s="153"/>
      <c r="AK25" s="153"/>
      <c r="AL25" s="153"/>
      <c r="AM25" s="153"/>
      <c r="AN25" s="40"/>
      <c r="AO25" s="40"/>
      <c r="AP25" s="40"/>
      <c r="AQ25" s="40"/>
      <c r="AR25" s="40"/>
      <c r="BY25" s="40"/>
      <c r="BZ25" s="40"/>
      <c r="CA25" s="40"/>
      <c r="CB25" s="40"/>
      <c r="CC25" s="40"/>
      <c r="CD25" s="40">
        <v>13</v>
      </c>
      <c r="CE25" s="40" t="s">
        <v>117</v>
      </c>
      <c r="CF25" s="39">
        <v>9.52</v>
      </c>
      <c r="CG25" s="39">
        <v>12.13</v>
      </c>
      <c r="CH25" s="52"/>
      <c r="CI25" s="39">
        <v>716</v>
      </c>
      <c r="CJ25" s="75">
        <v>84.1</v>
      </c>
      <c r="CK25" s="40"/>
      <c r="CL25" s="40"/>
      <c r="CM25" s="93">
        <v>71.6</v>
      </c>
      <c r="CN25" s="75">
        <v>15.8</v>
      </c>
      <c r="CO25" s="40"/>
      <c r="CP25" s="40"/>
      <c r="CQ25" s="40"/>
      <c r="CR25" s="96"/>
      <c r="CS25" s="40"/>
      <c r="CT25" s="52">
        <v>7</v>
      </c>
      <c r="CU25" s="52" t="str">
        <f>VLOOKUP(7,$DE$8:$DN$78,CV$8,TRUE)</f>
        <v>[-75x45x15x2 mm.</v>
      </c>
      <c r="CV25" s="108"/>
      <c r="CW25" s="40"/>
      <c r="CX25" s="88"/>
      <c r="CY25" s="88"/>
      <c r="CZ25" s="63"/>
      <c r="DA25" s="63"/>
      <c r="DB25" s="101"/>
      <c r="DC25" s="101"/>
      <c r="DD25" s="101"/>
      <c r="DE25" s="40">
        <v>18</v>
      </c>
      <c r="DF25" s="40" t="str">
        <f>'Steel Table'!C23</f>
        <v>WF-250X250x14x14 mm.</v>
      </c>
      <c r="DG25" s="40" t="str">
        <f>'Steel Table'!S23</f>
        <v>I-450x175x13x26 mm.</v>
      </c>
      <c r="DH25" s="40"/>
      <c r="DI25" s="40" t="str">
        <f>'Steel Table'!BC23</f>
        <v>Tube-75x75x4 mm.</v>
      </c>
      <c r="DJ25" s="40" t="str">
        <f>'Steel Table'!BO23</f>
        <v>Tube-125x75x4 mm.</v>
      </c>
      <c r="DK25" s="40" t="str">
        <f>'Steel Table'!CD23</f>
        <v>Pipe-D89.1x3.2 mm.</v>
      </c>
      <c r="DL25" s="40" t="str">
        <f>'Steel Table'!CO23</f>
        <v>[-100x50x20x4.5 mm.</v>
      </c>
      <c r="DM25" s="40"/>
      <c r="DN25" s="40" t="str">
        <f>'Steel Table'!DG23</f>
        <v>2[]-100x50x20x4.5 mm.</v>
      </c>
      <c r="DO25" s="52"/>
      <c r="DP25" s="40"/>
      <c r="DQ25" s="40"/>
      <c r="DR25" s="40"/>
      <c r="DS25" s="40"/>
      <c r="DT25" s="40"/>
      <c r="DU25" s="40"/>
      <c r="DV25" s="40"/>
      <c r="DW25" s="40"/>
      <c r="DX25" s="40"/>
    </row>
    <row r="26" spans="1:128" s="35" customFormat="1" ht="15.75" customHeight="1">
      <c r="A26" s="52"/>
      <c r="B26" s="58" t="str">
        <f>"หาโมเมนต์ที่กระทำกับ"&amp;CI33&amp;"เหล็ก"</f>
        <v>หาโมเมนต์ที่กระทำกับจันทันเหล็ก</v>
      </c>
      <c r="N26" s="373"/>
      <c r="O26" s="373"/>
      <c r="P26" s="373"/>
      <c r="Q26" s="40"/>
      <c r="R26" s="40"/>
      <c r="S26" s="409">
        <f>ROUND(CB35,2)</f>
        <v>179.03</v>
      </c>
      <c r="T26" s="409"/>
      <c r="U26" s="40"/>
      <c r="V26" s="39"/>
      <c r="W26" s="39"/>
      <c r="X26" s="40"/>
      <c r="Y26" s="52"/>
      <c r="Z26" s="52"/>
      <c r="AA26" s="40"/>
      <c r="AB26" s="99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40"/>
      <c r="AO26" s="40"/>
      <c r="AP26" s="40"/>
      <c r="AQ26" s="40"/>
      <c r="AR26" s="40"/>
      <c r="BY26" s="40"/>
      <c r="BZ26" s="40"/>
      <c r="CA26" s="40"/>
      <c r="CB26" s="40"/>
      <c r="CC26" s="40"/>
      <c r="CD26" s="40">
        <v>14</v>
      </c>
      <c r="CE26" s="40" t="s">
        <v>118</v>
      </c>
      <c r="CF26" s="39">
        <v>11.7</v>
      </c>
      <c r="CG26" s="39">
        <v>14.95</v>
      </c>
      <c r="CH26" s="52"/>
      <c r="CI26" s="39">
        <v>871</v>
      </c>
      <c r="CJ26" s="39">
        <v>100</v>
      </c>
      <c r="CK26" s="40"/>
      <c r="CL26" s="40"/>
      <c r="CM26" s="39">
        <v>87.1</v>
      </c>
      <c r="CN26" s="39">
        <v>18.9</v>
      </c>
      <c r="CO26" s="40"/>
      <c r="CP26" s="40"/>
      <c r="CQ26" s="40"/>
      <c r="CR26" s="40"/>
      <c r="CS26" s="40"/>
      <c r="CT26" s="52">
        <v>8</v>
      </c>
      <c r="CU26" s="52" t="str">
        <f>VLOOKUP(8,$DE$8:$DN$78,CV$8,TRUE)</f>
        <v>[-75x45x15x2.3 mm.</v>
      </c>
      <c r="CV26" s="104"/>
      <c r="CW26" s="40"/>
      <c r="CX26" s="40"/>
      <c r="CY26" s="40"/>
      <c r="CZ26" s="40"/>
      <c r="DA26" s="40"/>
      <c r="DB26" s="40"/>
      <c r="DC26" s="40"/>
      <c r="DD26" s="40"/>
      <c r="DE26" s="40">
        <v>19</v>
      </c>
      <c r="DF26" s="40" t="str">
        <f>'Steel Table'!C24</f>
        <v>WF-300X150x5.5x8 mm.</v>
      </c>
      <c r="DG26" s="40" t="str">
        <f>'Steel Table'!S24</f>
        <v>I-600x190x13x25 mm.</v>
      </c>
      <c r="DH26" s="40"/>
      <c r="DI26" s="40" t="str">
        <f>'Steel Table'!BC24</f>
        <v>Tube-75x75x4.5 mm.</v>
      </c>
      <c r="DJ26" s="40" t="str">
        <f>'Steel Table'!BO24</f>
        <v>Tube-125x75x4.5 mm.</v>
      </c>
      <c r="DK26" s="40" t="str">
        <f>'Steel Table'!CD24</f>
        <v>Pipe-D101.6x3.2 mm.</v>
      </c>
      <c r="DL26" s="40" t="str">
        <f>'Steel Table'!CO24</f>
        <v>[-120x40x20x3.2 mm.</v>
      </c>
      <c r="DM26" s="40"/>
      <c r="DN26" s="40" t="str">
        <f>'Steel Table'!DG24</f>
        <v>2[]-120x40x20x3.2 mm.</v>
      </c>
      <c r="DO26" s="40"/>
      <c r="DP26" s="40"/>
      <c r="DQ26" s="40"/>
      <c r="DR26" s="40"/>
      <c r="DS26" s="40"/>
      <c r="DT26" s="40"/>
      <c r="DU26" s="40"/>
      <c r="DV26" s="40"/>
      <c r="DW26" s="40"/>
      <c r="DX26" s="40"/>
    </row>
    <row r="27" spans="1:128" s="35" customFormat="1" ht="15.75" customHeight="1">
      <c r="A27" s="52"/>
      <c r="B27" s="31" t="s">
        <v>488</v>
      </c>
      <c r="M27" s="36" t="s">
        <v>0</v>
      </c>
      <c r="N27" s="423">
        <f>CB39</f>
        <v>123.16169302136952</v>
      </c>
      <c r="O27" s="423"/>
      <c r="P27" s="423"/>
      <c r="Q27" s="40"/>
      <c r="R27" s="70"/>
      <c r="S27" s="70"/>
      <c r="T27" s="70"/>
      <c r="U27" s="70"/>
      <c r="V27" s="318"/>
      <c r="W27" s="318"/>
      <c r="X27" s="70"/>
      <c r="Y27" s="40"/>
      <c r="Z27" s="40"/>
      <c r="AA27" s="40"/>
      <c r="AB27" s="99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40"/>
      <c r="AO27" s="40"/>
      <c r="AP27" s="40"/>
      <c r="AQ27" s="40"/>
      <c r="AR27" s="40"/>
      <c r="AX27" s="40"/>
      <c r="BW27" s="373" t="str">
        <f>VLOOKUP(CB$10,CD13:CN27,2,TRUE)</f>
        <v>[-60x30x10x2.3 mm.</v>
      </c>
      <c r="BX27" s="373"/>
      <c r="BY27" s="373"/>
      <c r="BZ27" s="373"/>
      <c r="CA27" s="373"/>
      <c r="CB27" s="373"/>
      <c r="CC27" s="40"/>
      <c r="CD27" s="40">
        <v>15</v>
      </c>
      <c r="CE27" s="40" t="s">
        <v>119</v>
      </c>
      <c r="CF27" s="39">
        <v>14.9</v>
      </c>
      <c r="CG27" s="39">
        <v>18.92</v>
      </c>
      <c r="CH27" s="40"/>
      <c r="CI27" s="39">
        <v>1690</v>
      </c>
      <c r="CJ27" s="39">
        <v>129</v>
      </c>
      <c r="CK27" s="40"/>
      <c r="CL27" s="40"/>
      <c r="CM27" s="39">
        <v>135</v>
      </c>
      <c r="CN27" s="39">
        <v>23.8</v>
      </c>
      <c r="CO27" s="40"/>
      <c r="CP27" s="40"/>
      <c r="CQ27" s="40"/>
      <c r="CR27" s="40"/>
      <c r="CS27" s="40"/>
      <c r="CT27" s="52">
        <v>9</v>
      </c>
      <c r="CU27" s="52" t="str">
        <f>VLOOKUP(9,$DE$8:$DN$78,CV$8,TRUE)</f>
        <v>[-90x45x20x1.6 mm.</v>
      </c>
      <c r="CV27" s="40"/>
      <c r="CW27" s="40"/>
      <c r="CX27" s="40"/>
      <c r="CY27" s="40"/>
      <c r="CZ27" s="40"/>
      <c r="DA27" s="40"/>
      <c r="DB27" s="40"/>
      <c r="DC27" s="40"/>
      <c r="DD27" s="40"/>
      <c r="DE27" s="40">
        <v>20</v>
      </c>
      <c r="DF27" s="40" t="str">
        <f>'Steel Table'!C25</f>
        <v>WF-300X150x6.5x9 mm.</v>
      </c>
      <c r="DG27" s="40" t="str">
        <f>'Steel Table'!S25</f>
        <v>I-600x190x16x35 mm.</v>
      </c>
      <c r="DH27" s="40"/>
      <c r="DI27" s="40" t="str">
        <f>'Steel Table'!BC25</f>
        <v>Tube-100x100x2.3 mm.</v>
      </c>
      <c r="DJ27" s="40" t="str">
        <f>'Steel Table'!BO25</f>
        <v>Tube-125x75x6 mm.</v>
      </c>
      <c r="DK27" s="40" t="str">
        <f>'Steel Table'!CD25</f>
        <v>Pipe-D101.6x4 mm.</v>
      </c>
      <c r="DL27" s="40" t="str">
        <f>'Steel Table'!CO25</f>
        <v>[-120x60x25x2.3 mm.</v>
      </c>
      <c r="DM27" s="40"/>
      <c r="DN27" s="40" t="str">
        <f>'Steel Table'!DG25</f>
        <v>2[]-120x60x25x2.3 mm.</v>
      </c>
      <c r="DO27" s="40"/>
      <c r="DP27" s="40"/>
      <c r="DQ27" s="40"/>
      <c r="DR27" s="40"/>
      <c r="DS27" s="40"/>
      <c r="DT27" s="40"/>
      <c r="DU27" s="40"/>
      <c r="DV27" s="40"/>
      <c r="DW27" s="40"/>
      <c r="DX27" s="40"/>
    </row>
    <row r="28" spans="1:128" s="35" customFormat="1" ht="15.75" customHeight="1">
      <c r="A28" s="52"/>
      <c r="B28" s="34" t="str">
        <f>BU18</f>
        <v>ค่าโมดูลัสหน้าตัดที่ต้องการได้ S=Mmax/Fb , cm.³</v>
      </c>
      <c r="C28" s="40"/>
      <c r="D28" s="40"/>
      <c r="E28" s="40"/>
      <c r="F28" s="40"/>
      <c r="G28" s="40"/>
      <c r="H28" s="40"/>
      <c r="I28" s="40"/>
      <c r="J28" s="40"/>
      <c r="K28" s="40"/>
      <c r="L28" s="39"/>
      <c r="M28" s="75" t="s">
        <v>0</v>
      </c>
      <c r="N28" s="403">
        <f>(N27*100)/Fb</f>
        <v>8.552895348706217</v>
      </c>
      <c r="O28" s="403"/>
      <c r="P28" s="403"/>
      <c r="Q28" s="40"/>
      <c r="R28" s="40"/>
      <c r="S28" s="40"/>
      <c r="T28" s="40"/>
      <c r="U28" s="40"/>
      <c r="V28" s="106"/>
      <c r="W28" s="106"/>
      <c r="X28" s="40"/>
      <c r="Y28" s="40"/>
      <c r="Z28" s="40"/>
      <c r="AA28" s="40"/>
      <c r="AB28" s="99"/>
      <c r="AC28" s="405" t="s">
        <v>113</v>
      </c>
      <c r="AD28" s="406"/>
      <c r="AE28" s="406"/>
      <c r="AF28" s="406"/>
      <c r="AG28" s="406"/>
      <c r="AH28" s="407"/>
      <c r="AI28" s="153"/>
      <c r="AJ28" s="153"/>
      <c r="AK28" s="153"/>
      <c r="AL28" s="153"/>
      <c r="AM28" s="153"/>
      <c r="AN28" s="40"/>
      <c r="AO28" s="40"/>
      <c r="AP28" s="40"/>
      <c r="AQ28" s="40"/>
      <c r="AR28" s="40"/>
      <c r="BY28" s="40"/>
      <c r="BZ28" s="40" t="s">
        <v>91</v>
      </c>
      <c r="CA28" s="40"/>
      <c r="CB28" s="40">
        <f>CQ9</f>
        <v>4.06</v>
      </c>
      <c r="CC28" s="40"/>
      <c r="CD28" s="40"/>
      <c r="CE28" s="40"/>
      <c r="CF28" s="39"/>
      <c r="CG28" s="39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52">
        <v>10</v>
      </c>
      <c r="CU28" s="52" t="str">
        <f>VLOOKUP(10,$DE$8:$DN$78,CV$8,TRUE)</f>
        <v>[-90x45x20x2.3 mm.</v>
      </c>
      <c r="CV28" s="40"/>
      <c r="CW28" s="40"/>
      <c r="CX28" s="40"/>
      <c r="CY28" s="40"/>
      <c r="CZ28" s="40"/>
      <c r="DA28" s="40"/>
      <c r="DB28" s="40"/>
      <c r="DC28" s="40"/>
      <c r="DD28" s="40"/>
      <c r="DE28" s="40">
        <v>21</v>
      </c>
      <c r="DF28" s="40" t="str">
        <f>'Steel Table'!C26</f>
        <v>WF-300x200x8x12 mm.</v>
      </c>
      <c r="DG28" s="40"/>
      <c r="DH28" s="40"/>
      <c r="DI28" s="40" t="str">
        <f>'Steel Table'!BC26</f>
        <v>Tube-100x100x3.2 mm.</v>
      </c>
      <c r="DJ28" s="40" t="str">
        <f>'Steel Table'!BO26</f>
        <v>Tube-150x50x3.2 mm.</v>
      </c>
      <c r="DK28" s="40" t="str">
        <f>'Steel Table'!CD26</f>
        <v>Pipe-D114.3x3.2 mm.</v>
      </c>
      <c r="DL28" s="40" t="str">
        <f>'Steel Table'!CO26</f>
        <v>[-120x60x25x3.2 mm.</v>
      </c>
      <c r="DM28" s="40"/>
      <c r="DN28" s="40" t="str">
        <f>'Steel Table'!DG26</f>
        <v>2[]-120x60x25x3.2 mm.</v>
      </c>
      <c r="DO28" s="40"/>
      <c r="DP28" s="40"/>
      <c r="DQ28" s="40"/>
      <c r="DR28" s="40"/>
      <c r="DS28" s="40"/>
      <c r="DT28" s="40"/>
      <c r="DU28" s="40"/>
      <c r="DV28" s="40"/>
      <c r="DW28" s="40"/>
      <c r="DX28" s="40"/>
    </row>
    <row r="29" spans="1:128" s="35" customFormat="1" ht="15.75" customHeight="1">
      <c r="A29" s="52"/>
      <c r="Q29" s="40"/>
      <c r="R29" s="40"/>
      <c r="S29" s="40"/>
      <c r="T29" s="40"/>
      <c r="U29" s="40" t="s">
        <v>492</v>
      </c>
      <c r="V29" s="106"/>
      <c r="W29" s="106"/>
      <c r="X29" s="40"/>
      <c r="Y29" s="409">
        <f>ROUND(CB35,2)</f>
        <v>179.03</v>
      </c>
      <c r="Z29" s="409"/>
      <c r="AA29" s="40"/>
      <c r="AB29" s="99"/>
      <c r="AC29" s="397" t="s">
        <v>310</v>
      </c>
      <c r="AD29" s="398"/>
      <c r="AE29" s="398"/>
      <c r="AF29" s="398"/>
      <c r="AG29" s="399"/>
      <c r="AH29" s="397" t="s">
        <v>318</v>
      </c>
      <c r="AI29" s="398"/>
      <c r="AJ29" s="399"/>
      <c r="AK29" s="153"/>
      <c r="AL29" s="153"/>
      <c r="AM29" s="153"/>
      <c r="AN29" s="40"/>
      <c r="AO29" s="40"/>
      <c r="AP29" s="40"/>
      <c r="AQ29" s="40"/>
      <c r="AR29" s="40"/>
      <c r="BY29" s="40"/>
      <c r="BZ29" s="40"/>
      <c r="CA29" s="40"/>
      <c r="CB29" s="40"/>
      <c r="CC29" s="40"/>
      <c r="CD29" s="40"/>
      <c r="CE29" s="40"/>
      <c r="CF29" s="39"/>
      <c r="CG29" s="39"/>
      <c r="CH29" s="40"/>
      <c r="CI29" s="40">
        <f>VLOOKUP(AC10,CI30:CJ31,2,FALSE)</f>
        <v>1</v>
      </c>
      <c r="CJ29" s="40"/>
      <c r="CK29" s="40"/>
      <c r="CL29" s="39" t="s">
        <v>503</v>
      </c>
      <c r="CM29" s="40" t="s">
        <v>504</v>
      </c>
      <c r="CN29" s="40"/>
      <c r="CO29" s="40"/>
      <c r="CP29" s="40"/>
      <c r="CQ29" s="40"/>
      <c r="CR29" s="40"/>
      <c r="CS29" s="40"/>
      <c r="CT29" s="52">
        <v>11</v>
      </c>
      <c r="CU29" s="52" t="str">
        <f>VLOOKUP(11,$DE$8:$DN$78,CV$8,TRUE)</f>
        <v>[-90x45x20x3.2 mm.</v>
      </c>
      <c r="CV29" s="40"/>
      <c r="CW29" s="40"/>
      <c r="CX29" s="40"/>
      <c r="CY29" s="40"/>
      <c r="CZ29" s="40"/>
      <c r="DA29" s="40"/>
      <c r="DB29" s="40"/>
      <c r="DC29" s="40"/>
      <c r="DD29" s="40"/>
      <c r="DE29" s="40">
        <v>22</v>
      </c>
      <c r="DF29" s="40" t="str">
        <f>'Steel Table'!C27</f>
        <v>WF-300x200x9x14 mm.</v>
      </c>
      <c r="DG29" s="40"/>
      <c r="DH29" s="40"/>
      <c r="DI29" s="40" t="str">
        <f>'Steel Table'!BC27</f>
        <v>Tube-100x100x4 mm.</v>
      </c>
      <c r="DJ29" s="40" t="str">
        <f>'Steel Table'!BO27</f>
        <v>Tube-150x50x4.5 mm.</v>
      </c>
      <c r="DK29" s="40" t="str">
        <f>'Steel Table'!CD27</f>
        <v>Pipe-D114.3x3.5 mm.</v>
      </c>
      <c r="DL29" s="40" t="str">
        <f>'Steel Table'!CO27</f>
        <v>[-120x60x25x4.5 mm.</v>
      </c>
      <c r="DM29" s="40"/>
      <c r="DN29" s="40" t="str">
        <f>'Steel Table'!DG27</f>
        <v>2[]-120x60x25x4.5 mm.</v>
      </c>
      <c r="DO29" s="40"/>
      <c r="DP29" s="40"/>
      <c r="DQ29" s="40"/>
      <c r="DR29" s="40"/>
      <c r="DS29" s="40"/>
      <c r="DT29" s="40"/>
      <c r="DU29" s="40"/>
      <c r="DV29" s="40"/>
      <c r="DW29" s="40"/>
      <c r="DX29" s="40"/>
    </row>
    <row r="30" spans="1:128" s="35" customFormat="1" ht="15.75" customHeight="1">
      <c r="A30" s="40"/>
      <c r="B30" s="58" t="s">
        <v>500</v>
      </c>
      <c r="F30" s="425" t="str">
        <f>IF(CB10=1,"-",IF(CB10&gt;1,CW19))</f>
        <v>[-100x50x20x2.3 mm.</v>
      </c>
      <c r="G30" s="425"/>
      <c r="H30" s="425"/>
      <c r="I30" s="425"/>
      <c r="J30" s="425"/>
      <c r="K30" s="425"/>
      <c r="L30" s="319" t="str">
        <f>IF(CU8=3,CU12,IF(CU8=7,CU16,""))</f>
        <v>Light Lip Channels</v>
      </c>
      <c r="Q30" s="98"/>
      <c r="R30" s="40"/>
      <c r="S30" s="40"/>
      <c r="T30" s="40"/>
      <c r="U30" s="40" t="str">
        <f>"M(max) = "&amp;ROUND(CB39,2)&amp;" kg.-m."</f>
        <v>M(max) = 123.16 kg.-m.</v>
      </c>
      <c r="V30" s="40"/>
      <c r="W30" s="40"/>
      <c r="X30" s="40"/>
      <c r="Y30" s="40"/>
      <c r="Z30" s="40"/>
      <c r="AA30" s="40"/>
      <c r="AB30" s="99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40"/>
      <c r="AO30" s="40"/>
      <c r="AP30" s="40"/>
      <c r="AQ30" s="40"/>
      <c r="AR30" s="40"/>
      <c r="BY30" s="117">
        <f>((Mx*100)/CR12)+((My*100)/CR13)</f>
        <v>0</v>
      </c>
      <c r="BZ30" s="40"/>
      <c r="CA30" s="40"/>
      <c r="CB30" s="40"/>
      <c r="CC30" s="40"/>
      <c r="CD30" s="40"/>
      <c r="CE30" s="40"/>
      <c r="CF30" s="39"/>
      <c r="CG30" s="39"/>
      <c r="CH30" s="40"/>
      <c r="CI30" s="40" t="s">
        <v>496</v>
      </c>
      <c r="CJ30" s="40">
        <v>1</v>
      </c>
      <c r="CK30" s="40"/>
      <c r="CL30" s="40">
        <f>IF(H32&gt;N28,1,IF(H32&lt;N28,2))</f>
        <v>1</v>
      </c>
      <c r="CM30" s="40">
        <f>IF(J39&lt;N39,1,IF(J39&gt;N39,2))</f>
        <v>1</v>
      </c>
      <c r="CN30" s="40"/>
      <c r="CO30" s="40"/>
      <c r="CP30" s="40"/>
      <c r="CQ30" s="40"/>
      <c r="CR30" s="40"/>
      <c r="CS30" s="40"/>
      <c r="CT30" s="52">
        <v>12</v>
      </c>
      <c r="CU30" s="52" t="str">
        <f>VLOOKUP(12,$DE$8:$DN$78,CV$8,TRUE)</f>
        <v>[-100x50x20x1.6 mm.</v>
      </c>
      <c r="CV30" s="52"/>
      <c r="CW30" s="52"/>
      <c r="CX30" s="52"/>
      <c r="CY30" s="52"/>
      <c r="CZ30" s="40"/>
      <c r="DA30" s="40"/>
      <c r="DB30" s="40"/>
      <c r="DC30" s="40"/>
      <c r="DD30" s="40"/>
      <c r="DE30" s="40">
        <v>23</v>
      </c>
      <c r="DF30" s="40" t="str">
        <f>'Steel Table'!C28</f>
        <v>WF-300X300x12x12 mm.</v>
      </c>
      <c r="DG30" s="40"/>
      <c r="DH30" s="40"/>
      <c r="DI30" s="40" t="str">
        <f>'Steel Table'!BC28</f>
        <v>Tube-100x100x4.5 mm.</v>
      </c>
      <c r="DJ30" s="40" t="str">
        <f>'Steel Table'!BO28</f>
        <v>Tube-150x50x6.3 mm.</v>
      </c>
      <c r="DK30" s="40" t="str">
        <f>'Steel Table'!CD28</f>
        <v>Pipe-D114.3x4.5 mm.</v>
      </c>
      <c r="DL30" s="40" t="str">
        <f>'Steel Table'!CO28</f>
        <v>[-125x50x20x2.3 mm.</v>
      </c>
      <c r="DM30" s="40"/>
      <c r="DN30" s="40" t="str">
        <f>'Steel Table'!DG28</f>
        <v>2[]-125x50x20x2.3 mm.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0"/>
    </row>
    <row r="31" spans="1:128" s="35" customFormat="1" ht="15.75" customHeight="1">
      <c r="A31" s="40"/>
      <c r="F31" s="39" t="s">
        <v>87</v>
      </c>
      <c r="G31" s="39" t="s">
        <v>0</v>
      </c>
      <c r="H31" s="401">
        <f>IF(CB10=1,"-",IF(CB10&gt;1,CR10))</f>
        <v>80.7</v>
      </c>
      <c r="I31" s="401"/>
      <c r="J31" s="400" t="s">
        <v>94</v>
      </c>
      <c r="K31" s="400"/>
      <c r="L31" s="52" t="s">
        <v>88</v>
      </c>
      <c r="M31" s="39" t="s">
        <v>0</v>
      </c>
      <c r="N31" s="401">
        <f>IF(CB10=1,"-",IF(CB10&gt;1,CR11))</f>
        <v>19</v>
      </c>
      <c r="O31" s="401"/>
      <c r="P31" s="400" t="s">
        <v>94</v>
      </c>
      <c r="Q31" s="400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99"/>
      <c r="AC31" s="397" t="s">
        <v>462</v>
      </c>
      <c r="AD31" s="398"/>
      <c r="AE31" s="398"/>
      <c r="AF31" s="398"/>
      <c r="AG31" s="399"/>
      <c r="AH31" s="152"/>
      <c r="AI31" s="153"/>
      <c r="AJ31" s="153"/>
      <c r="AK31" s="153"/>
      <c r="AL31" s="153"/>
      <c r="AM31" s="153"/>
      <c r="AN31" s="40"/>
      <c r="AO31" s="40"/>
      <c r="AP31" s="40"/>
      <c r="AQ31" s="40"/>
      <c r="AR31" s="40"/>
      <c r="BY31" s="40" t="s">
        <v>120</v>
      </c>
      <c r="BZ31" s="40"/>
      <c r="CA31" s="40"/>
      <c r="CB31" s="101">
        <f>SQRT(X^2+Y^2)</f>
        <v>2.7518175811634027</v>
      </c>
      <c r="CC31" s="40"/>
      <c r="CD31" s="40"/>
      <c r="CE31" s="40"/>
      <c r="CF31" s="39"/>
      <c r="CG31" s="39"/>
      <c r="CH31" s="63"/>
      <c r="CI31" s="63" t="s">
        <v>497</v>
      </c>
      <c r="CJ31" s="40">
        <v>2</v>
      </c>
      <c r="CK31" s="40"/>
      <c r="CL31" s="40">
        <f>IF(AND(CL30=1,CM30=1),1,IF(OR(AND(CL30=1,CM30=2),AND(CL30=2,CM30=1),AND(CL30=2,CM30=2)),2))</f>
        <v>1</v>
      </c>
      <c r="CM31" s="40" t="str">
        <f>IF(CL31=1,CL33,IF(CL31=2,CL34))</f>
        <v>สามารถรองรับน้ำหนักบรรทุกได้อย่างปลอดภัย</v>
      </c>
      <c r="CN31" s="40"/>
      <c r="CO31" s="40"/>
      <c r="CP31" s="40"/>
      <c r="CQ31" s="40"/>
      <c r="CR31" s="40"/>
      <c r="CS31" s="40"/>
      <c r="CT31" s="52">
        <v>13</v>
      </c>
      <c r="CU31" s="52" t="str">
        <f>VLOOKUP(13,$DE$8:$DN$78,CV$8,TRUE)</f>
        <v>[-100x50x20x2 mm.</v>
      </c>
      <c r="CV31" s="52"/>
      <c r="CW31" s="40"/>
      <c r="CX31" s="40"/>
      <c r="CY31" s="40"/>
      <c r="CZ31" s="40"/>
      <c r="DA31" s="40"/>
      <c r="DB31" s="40"/>
      <c r="DC31" s="40"/>
      <c r="DD31" s="40"/>
      <c r="DE31" s="40">
        <v>24</v>
      </c>
      <c r="DF31" s="40" t="str">
        <f>'Steel Table'!C29</f>
        <v>WF-300X300x9x14 mm.</v>
      </c>
      <c r="DG31" s="40"/>
      <c r="DH31" s="40"/>
      <c r="DI31" s="40" t="str">
        <f>'Steel Table'!BC29</f>
        <v>Tube-100x100x6 mm.</v>
      </c>
      <c r="DJ31" s="40" t="str">
        <f>'Steel Table'!BO29</f>
        <v>Tube-200x100x4.5 mm.</v>
      </c>
      <c r="DK31" s="40" t="str">
        <f>'Steel Table'!CD29</f>
        <v>Pipe-D139.8x3.6 mm.</v>
      </c>
      <c r="DL31" s="40" t="str">
        <f>'Steel Table'!CO29</f>
        <v>[-125x50x20x3.2 mm.</v>
      </c>
      <c r="DM31" s="40"/>
      <c r="DN31" s="40" t="str">
        <f>'Steel Table'!DG29</f>
        <v>2[]-125x50x20x3.2 mm.</v>
      </c>
      <c r="DO31" s="40"/>
      <c r="DP31" s="40"/>
      <c r="DQ31" s="40"/>
      <c r="DR31" s="40"/>
      <c r="DS31" s="40"/>
      <c r="DT31" s="40"/>
      <c r="DU31" s="40"/>
      <c r="DV31" s="40"/>
      <c r="DW31" s="40"/>
      <c r="DX31" s="40"/>
    </row>
    <row r="32" spans="1:128" s="35" customFormat="1" ht="15.75" customHeight="1">
      <c r="A32" s="40"/>
      <c r="B32" s="34"/>
      <c r="C32" s="40"/>
      <c r="D32" s="40"/>
      <c r="E32" s="40"/>
      <c r="F32" s="36" t="s">
        <v>89</v>
      </c>
      <c r="G32" s="36" t="s">
        <v>0</v>
      </c>
      <c r="H32" s="423">
        <f>IF(CB10=1,"-",IF(CB10&gt;1,CR12))</f>
        <v>16</v>
      </c>
      <c r="I32" s="423"/>
      <c r="J32" s="400" t="s">
        <v>93</v>
      </c>
      <c r="K32" s="400"/>
      <c r="L32" s="52" t="s">
        <v>90</v>
      </c>
      <c r="M32" s="39" t="s">
        <v>0</v>
      </c>
      <c r="N32" s="401">
        <f>IF(CB10=1,"-",IF(CB10&gt;1,CR13))</f>
        <v>6.06</v>
      </c>
      <c r="O32" s="401"/>
      <c r="P32" s="400" t="s">
        <v>93</v>
      </c>
      <c r="Q32" s="400"/>
      <c r="R32" s="80"/>
      <c r="S32" s="80"/>
      <c r="T32" s="80"/>
      <c r="U32" s="80"/>
      <c r="V32" s="80"/>
      <c r="W32" s="80"/>
      <c r="X32" s="80"/>
      <c r="Y32" s="52"/>
      <c r="Z32" s="52"/>
      <c r="AA32" s="52"/>
      <c r="AB32" s="99"/>
      <c r="AC32" s="152"/>
      <c r="AD32" s="152"/>
      <c r="AE32" s="152"/>
      <c r="AF32" s="152"/>
      <c r="AG32" s="152"/>
      <c r="AH32" s="152"/>
      <c r="AI32" s="152"/>
      <c r="AJ32" s="152"/>
      <c r="AK32" s="153"/>
      <c r="AL32" s="153"/>
      <c r="AM32" s="153"/>
      <c r="AN32" s="40"/>
      <c r="AO32" s="40"/>
      <c r="AP32" s="40"/>
      <c r="AQ32" s="40"/>
      <c r="AR32" s="40"/>
      <c r="BY32" s="40" t="s">
        <v>394</v>
      </c>
      <c r="BZ32" s="40"/>
      <c r="CA32" s="40"/>
      <c r="CB32" s="40">
        <f>AC22/(Cosθ)</f>
        <v>0</v>
      </c>
      <c r="CC32" s="40"/>
      <c r="CD32" s="40"/>
      <c r="CE32" s="40"/>
      <c r="CF32" s="39"/>
      <c r="CG32" s="39"/>
      <c r="CH32" s="63"/>
      <c r="CI32" s="63"/>
      <c r="CJ32" s="117"/>
      <c r="CK32" s="40"/>
      <c r="CL32" s="40"/>
      <c r="CM32" s="40"/>
      <c r="CN32" s="40"/>
      <c r="CO32" s="40"/>
      <c r="CP32" s="40"/>
      <c r="CQ32" s="40"/>
      <c r="CR32" s="40"/>
      <c r="CS32" s="40"/>
      <c r="CT32" s="52">
        <v>14</v>
      </c>
      <c r="CU32" s="52" t="str">
        <f>VLOOKUP(14,$DE$8:$DN$78,CV$8,TRUE)</f>
        <v>[-100x50x20x2.3 mm.</v>
      </c>
      <c r="CV32" s="52"/>
      <c r="CW32" s="40"/>
      <c r="CX32" s="40"/>
      <c r="CY32" s="40"/>
      <c r="CZ32" s="40"/>
      <c r="DA32" s="40"/>
      <c r="DB32" s="40"/>
      <c r="DC32" s="40"/>
      <c r="DD32" s="40"/>
      <c r="DE32" s="40">
        <v>25</v>
      </c>
      <c r="DF32" s="40" t="str">
        <f>'Steel Table'!C30</f>
        <v>WF-300X300x10x15 mm.</v>
      </c>
      <c r="DG32" s="40"/>
      <c r="DH32" s="40"/>
      <c r="DI32" s="40" t="str">
        <f>'Steel Table'!BC30</f>
        <v>Tube-125x125x3.2 mm.</v>
      </c>
      <c r="DJ32" s="40" t="str">
        <f>'Steel Table'!BO30</f>
        <v>Tube-200x100x6 mm.</v>
      </c>
      <c r="DK32" s="40" t="str">
        <f>'Steel Table'!CD30</f>
        <v>Pipe-D139.8x4 mm.</v>
      </c>
      <c r="DL32" s="40" t="str">
        <f>'Steel Table'!CO30</f>
        <v>[-125x50x20x4 mm.</v>
      </c>
      <c r="DM32" s="40"/>
      <c r="DN32" s="40" t="str">
        <f>'Steel Table'!DG30</f>
        <v>2[]-125x50x20x4 mm.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</row>
    <row r="33" spans="1:128" s="35" customFormat="1" ht="15.75" customHeight="1">
      <c r="A33" s="40"/>
      <c r="C33" s="40"/>
      <c r="D33" s="40"/>
      <c r="E33" s="40"/>
      <c r="U33" s="35" t="s">
        <v>493</v>
      </c>
      <c r="X33" s="52"/>
      <c r="Y33" s="52"/>
      <c r="Z33" s="52"/>
      <c r="AA33" s="52"/>
      <c r="AB33" s="99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40"/>
      <c r="AO33" s="40"/>
      <c r="AP33" s="40"/>
      <c r="AQ33" s="40"/>
      <c r="AR33" s="40"/>
      <c r="BY33" s="40" t="s">
        <v>452</v>
      </c>
      <c r="BZ33" s="40"/>
      <c r="CA33" s="40"/>
      <c r="CB33" s="40">
        <f>(W*CB31)/2</f>
        <v>179.0259555930298</v>
      </c>
      <c r="CC33" s="40"/>
      <c r="CD33" s="40"/>
      <c r="CE33" s="40"/>
      <c r="CF33" s="39"/>
      <c r="CG33" s="39"/>
      <c r="CH33" s="63"/>
      <c r="CI33" s="63" t="str">
        <f>IF(CI29=1,CI30,IF(CI29=2,CI31))</f>
        <v>จันทัน</v>
      </c>
      <c r="CJ33" s="40"/>
      <c r="CK33" s="40"/>
      <c r="CL33" s="40" t="s">
        <v>501</v>
      </c>
      <c r="CM33" s="40"/>
      <c r="CN33" s="40"/>
      <c r="CO33" s="40"/>
      <c r="CP33" s="40"/>
      <c r="CQ33" s="40"/>
      <c r="CR33" s="40"/>
      <c r="CS33" s="40"/>
      <c r="CT33" s="52">
        <v>15</v>
      </c>
      <c r="CU33" s="52" t="str">
        <f>VLOOKUP(15,$DE$8:$DN$78,CV$8,TRUE)</f>
        <v>[-100x50x20x2.8 mm.</v>
      </c>
      <c r="CV33" s="52"/>
      <c r="CW33" s="40"/>
      <c r="CX33" s="40"/>
      <c r="CY33" s="40"/>
      <c r="CZ33" s="40"/>
      <c r="DA33" s="40"/>
      <c r="DB33" s="40"/>
      <c r="DC33" s="40"/>
      <c r="DD33" s="40"/>
      <c r="DE33" s="40">
        <v>26</v>
      </c>
      <c r="DF33" s="40" t="str">
        <f>'Steel Table'!C31</f>
        <v>WF-300X300x15x15 mm.</v>
      </c>
      <c r="DG33" s="40"/>
      <c r="DH33" s="40"/>
      <c r="DI33" s="40" t="str">
        <f>'Steel Table'!BC31</f>
        <v>Tube-125x125x4.5 mm.</v>
      </c>
      <c r="DJ33" s="40" t="str">
        <f>'Steel Table'!BO31</f>
        <v>Tube-200x100x6.3 mm.</v>
      </c>
      <c r="DK33" s="40" t="str">
        <f>'Steel Table'!CD31</f>
        <v>Pipe-D139.8x4.5 mm.</v>
      </c>
      <c r="DL33" s="40" t="str">
        <f>'Steel Table'!CO31</f>
        <v>[-125x50x20x4.5 mm.</v>
      </c>
      <c r="DM33" s="40"/>
      <c r="DN33" s="40" t="str">
        <f>'Steel Table'!DG31</f>
        <v>2[]-125x50x20x4.5 mm.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</row>
    <row r="34" spans="1:128" s="35" customFormat="1" ht="15.75" customHeight="1">
      <c r="A34" s="40"/>
      <c r="B34" s="105" t="s">
        <v>102</v>
      </c>
      <c r="C34" s="40"/>
      <c r="D34" s="40"/>
      <c r="E34" s="40"/>
      <c r="F34" s="40"/>
      <c r="G34" s="40"/>
      <c r="H34" s="40"/>
      <c r="I34" s="40"/>
      <c r="J34" s="40"/>
      <c r="K34" s="40"/>
      <c r="X34" s="52"/>
      <c r="Y34" s="52"/>
      <c r="Z34" s="52"/>
      <c r="AA34" s="52"/>
      <c r="AB34" s="99"/>
      <c r="AC34" s="152"/>
      <c r="AD34" s="152"/>
      <c r="AE34" s="152"/>
      <c r="AF34" s="152"/>
      <c r="AG34" s="152"/>
      <c r="AH34" s="155"/>
      <c r="AI34" s="156"/>
      <c r="AJ34" s="156"/>
      <c r="AK34" s="156"/>
      <c r="AL34" s="156"/>
      <c r="AM34" s="156"/>
      <c r="AN34" s="123"/>
      <c r="AO34" s="123"/>
      <c r="AP34" s="123"/>
      <c r="AQ34" s="40"/>
      <c r="AR34" s="40"/>
      <c r="BY34" s="40" t="s">
        <v>481</v>
      </c>
      <c r="BZ34" s="40"/>
      <c r="CA34" s="40"/>
      <c r="CB34" s="40">
        <f>(W*CB31)/2</f>
        <v>179.0259555930298</v>
      </c>
      <c r="CC34" s="40"/>
      <c r="CD34" s="40"/>
      <c r="CE34" s="40"/>
      <c r="CF34" s="39"/>
      <c r="CG34" s="39"/>
      <c r="CH34" s="101"/>
      <c r="CI34" s="40" t="s">
        <v>498</v>
      </c>
      <c r="CJ34" s="40"/>
      <c r="CK34" s="40"/>
      <c r="CL34" s="40" t="s">
        <v>502</v>
      </c>
      <c r="CM34" s="40"/>
      <c r="CN34" s="40"/>
      <c r="CO34" s="40"/>
      <c r="CP34" s="40"/>
      <c r="CQ34" s="40"/>
      <c r="CR34" s="40"/>
      <c r="CS34" s="40"/>
      <c r="CT34" s="52">
        <v>16</v>
      </c>
      <c r="CU34" s="52" t="str">
        <f>VLOOKUP(16,$DE$8:$DN$78,CV$8,TRUE)</f>
        <v>[-100x50x20x3.2 mm.</v>
      </c>
      <c r="CV34" s="52"/>
      <c r="CW34" s="40"/>
      <c r="CX34" s="40"/>
      <c r="CY34" s="40"/>
      <c r="CZ34" s="40"/>
      <c r="DA34" s="40"/>
      <c r="DB34" s="40"/>
      <c r="DC34" s="40"/>
      <c r="DD34" s="40"/>
      <c r="DE34" s="40">
        <v>27</v>
      </c>
      <c r="DF34" s="40" t="str">
        <f>'Steel Table'!C32</f>
        <v>WF-300X300x11x17 mm.</v>
      </c>
      <c r="DG34" s="40"/>
      <c r="DH34" s="40"/>
      <c r="DI34" s="40" t="str">
        <f>'Steel Table'!BC32</f>
        <v>Tube-125x125x5 mm.</v>
      </c>
      <c r="DJ34" s="40"/>
      <c r="DK34" s="40" t="str">
        <f>'Steel Table'!CD32</f>
        <v>Pipe-D139.8x6 mm.</v>
      </c>
      <c r="DL34" s="40" t="str">
        <f>'Steel Table'!CO32</f>
        <v>[-150x50x20x2.3 mm.</v>
      </c>
      <c r="DM34" s="40"/>
      <c r="DN34" s="40" t="str">
        <f>'Steel Table'!DG32</f>
        <v>2[]-150x50x20x2.3 mm.</v>
      </c>
      <c r="DO34" s="40"/>
      <c r="DP34" s="40"/>
      <c r="DQ34" s="40"/>
      <c r="DR34" s="40"/>
      <c r="DS34" s="40"/>
      <c r="DT34" s="40"/>
      <c r="DU34" s="40"/>
      <c r="DV34" s="40"/>
      <c r="DW34" s="40"/>
      <c r="DX34" s="40"/>
    </row>
    <row r="35" spans="1:128" s="35" customFormat="1" ht="15.75" customHeight="1">
      <c r="A35" s="40"/>
      <c r="B35" s="95" t="s">
        <v>490</v>
      </c>
      <c r="C35" s="52"/>
      <c r="D35" s="52"/>
      <c r="E35" s="52"/>
      <c r="F35" s="128"/>
      <c r="G35" s="128"/>
      <c r="H35" s="128"/>
      <c r="I35" s="129"/>
      <c r="J35" s="129"/>
      <c r="K35" s="129"/>
      <c r="L35" s="76"/>
      <c r="M35" s="39" t="s">
        <v>0</v>
      </c>
      <c r="N35" s="403">
        <f>(CB31*100)/360</f>
        <v>0.7643937725453896</v>
      </c>
      <c r="O35" s="403"/>
      <c r="P35" s="403"/>
      <c r="Q35" s="52"/>
      <c r="R35" s="52"/>
      <c r="S35" s="52"/>
      <c r="T35" s="52"/>
      <c r="U35" s="52"/>
      <c r="V35" s="52"/>
      <c r="W35" s="52" t="str">
        <f>"∆max = "&amp;ROUND(CB46,3)&amp;" cm."</f>
        <v>∆max = 0.573 cm.</v>
      </c>
      <c r="X35" s="52"/>
      <c r="Y35" s="52"/>
      <c r="Z35" s="52"/>
      <c r="AA35" s="52"/>
      <c r="AB35" s="99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52"/>
      <c r="AO35" s="52"/>
      <c r="AP35" s="52"/>
      <c r="AQ35" s="40"/>
      <c r="AR35" s="40"/>
      <c r="BY35" s="40" t="s">
        <v>482</v>
      </c>
      <c r="BZ35" s="40"/>
      <c r="CA35" s="40"/>
      <c r="CB35" s="40">
        <f>CB33</f>
        <v>179.0259555930298</v>
      </c>
      <c r="CC35" s="40"/>
      <c r="CD35" s="40"/>
      <c r="CE35" s="40"/>
      <c r="CF35" s="39"/>
      <c r="CG35" s="39"/>
      <c r="CH35" s="40"/>
      <c r="CI35" s="40" t="s">
        <v>499</v>
      </c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52">
        <v>17</v>
      </c>
      <c r="CU35" s="52" t="str">
        <f>VLOOKUP(17,$DE$8:$DN$78,CV$8,TRUE)</f>
        <v>[-100x50x20x4 mm.</v>
      </c>
      <c r="CV35" s="52"/>
      <c r="CW35" s="40"/>
      <c r="CX35" s="40"/>
      <c r="CY35" s="40"/>
      <c r="CZ35" s="40"/>
      <c r="DA35" s="40"/>
      <c r="DB35" s="40"/>
      <c r="DC35" s="40"/>
      <c r="DD35" s="40"/>
      <c r="DE35" s="40">
        <v>28</v>
      </c>
      <c r="DF35" s="40" t="str">
        <f>'Steel Table'!C33</f>
        <v>WF-350X175x6x9 mm.</v>
      </c>
      <c r="DG35" s="40"/>
      <c r="DH35" s="40"/>
      <c r="DI35" s="40" t="str">
        <f>'Steel Table'!BC33</f>
        <v>Tube-125x125x6 mm.</v>
      </c>
      <c r="DJ35" s="40"/>
      <c r="DK35" s="40" t="str">
        <f>'Steel Table'!CD33</f>
        <v>Pipe-D165.2x4.5 mm.</v>
      </c>
      <c r="DL35" s="40" t="str">
        <f>'Steel Table'!CO33</f>
        <v>[-150x50x20x3.2 mm.</v>
      </c>
      <c r="DM35" s="40"/>
      <c r="DN35" s="40" t="str">
        <f>'Steel Table'!DG33</f>
        <v>2[]-150x50x20x3.2 mm.</v>
      </c>
      <c r="DO35" s="40"/>
      <c r="DP35" s="40"/>
      <c r="DQ35" s="40"/>
      <c r="DR35" s="40"/>
      <c r="DS35" s="40"/>
      <c r="DT35" s="40"/>
      <c r="DU35" s="40"/>
      <c r="DV35" s="40"/>
      <c r="DW35" s="40"/>
      <c r="DX35" s="40"/>
    </row>
    <row r="36" spans="1:128" s="35" customFormat="1" ht="15.75" customHeight="1">
      <c r="A36" s="40"/>
      <c r="B36" s="34" t="s">
        <v>491</v>
      </c>
      <c r="C36" s="40"/>
      <c r="D36" s="40"/>
      <c r="E36" s="40"/>
      <c r="F36" s="40"/>
      <c r="G36" s="40"/>
      <c r="H36" s="40"/>
      <c r="I36" s="40"/>
      <c r="J36" s="40"/>
      <c r="K36" s="40"/>
      <c r="L36" s="39"/>
      <c r="M36" s="39" t="s">
        <v>0</v>
      </c>
      <c r="N36" s="403">
        <f>CB46</f>
        <v>0.5732589841394746</v>
      </c>
      <c r="O36" s="403"/>
      <c r="P36" s="403"/>
      <c r="Q36" s="52"/>
      <c r="R36" s="80"/>
      <c r="S36" s="70"/>
      <c r="T36" s="70"/>
      <c r="U36" s="80"/>
      <c r="V36" s="80"/>
      <c r="W36" s="80"/>
      <c r="X36" s="80"/>
      <c r="Y36" s="52"/>
      <c r="Z36" s="52"/>
      <c r="AA36" s="52"/>
      <c r="AB36" s="99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40"/>
      <c r="AO36" s="40"/>
      <c r="AP36" s="40"/>
      <c r="AQ36" s="40"/>
      <c r="AR36" s="40"/>
      <c r="BY36" s="40"/>
      <c r="BZ36" s="40"/>
      <c r="CA36" s="40"/>
      <c r="CB36" s="40"/>
      <c r="CC36" s="40"/>
      <c r="CD36" s="40"/>
      <c r="CE36" s="40"/>
      <c r="CF36" s="39"/>
      <c r="CG36" s="39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52">
        <v>18</v>
      </c>
      <c r="CU36" s="52" t="str">
        <f>VLOOKUP(18,$DE$8:$DN$78,CV$8,TRUE)</f>
        <v>[-100x50x20x4.5 mm.</v>
      </c>
      <c r="CV36" s="52"/>
      <c r="CW36" s="40"/>
      <c r="CX36" s="40"/>
      <c r="CY36" s="40"/>
      <c r="CZ36" s="40"/>
      <c r="DA36" s="40"/>
      <c r="DB36" s="40"/>
      <c r="DC36" s="40"/>
      <c r="DD36" s="40"/>
      <c r="DE36" s="40">
        <v>29</v>
      </c>
      <c r="DF36" s="40" t="str">
        <f>'Steel Table'!C34</f>
        <v>WF-350X175x7x11 mm.</v>
      </c>
      <c r="DG36" s="40"/>
      <c r="DH36" s="40"/>
      <c r="DI36" s="40" t="str">
        <f>'Steel Table'!BC34</f>
        <v>Tube-150x150x4.5 mm.</v>
      </c>
      <c r="DJ36" s="40"/>
      <c r="DK36" s="40" t="str">
        <f>'Steel Table'!CD34</f>
        <v>Pipe-D165.2x5 mm.</v>
      </c>
      <c r="DL36" s="40" t="str">
        <f>'Steel Table'!CO34</f>
        <v>[-150x50x20x4.5 mm.</v>
      </c>
      <c r="DM36" s="40"/>
      <c r="DN36" s="40" t="str">
        <f>'Steel Table'!DG34</f>
        <v>2[]-150x50x20x4.5 mm.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</row>
    <row r="37" spans="1:128" s="35" customFormat="1" ht="15.75" customHeight="1">
      <c r="A37" s="40"/>
      <c r="C37" s="52"/>
      <c r="D37" s="52"/>
      <c r="E37" s="52"/>
      <c r="F37" s="128"/>
      <c r="G37" s="128"/>
      <c r="H37" s="128"/>
      <c r="I37" s="129"/>
      <c r="J37" s="130"/>
      <c r="K37" s="130"/>
      <c r="L37" s="76"/>
      <c r="M37" s="131"/>
      <c r="N37" s="39"/>
      <c r="O37" s="63"/>
      <c r="P37" s="39"/>
      <c r="Q37" s="52"/>
      <c r="R37" s="63"/>
      <c r="S37" s="63"/>
      <c r="T37" s="63"/>
      <c r="U37" s="52"/>
      <c r="V37" s="52"/>
      <c r="W37" s="52"/>
      <c r="X37" s="52"/>
      <c r="Y37" s="52"/>
      <c r="Z37" s="52"/>
      <c r="AA37" s="52"/>
      <c r="AB37" s="99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40"/>
      <c r="AO37" s="40"/>
      <c r="AP37" s="40"/>
      <c r="AQ37" s="40"/>
      <c r="AR37" s="40"/>
      <c r="BY37" s="40"/>
      <c r="BZ37" s="40"/>
      <c r="CA37" s="40"/>
      <c r="CB37" s="40"/>
      <c r="CC37" s="40"/>
      <c r="CD37" s="40"/>
      <c r="CE37" s="40"/>
      <c r="CF37" s="39"/>
      <c r="CG37" s="39"/>
      <c r="CH37" s="40"/>
      <c r="CI37" s="40" t="str">
        <f>CI33&amp;"เหล็ก "&amp;CW19&amp;" @ "&amp;ROUND(N23,2)&amp;" m. "&amp;CM31</f>
        <v>จันทันเหล็ก [-100x50x20x2.3 mm. @ 1 m. สามารถรองรับน้ำหนักบรรทุกได้อย่างปลอดภัย</v>
      </c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52">
        <v>19</v>
      </c>
      <c r="CU37" s="52" t="str">
        <f>VLOOKUP(19,$DE$8:$DN$78,CV$8,TRUE)</f>
        <v>[-120x40x20x3.2 mm.</v>
      </c>
      <c r="CV37" s="52"/>
      <c r="CW37" s="40"/>
      <c r="CX37" s="40"/>
      <c r="CY37" s="40"/>
      <c r="CZ37" s="40"/>
      <c r="DA37" s="40"/>
      <c r="DB37" s="40"/>
      <c r="DC37" s="40"/>
      <c r="DD37" s="40"/>
      <c r="DE37" s="40">
        <v>30</v>
      </c>
      <c r="DF37" s="40" t="str">
        <f>'Steel Table'!C35</f>
        <v>WF-350X175x8x13 mm.</v>
      </c>
      <c r="DG37" s="40"/>
      <c r="DH37" s="40"/>
      <c r="DI37" s="40" t="str">
        <f>'Steel Table'!BC35</f>
        <v>Tube-150x150x5 mm.</v>
      </c>
      <c r="DJ37" s="40"/>
      <c r="DK37" s="40" t="str">
        <f>'Steel Table'!CD35</f>
        <v>Pipe-D165.2x6 mm.</v>
      </c>
      <c r="DL37" s="40" t="str">
        <f>'Steel Table'!CO35</f>
        <v>[-150x65x20x2.3 mm.</v>
      </c>
      <c r="DM37" s="40"/>
      <c r="DN37" s="40" t="str">
        <f>'Steel Table'!DG35</f>
        <v>2[]-150x65x20x2.3 mm.</v>
      </c>
      <c r="DO37" s="40"/>
      <c r="DP37" s="40"/>
      <c r="DQ37" s="40"/>
      <c r="DR37" s="40"/>
      <c r="DS37" s="40"/>
      <c r="DT37" s="40"/>
      <c r="DU37" s="40"/>
      <c r="DV37" s="40"/>
      <c r="DW37" s="40"/>
      <c r="DX37" s="40"/>
    </row>
    <row r="38" spans="1:128" s="35" customFormat="1" ht="15.75" customHeight="1">
      <c r="A38" s="40"/>
      <c r="B38" s="52"/>
      <c r="J38" s="396" t="s">
        <v>107</v>
      </c>
      <c r="K38" s="396"/>
      <c r="L38" s="396"/>
      <c r="M38" s="40"/>
      <c r="N38" s="396" t="s">
        <v>108</v>
      </c>
      <c r="O38" s="396"/>
      <c r="P38" s="396"/>
      <c r="Q38" s="52"/>
      <c r="R38" s="63"/>
      <c r="S38" s="63"/>
      <c r="T38" s="63"/>
      <c r="U38" s="39" t="s">
        <v>494</v>
      </c>
      <c r="V38" s="52"/>
      <c r="W38" s="52"/>
      <c r="X38" s="52"/>
      <c r="Y38" s="52"/>
      <c r="Z38" s="52"/>
      <c r="AA38" s="52"/>
      <c r="AB38" s="99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40"/>
      <c r="AO38" s="40"/>
      <c r="AP38" s="40"/>
      <c r="AQ38" s="40"/>
      <c r="AR38" s="40"/>
      <c r="BY38" s="40" t="s">
        <v>457</v>
      </c>
      <c r="BZ38" s="40"/>
      <c r="CA38" s="40"/>
      <c r="CB38" s="40">
        <f>((CB31/2)*(1-(CB32^2/CB31^2)))</f>
        <v>1.3759087905817013</v>
      </c>
      <c r="CC38" s="40"/>
      <c r="CD38" s="40"/>
      <c r="CE38" s="101">
        <f>CB31-CB38</f>
        <v>1.3759087905817013</v>
      </c>
      <c r="CF38" s="39"/>
      <c r="CG38" s="39"/>
      <c r="CH38" s="40"/>
      <c r="CI38" s="40" t="str">
        <f>CI33&amp;"เหล็ก "&amp;CW19&amp;" "&amp;CM31</f>
        <v>จันทันเหล็ก [-100x50x20x2.3 mm. สามารถรองรับน้ำหนักบรรทุกได้อย่างปลอดภัย</v>
      </c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52">
        <v>20</v>
      </c>
      <c r="CU38" s="52" t="str">
        <f>VLOOKUP(20,$DE$8:$DN$78,CV$8,TRUE)</f>
        <v>[-120x60x25x2.3 mm.</v>
      </c>
      <c r="CV38" s="40"/>
      <c r="CW38" s="40"/>
      <c r="CX38" s="40"/>
      <c r="CY38" s="40"/>
      <c r="CZ38" s="40"/>
      <c r="DA38" s="40"/>
      <c r="DB38" s="40"/>
      <c r="DC38" s="40"/>
      <c r="DD38" s="40"/>
      <c r="DE38" s="40">
        <v>31</v>
      </c>
      <c r="DF38" s="40" t="str">
        <f>'Steel Table'!C36</f>
        <v>WF-350x250x8x12 mm.</v>
      </c>
      <c r="DG38" s="40"/>
      <c r="DH38" s="40"/>
      <c r="DI38" s="40" t="str">
        <f>'Steel Table'!BC36</f>
        <v>Tube-150x150x6 mm.</v>
      </c>
      <c r="DJ38" s="40"/>
      <c r="DK38" s="40" t="str">
        <f>'Steel Table'!CD36</f>
        <v>Pipe-D165.2x7.1 mm.</v>
      </c>
      <c r="DL38" s="40" t="str">
        <f>'Steel Table'!CO36</f>
        <v>[-150x65x20x3.2 mm.</v>
      </c>
      <c r="DM38" s="40"/>
      <c r="DN38" s="40" t="str">
        <f>'Steel Table'!DG36</f>
        <v>2[]-150x65x20x3.2 mm.</v>
      </c>
      <c r="DO38" s="40"/>
      <c r="DP38" s="40"/>
      <c r="DQ38" s="40"/>
      <c r="DR38" s="40"/>
      <c r="DS38" s="40"/>
      <c r="DT38" s="40"/>
      <c r="DU38" s="40"/>
      <c r="DV38" s="40"/>
      <c r="DW38" s="40"/>
      <c r="DX38" s="40"/>
    </row>
    <row r="39" spans="1:128" s="35" customFormat="1" ht="15.75" customHeight="1">
      <c r="A39" s="40"/>
      <c r="B39" s="34" t="s">
        <v>106</v>
      </c>
      <c r="C39" s="95"/>
      <c r="D39" s="52"/>
      <c r="E39" s="52"/>
      <c r="F39" s="128"/>
      <c r="G39" s="128"/>
      <c r="H39" s="128"/>
      <c r="I39" s="321"/>
      <c r="J39" s="401">
        <f>IF(CB10=1,"-",IF(CB10&gt;1,N36))</f>
        <v>0.5732589841394746</v>
      </c>
      <c r="K39" s="402"/>
      <c r="L39" s="402"/>
      <c r="M39" s="39" t="str">
        <f>IF(J39&lt;=N39,"&lt;",IF(J39&gt;N39,"&gt;"))</f>
        <v>&lt;</v>
      </c>
      <c r="N39" s="403">
        <f>N35</f>
        <v>0.7643937725453896</v>
      </c>
      <c r="O39" s="396"/>
      <c r="P39" s="396"/>
      <c r="Q39" s="396" t="str">
        <f>IF(J39&lt;=N39,"Ok.",IF(J39&gt;N39,"Not. Ok."))</f>
        <v>Ok.</v>
      </c>
      <c r="R39" s="396"/>
      <c r="S39" s="134"/>
      <c r="T39" s="134"/>
      <c r="V39" s="52"/>
      <c r="W39" s="40"/>
      <c r="X39" s="40"/>
      <c r="Y39" s="40"/>
      <c r="Z39" s="40"/>
      <c r="AA39" s="40"/>
      <c r="AB39" s="40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40"/>
      <c r="AO39" s="40"/>
      <c r="AP39" s="40"/>
      <c r="AQ39" s="40"/>
      <c r="AR39" s="40"/>
      <c r="BY39" s="40" t="s">
        <v>458</v>
      </c>
      <c r="BZ39" s="40"/>
      <c r="CA39" s="40"/>
      <c r="CB39" s="40">
        <f>(W*CB31^2)/8</f>
        <v>123.16169302136952</v>
      </c>
      <c r="CC39" s="40"/>
      <c r="CD39" s="101"/>
      <c r="CE39" s="40"/>
      <c r="CF39" s="39"/>
      <c r="CG39" s="39"/>
      <c r="CH39" s="40"/>
      <c r="CI39" s="39"/>
      <c r="CJ39" s="135"/>
      <c r="CK39" s="40"/>
      <c r="CL39" s="40"/>
      <c r="CM39" s="40"/>
      <c r="CN39" s="40"/>
      <c r="CO39" s="40"/>
      <c r="CP39" s="40"/>
      <c r="CQ39" s="40"/>
      <c r="CR39" s="40"/>
      <c r="CS39" s="40"/>
      <c r="CT39" s="52">
        <v>21</v>
      </c>
      <c r="CU39" s="52" t="str">
        <f>VLOOKUP(21,$DE$8:$DN$78,CV$8,TRUE)</f>
        <v>[-120x60x25x3.2 mm.</v>
      </c>
      <c r="CV39" s="40"/>
      <c r="CW39" s="40"/>
      <c r="CX39" s="40"/>
      <c r="CY39" s="40"/>
      <c r="CZ39" s="40"/>
      <c r="DA39" s="40"/>
      <c r="DB39" s="40"/>
      <c r="DC39" s="40"/>
      <c r="DD39" s="40"/>
      <c r="DE39" s="40">
        <v>32</v>
      </c>
      <c r="DF39" s="40" t="str">
        <f>'Steel Table'!C37</f>
        <v>WF-350x250x9x14 mm.</v>
      </c>
      <c r="DG39" s="40"/>
      <c r="DH39" s="40"/>
      <c r="DI39" s="40" t="str">
        <f>'Steel Table'!BC37</f>
        <v>Tube-150x150x6.3 mm.</v>
      </c>
      <c r="DJ39" s="40"/>
      <c r="DK39" s="40" t="str">
        <f>'Steel Table'!CD37</f>
        <v>Pipe-D216.3x4.5 mm.</v>
      </c>
      <c r="DL39" s="40" t="str">
        <f>'Steel Table'!CO37</f>
        <v>[-150x65x20x4 mm.</v>
      </c>
      <c r="DM39" s="40"/>
      <c r="DN39" s="40" t="str">
        <f>'Steel Table'!DG37</f>
        <v>2[]-150x65x20x4 mm.</v>
      </c>
      <c r="DO39" s="40"/>
      <c r="DP39" s="40"/>
      <c r="DQ39" s="40"/>
      <c r="DR39" s="40"/>
      <c r="DS39" s="40"/>
      <c r="DT39" s="40"/>
      <c r="DU39" s="40"/>
      <c r="DV39" s="40"/>
      <c r="DW39" s="40"/>
      <c r="DX39" s="40"/>
    </row>
    <row r="40" spans="1:128" s="35" customFormat="1" ht="15.75" customHeight="1">
      <c r="A40" s="40"/>
      <c r="B40" s="52"/>
      <c r="C40" s="52"/>
      <c r="D40" s="52"/>
      <c r="E40" s="52"/>
      <c r="F40" s="128"/>
      <c r="G40" s="128"/>
      <c r="H40" s="128"/>
      <c r="I40" s="129"/>
      <c r="J40" s="129"/>
      <c r="K40" s="129"/>
      <c r="L40" s="76"/>
      <c r="M40" s="131"/>
      <c r="N40" s="131"/>
      <c r="O40" s="131"/>
      <c r="P40" s="40"/>
      <c r="Q40" s="40"/>
      <c r="R40" s="34"/>
      <c r="S40" s="34"/>
      <c r="T40" s="34"/>
      <c r="V40" s="34"/>
      <c r="W40" s="34"/>
      <c r="X40" s="34"/>
      <c r="Y40" s="34"/>
      <c r="Z40" s="34"/>
      <c r="AA40" s="40"/>
      <c r="AB40" s="40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40"/>
      <c r="AO40" s="40"/>
      <c r="AP40" s="40"/>
      <c r="AQ40" s="40"/>
      <c r="AR40" s="40"/>
      <c r="BY40" s="40"/>
      <c r="BZ40" s="40"/>
      <c r="CA40" s="40"/>
      <c r="CB40" s="88"/>
      <c r="CC40" s="40"/>
      <c r="CD40" s="117"/>
      <c r="CE40" s="40"/>
      <c r="CF40" s="39"/>
      <c r="CG40" s="39"/>
      <c r="CH40" s="40"/>
      <c r="CI40" s="39"/>
      <c r="CJ40" s="135"/>
      <c r="CK40" s="40"/>
      <c r="CL40" s="40"/>
      <c r="CM40" s="40"/>
      <c r="CN40" s="40"/>
      <c r="CO40" s="40"/>
      <c r="CP40" s="92"/>
      <c r="CQ40" s="40"/>
      <c r="CR40" s="40"/>
      <c r="CS40" s="40"/>
      <c r="CT40" s="52">
        <v>22</v>
      </c>
      <c r="CU40" s="52" t="str">
        <f>VLOOKUP(22,$DE$8:$DN$78,CV$8,TRUE)</f>
        <v>[-120x60x25x4.5 mm.</v>
      </c>
      <c r="CV40" s="40"/>
      <c r="CW40" s="40"/>
      <c r="CX40" s="40"/>
      <c r="CY40" s="40"/>
      <c r="CZ40" s="40"/>
      <c r="DA40" s="40"/>
      <c r="DB40" s="40"/>
      <c r="DC40" s="40"/>
      <c r="DD40" s="40"/>
      <c r="DE40" s="40">
        <v>33</v>
      </c>
      <c r="DF40" s="40" t="str">
        <f>'Steel Table'!C38</f>
        <v>WF-350X350x13x13 mm.</v>
      </c>
      <c r="DG40" s="40"/>
      <c r="DH40" s="40"/>
      <c r="DI40" s="40"/>
      <c r="DJ40" s="40"/>
      <c r="DK40" s="40" t="str">
        <f>'Steel Table'!CD38</f>
        <v>Pipe-D216.3x5.8 mm.</v>
      </c>
      <c r="DL40" s="40" t="str">
        <f>'Steel Table'!CO38</f>
        <v>[-150x75x20x3.2 mm.</v>
      </c>
      <c r="DM40" s="40"/>
      <c r="DN40" s="40" t="str">
        <f>'Steel Table'!DG38</f>
        <v>2[]-150x75x20x3.2 mm.</v>
      </c>
      <c r="DO40" s="40"/>
      <c r="DP40" s="40"/>
      <c r="DQ40" s="40"/>
      <c r="DR40" s="40"/>
      <c r="DS40" s="40"/>
      <c r="DT40" s="40"/>
      <c r="DU40" s="40"/>
      <c r="DV40" s="40"/>
      <c r="DW40" s="40"/>
      <c r="DX40" s="40"/>
    </row>
    <row r="41" spans="1:128" s="35" customFormat="1" ht="15.75" customHeight="1">
      <c r="A41" s="40"/>
      <c r="C41" s="52"/>
      <c r="D41" s="52"/>
      <c r="E41" s="52"/>
      <c r="F41" s="128"/>
      <c r="G41" s="128"/>
      <c r="H41" s="128"/>
      <c r="I41" s="129"/>
      <c r="J41" s="129"/>
      <c r="K41" s="129"/>
      <c r="L41" s="76"/>
      <c r="M41" s="131"/>
      <c r="N41" s="131"/>
      <c r="O41" s="131"/>
      <c r="P41" s="40"/>
      <c r="Q41" s="40"/>
      <c r="R41" s="40"/>
      <c r="S41" s="40"/>
      <c r="T41" s="40"/>
      <c r="V41" s="40"/>
      <c r="W41" s="40"/>
      <c r="X41" s="40"/>
      <c r="Y41" s="40"/>
      <c r="Z41" s="40"/>
      <c r="AA41" s="40"/>
      <c r="AB41" s="40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40"/>
      <c r="AO41" s="40"/>
      <c r="AP41" s="40"/>
      <c r="AQ41" s="40"/>
      <c r="AR41" s="40"/>
      <c r="BY41" s="40"/>
      <c r="BZ41" s="40"/>
      <c r="CA41" s="40"/>
      <c r="CB41" s="40"/>
      <c r="CC41" s="40"/>
      <c r="CD41" s="101"/>
      <c r="CE41" s="40"/>
      <c r="CF41" s="39"/>
      <c r="CG41" s="39"/>
      <c r="CH41" s="40"/>
      <c r="CI41" s="39"/>
      <c r="CJ41" s="135"/>
      <c r="CK41" s="40"/>
      <c r="CL41" s="40"/>
      <c r="CM41" s="40"/>
      <c r="CN41" s="40"/>
      <c r="CO41" s="40"/>
      <c r="CP41" s="40"/>
      <c r="CQ41" s="40"/>
      <c r="CR41" s="40"/>
      <c r="CS41" s="40"/>
      <c r="CT41" s="52">
        <v>23</v>
      </c>
      <c r="CU41" s="52" t="str">
        <f>VLOOKUP(23,$DE$8:$DN$78,CV$8,TRUE)</f>
        <v>[-125x50x20x2.3 mm.</v>
      </c>
      <c r="CV41" s="40"/>
      <c r="CW41" s="40"/>
      <c r="CX41" s="40"/>
      <c r="CY41" s="40"/>
      <c r="CZ41" s="40"/>
      <c r="DA41" s="40"/>
      <c r="DB41" s="40"/>
      <c r="DC41" s="40"/>
      <c r="DD41" s="40"/>
      <c r="DE41" s="40">
        <v>34</v>
      </c>
      <c r="DF41" s="40" t="str">
        <f>'Steel Table'!C39</f>
        <v>WF-350X350x10x16 mm.</v>
      </c>
      <c r="DG41" s="40"/>
      <c r="DH41" s="40"/>
      <c r="DI41" s="40"/>
      <c r="DJ41" s="40"/>
      <c r="DK41" s="40" t="str">
        <f>'Steel Table'!CD39</f>
        <v>Pipe-D216.3x7 mm.</v>
      </c>
      <c r="DL41" s="40" t="str">
        <f>'Steel Table'!CO39</f>
        <v>[-150x75x20x4 mm.</v>
      </c>
      <c r="DM41" s="40"/>
      <c r="DN41" s="40" t="str">
        <f>'Steel Table'!DG39</f>
        <v>2[]-150x75x20x4 mm.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0"/>
    </row>
    <row r="42" spans="1:128" s="35" customFormat="1" ht="15.75" customHeight="1">
      <c r="A42" s="40"/>
      <c r="B42" s="322" t="s">
        <v>380</v>
      </c>
      <c r="C42" s="31" t="str">
        <f>IF(CI29=1,CI37,IF(CI29=2,CI38))</f>
        <v>จันทันเหล็ก [-100x50x20x2.3 mm. @ 1 m. สามารถรองรับน้ำหนักบรรทุกได้อย่างปลอดภัย</v>
      </c>
      <c r="S42" s="34"/>
      <c r="T42" s="323"/>
      <c r="U42" s="95"/>
      <c r="V42" s="95"/>
      <c r="W42" s="95"/>
      <c r="X42" s="95"/>
      <c r="Y42" s="95"/>
      <c r="Z42" s="95"/>
      <c r="AA42" s="40"/>
      <c r="AB42" s="40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40"/>
      <c r="AO42" s="40"/>
      <c r="AP42" s="40"/>
      <c r="AQ42" s="40"/>
      <c r="AR42" s="40"/>
      <c r="BY42" s="40"/>
      <c r="BZ42" s="40"/>
      <c r="CA42" s="40"/>
      <c r="CB42" s="40"/>
      <c r="CC42" s="40"/>
      <c r="CD42" s="117"/>
      <c r="CE42" s="40"/>
      <c r="CF42" s="39"/>
      <c r="CG42" s="39"/>
      <c r="CH42" s="40"/>
      <c r="CI42" s="39"/>
      <c r="CJ42" s="84"/>
      <c r="CK42" s="40"/>
      <c r="CL42" s="40"/>
      <c r="CM42" s="40"/>
      <c r="CN42" s="40"/>
      <c r="CO42" s="40"/>
      <c r="CP42" s="40"/>
      <c r="CQ42" s="40"/>
      <c r="CR42" s="40"/>
      <c r="CS42" s="40"/>
      <c r="CT42" s="52">
        <v>24</v>
      </c>
      <c r="CU42" s="52" t="str">
        <f>VLOOKUP(24,$DE$8:$DN$78,CV$8,TRUE)</f>
        <v>[-125x50x20x3.2 mm.</v>
      </c>
      <c r="CV42" s="40"/>
      <c r="CW42" s="40"/>
      <c r="CX42" s="40"/>
      <c r="CY42" s="40"/>
      <c r="CZ42" s="40"/>
      <c r="DA42" s="40"/>
      <c r="DB42" s="40"/>
      <c r="DC42" s="40"/>
      <c r="DD42" s="40"/>
      <c r="DE42" s="40">
        <v>35</v>
      </c>
      <c r="DF42" s="40" t="str">
        <f>'Steel Table'!C40</f>
        <v>WF-350X350x16x16 mm.</v>
      </c>
      <c r="DG42" s="40"/>
      <c r="DH42" s="40"/>
      <c r="DI42" s="40"/>
      <c r="DJ42" s="40"/>
      <c r="DK42" s="40" t="str">
        <f>'Steel Table'!CD40</f>
        <v>Pipe-D216.3x8.2 mm.</v>
      </c>
      <c r="DL42" s="40" t="str">
        <f>'Steel Table'!CO40</f>
        <v>[-150x75x20x4.5 mm.</v>
      </c>
      <c r="DM42" s="40"/>
      <c r="DN42" s="40" t="str">
        <f>'Steel Table'!DG40</f>
        <v>2[]-150x75x20x4.5 mm.</v>
      </c>
      <c r="DO42" s="40"/>
      <c r="DP42" s="40"/>
      <c r="DQ42" s="40"/>
      <c r="DR42" s="40"/>
      <c r="DS42" s="40"/>
      <c r="DT42" s="40"/>
      <c r="DU42" s="40"/>
      <c r="DV42" s="40"/>
      <c r="DW42" s="40"/>
      <c r="DX42" s="40"/>
    </row>
    <row r="43" spans="1:128" s="35" customFormat="1" ht="15.75" customHeight="1">
      <c r="A43" s="40"/>
      <c r="S43" s="34"/>
      <c r="T43" s="323"/>
      <c r="U43" s="95"/>
      <c r="V43" s="95"/>
      <c r="W43" s="95"/>
      <c r="X43" s="95"/>
      <c r="Y43" s="95"/>
      <c r="Z43" s="95"/>
      <c r="AA43" s="40"/>
      <c r="AB43" s="40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40"/>
      <c r="AO43" s="40"/>
      <c r="AP43" s="40"/>
      <c r="AQ43" s="40"/>
      <c r="AR43" s="40"/>
      <c r="BY43" s="132" t="s">
        <v>422</v>
      </c>
      <c r="BZ43" s="40" t="s">
        <v>0</v>
      </c>
      <c r="CA43" s="40"/>
      <c r="CB43" s="40">
        <f>W/100</f>
        <v>1.3011469715034085</v>
      </c>
      <c r="CC43" s="40"/>
      <c r="CD43" s="101"/>
      <c r="CE43" s="40"/>
      <c r="CF43" s="39"/>
      <c r="CG43" s="39"/>
      <c r="CH43" s="40"/>
      <c r="CI43" s="40"/>
      <c r="CJ43" s="39"/>
      <c r="CK43" s="40"/>
      <c r="CL43" s="40"/>
      <c r="CM43" s="40"/>
      <c r="CN43" s="40"/>
      <c r="CO43" s="40"/>
      <c r="CP43" s="40"/>
      <c r="CQ43" s="40"/>
      <c r="CR43" s="40"/>
      <c r="CS43" s="40"/>
      <c r="CT43" s="52">
        <v>25</v>
      </c>
      <c r="CU43" s="52" t="str">
        <f>VLOOKUP(25,$DE$8:$DN$78,CV$8,TRUE)</f>
        <v>[-125x50x20x4 mm.</v>
      </c>
      <c r="CV43" s="40"/>
      <c r="CW43" s="40"/>
      <c r="CX43" s="40"/>
      <c r="CY43" s="40"/>
      <c r="CZ43" s="40"/>
      <c r="DA43" s="40"/>
      <c r="DB43" s="40"/>
      <c r="DC43" s="40"/>
      <c r="DD43" s="40"/>
      <c r="DE43" s="40">
        <v>36</v>
      </c>
      <c r="DF43" s="40" t="str">
        <f>'Steel Table'!C41</f>
        <v>WF-350X350x12x19 mm.</v>
      </c>
      <c r="DG43" s="40"/>
      <c r="DH43" s="40"/>
      <c r="DI43" s="40"/>
      <c r="DJ43" s="40"/>
      <c r="DK43" s="40"/>
      <c r="DL43" s="40" t="str">
        <f>'Steel Table'!CO41</f>
        <v>[-150x75x25x3.2 mm.</v>
      </c>
      <c r="DM43" s="40"/>
      <c r="DN43" s="40" t="str">
        <f>'Steel Table'!DG41</f>
        <v>2[]-150x75x25x3.2 mm.</v>
      </c>
      <c r="DO43" s="40"/>
      <c r="DP43" s="40"/>
      <c r="DQ43" s="40"/>
      <c r="DR43" s="40"/>
      <c r="DS43" s="40"/>
      <c r="DT43" s="40"/>
      <c r="DU43" s="40"/>
      <c r="DV43" s="40"/>
      <c r="DW43" s="40"/>
      <c r="DX43" s="40"/>
    </row>
    <row r="44" spans="1:128" s="35" customFormat="1" ht="15.75" customHeight="1">
      <c r="A44" s="40"/>
      <c r="B44" s="34"/>
      <c r="C44" s="40"/>
      <c r="D44" s="40"/>
      <c r="E44" s="40"/>
      <c r="F44" s="40"/>
      <c r="G44" s="40"/>
      <c r="H44" s="40"/>
      <c r="I44" s="40"/>
      <c r="J44" s="40"/>
      <c r="K44" s="40"/>
      <c r="L44" s="39"/>
      <c r="M44" s="40"/>
      <c r="U44" s="40"/>
      <c r="V44" s="40"/>
      <c r="W44" s="40"/>
      <c r="X44" s="40"/>
      <c r="Y44" s="39"/>
      <c r="Z44" s="40"/>
      <c r="AA44" s="40"/>
      <c r="AB44" s="40"/>
      <c r="AC44" s="155"/>
      <c r="AD44" s="155"/>
      <c r="AE44" s="155"/>
      <c r="AF44" s="155"/>
      <c r="AG44" s="155"/>
      <c r="AH44" s="155"/>
      <c r="AI44" s="153"/>
      <c r="AJ44" s="153"/>
      <c r="AK44" s="153"/>
      <c r="AL44" s="153"/>
      <c r="AM44" s="153"/>
      <c r="AN44" s="40"/>
      <c r="AO44" s="40"/>
      <c r="AP44" s="40"/>
      <c r="AQ44" s="40"/>
      <c r="AR44" s="40"/>
      <c r="BY44" s="40" t="s">
        <v>120</v>
      </c>
      <c r="BZ44" s="40"/>
      <c r="CA44" s="40"/>
      <c r="CB44" s="40">
        <f>CB31*100</f>
        <v>275.1817581163403</v>
      </c>
      <c r="CC44" s="40"/>
      <c r="CD44" s="117"/>
      <c r="CE44" s="40"/>
      <c r="CF44" s="39"/>
      <c r="CG44" s="39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52">
        <v>26</v>
      </c>
      <c r="CU44" s="52" t="str">
        <f>VLOOKUP(26,$DE$8:$DN$78,CV$8,TRUE)</f>
        <v>[-125x50x20x4.5 mm.</v>
      </c>
      <c r="CV44" s="40"/>
      <c r="CW44" s="40"/>
      <c r="CX44" s="40"/>
      <c r="CY44" s="40"/>
      <c r="CZ44" s="40"/>
      <c r="DA44" s="40"/>
      <c r="DB44" s="40"/>
      <c r="DC44" s="40"/>
      <c r="DD44" s="40"/>
      <c r="DE44" s="40">
        <v>37</v>
      </c>
      <c r="DF44" s="40" t="str">
        <f>'Steel Table'!C42</f>
        <v>WF-350X350x19x19 mm.</v>
      </c>
      <c r="DG44" s="40"/>
      <c r="DH44" s="40"/>
      <c r="DI44" s="40"/>
      <c r="DJ44" s="40"/>
      <c r="DK44" s="40"/>
      <c r="DL44" s="40" t="str">
        <f>'Steel Table'!CO42</f>
        <v>[-150x75x25x4 mm.</v>
      </c>
      <c r="DM44" s="40"/>
      <c r="DN44" s="40" t="str">
        <f>'Steel Table'!DG42</f>
        <v>2[]-150x75x25x4 mm.</v>
      </c>
      <c r="DO44" s="40"/>
      <c r="DP44" s="40"/>
      <c r="DQ44" s="40"/>
      <c r="DR44" s="40"/>
      <c r="DS44" s="40"/>
      <c r="DT44" s="40"/>
      <c r="DU44" s="40"/>
      <c r="DV44" s="40"/>
      <c r="DW44" s="40"/>
      <c r="DX44" s="40"/>
    </row>
    <row r="45" spans="1:128" s="35" customFormat="1" ht="15.75" customHeight="1">
      <c r="A45" s="40"/>
      <c r="C45" s="40"/>
      <c r="D45" s="40"/>
      <c r="E45" s="40"/>
      <c r="F45" s="40"/>
      <c r="G45" s="40"/>
      <c r="H45" s="40"/>
      <c r="I45" s="40"/>
      <c r="J45" s="39"/>
      <c r="K45" s="69"/>
      <c r="L45" s="69"/>
      <c r="M45" s="69"/>
      <c r="W45" s="40"/>
      <c r="X45" s="39"/>
      <c r="Y45" s="69"/>
      <c r="Z45" s="69"/>
      <c r="AA45" s="69"/>
      <c r="AB45" s="40"/>
      <c r="AC45" s="155"/>
      <c r="AD45" s="155"/>
      <c r="AE45" s="155"/>
      <c r="AF45" s="155"/>
      <c r="AG45" s="155"/>
      <c r="AH45" s="155"/>
      <c r="AI45" s="153"/>
      <c r="AJ45" s="153"/>
      <c r="AK45" s="153"/>
      <c r="AL45" s="153"/>
      <c r="AM45" s="153"/>
      <c r="AN45" s="40"/>
      <c r="AO45" s="40"/>
      <c r="AP45" s="40"/>
      <c r="AQ45" s="40"/>
      <c r="AR45" s="40"/>
      <c r="BY45" s="40" t="s">
        <v>460</v>
      </c>
      <c r="BZ45" s="40"/>
      <c r="CA45" s="40"/>
      <c r="CB45" s="40">
        <f>N11*CR10</f>
        <v>169470000</v>
      </c>
      <c r="CC45" s="40"/>
      <c r="CD45" s="101"/>
      <c r="CE45" s="40"/>
      <c r="CF45" s="39"/>
      <c r="CG45" s="39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52">
        <v>27</v>
      </c>
      <c r="CU45" s="52" t="str">
        <f>VLOOKUP(27,$DE$8:$DN$78,CV$8,TRUE)</f>
        <v>[-150x50x20x2.3 mm.</v>
      </c>
      <c r="CV45" s="40"/>
      <c r="CW45" s="40"/>
      <c r="CX45" s="40"/>
      <c r="CY45" s="40"/>
      <c r="CZ45" s="40"/>
      <c r="DA45" s="40"/>
      <c r="DB45" s="40"/>
      <c r="DC45" s="40"/>
      <c r="DD45" s="40"/>
      <c r="DE45" s="40">
        <v>38</v>
      </c>
      <c r="DF45" s="40" t="str">
        <f>'Steel Table'!C43</f>
        <v>WF-400X200x7x11 mm.</v>
      </c>
      <c r="DG45" s="40"/>
      <c r="DH45" s="40"/>
      <c r="DI45" s="40"/>
      <c r="DJ45" s="40"/>
      <c r="DK45" s="40"/>
      <c r="DL45" s="40" t="str">
        <f>'Steel Table'!CO43</f>
        <v>[-150x75x25x4.5 mm.</v>
      </c>
      <c r="DM45" s="40"/>
      <c r="DN45" s="40" t="str">
        <f>'Steel Table'!DG43</f>
        <v>2[]-150x75x25x4.5 mm.</v>
      </c>
      <c r="DO45" s="40"/>
      <c r="DP45" s="40"/>
      <c r="DQ45" s="40"/>
      <c r="DR45" s="40"/>
      <c r="DS45" s="40"/>
      <c r="DT45" s="40"/>
      <c r="DU45" s="40"/>
      <c r="DV45" s="40"/>
      <c r="DW45" s="40"/>
      <c r="DX45" s="40"/>
    </row>
    <row r="46" spans="1:128" s="35" customFormat="1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39"/>
      <c r="K46" s="52"/>
      <c r="L46" s="52"/>
      <c r="M46" s="52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39"/>
      <c r="Y46" s="69"/>
      <c r="Z46" s="69"/>
      <c r="AA46" s="69"/>
      <c r="AB46" s="40"/>
      <c r="AC46" s="155"/>
      <c r="AD46" s="155"/>
      <c r="AE46" s="155"/>
      <c r="AF46" s="155"/>
      <c r="AG46" s="155"/>
      <c r="AH46" s="155"/>
      <c r="AI46" s="153"/>
      <c r="AJ46" s="153"/>
      <c r="AK46" s="153"/>
      <c r="AL46" s="153"/>
      <c r="AM46" s="153"/>
      <c r="AN46" s="40"/>
      <c r="AO46" s="40"/>
      <c r="AP46" s="40"/>
      <c r="AQ46" s="40"/>
      <c r="AR46" s="40"/>
      <c r="BY46" s="132" t="s">
        <v>487</v>
      </c>
      <c r="BZ46" s="40"/>
      <c r="CA46" s="40"/>
      <c r="CB46" s="40">
        <f>(5*CB43*CB44^4)/(384*CB45)</f>
        <v>0.5732589841394746</v>
      </c>
      <c r="CC46" s="40"/>
      <c r="CD46" s="117"/>
      <c r="CE46" s="40"/>
      <c r="CF46" s="39"/>
      <c r="CG46" s="39"/>
      <c r="CH46" s="40"/>
      <c r="CI46" s="39"/>
      <c r="CJ46" s="75"/>
      <c r="CK46" s="40"/>
      <c r="CL46" s="40"/>
      <c r="CM46" s="40"/>
      <c r="CN46" s="40"/>
      <c r="CO46" s="40"/>
      <c r="CP46" s="40"/>
      <c r="CQ46" s="40"/>
      <c r="CR46" s="40"/>
      <c r="CS46" s="40"/>
      <c r="CT46" s="52">
        <v>28</v>
      </c>
      <c r="CU46" s="52" t="str">
        <f>VLOOKUP(28,$DE$8:$DN$78,CV$8,TRUE)</f>
        <v>[-150x50x20x3.2 mm.</v>
      </c>
      <c r="CV46" s="40"/>
      <c r="CW46" s="40"/>
      <c r="CX46" s="40"/>
      <c r="CY46" s="40"/>
      <c r="CZ46" s="40"/>
      <c r="DA46" s="40"/>
      <c r="DB46" s="40"/>
      <c r="DC46" s="40"/>
      <c r="DD46" s="40"/>
      <c r="DE46" s="40">
        <v>39</v>
      </c>
      <c r="DF46" s="40" t="str">
        <f>'Steel Table'!C44</f>
        <v>WF-400X200x8x13 mm.</v>
      </c>
      <c r="DG46" s="40"/>
      <c r="DH46" s="40"/>
      <c r="DI46" s="40"/>
      <c r="DJ46" s="40"/>
      <c r="DK46" s="40"/>
      <c r="DL46" s="40" t="str">
        <f>'Steel Table'!CO44</f>
        <v>[-200x75x20x3.2 mm.</v>
      </c>
      <c r="DM46" s="40"/>
      <c r="DN46" s="40" t="str">
        <f>'Steel Table'!DG44</f>
        <v>2[]-200x75x20x3.2 mm.</v>
      </c>
      <c r="DO46" s="40"/>
      <c r="DP46" s="40"/>
      <c r="DQ46" s="40"/>
      <c r="DR46" s="40"/>
      <c r="DS46" s="40"/>
      <c r="DT46" s="40"/>
      <c r="DU46" s="40"/>
      <c r="DV46" s="40"/>
      <c r="DW46" s="40"/>
      <c r="DX46" s="40"/>
    </row>
    <row r="47" spans="1:128" s="35" customFormat="1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39"/>
      <c r="K47" s="74"/>
      <c r="L47" s="74"/>
      <c r="M47" s="74"/>
      <c r="N47" s="131"/>
      <c r="O47" s="131"/>
      <c r="P47" s="40"/>
      <c r="Q47" s="40"/>
      <c r="R47" s="40"/>
      <c r="S47" s="40"/>
      <c r="T47" s="40"/>
      <c r="U47" s="40"/>
      <c r="V47" s="40"/>
      <c r="W47" s="40"/>
      <c r="X47" s="39"/>
      <c r="Y47" s="69"/>
      <c r="Z47" s="69"/>
      <c r="AA47" s="69"/>
      <c r="AB47" s="40"/>
      <c r="AC47" s="155"/>
      <c r="AD47" s="155"/>
      <c r="AE47" s="155"/>
      <c r="AF47" s="155"/>
      <c r="AG47" s="155"/>
      <c r="AH47" s="155"/>
      <c r="AI47" s="155"/>
      <c r="AJ47" s="155"/>
      <c r="AK47" s="155"/>
      <c r="AL47" s="153"/>
      <c r="AM47" s="153"/>
      <c r="AN47" s="40"/>
      <c r="AO47" s="40"/>
      <c r="AP47" s="40"/>
      <c r="AQ47" s="40"/>
      <c r="AR47" s="40"/>
      <c r="BY47" s="40"/>
      <c r="BZ47" s="40"/>
      <c r="CA47" s="40"/>
      <c r="CB47" s="40"/>
      <c r="CC47" s="40"/>
      <c r="CD47" s="101"/>
      <c r="CE47" s="40"/>
      <c r="CF47" s="39"/>
      <c r="CG47" s="39"/>
      <c r="CH47" s="40"/>
      <c r="CI47" s="39"/>
      <c r="CJ47" s="40"/>
      <c r="CK47" s="40"/>
      <c r="CL47" s="40"/>
      <c r="CM47" s="39"/>
      <c r="CN47" s="140"/>
      <c r="CO47" s="40"/>
      <c r="CP47" s="40"/>
      <c r="CQ47" s="40"/>
      <c r="CR47" s="40"/>
      <c r="CS47" s="40"/>
      <c r="CT47" s="52">
        <v>29</v>
      </c>
      <c r="CU47" s="52" t="str">
        <f>VLOOKUP(29,$DE$8:$DN$78,CV$8,TRUE)</f>
        <v>[-150x50x20x4.5 mm.</v>
      </c>
      <c r="CV47" s="40"/>
      <c r="CW47" s="40"/>
      <c r="CX47" s="40"/>
      <c r="CY47" s="40"/>
      <c r="CZ47" s="40"/>
      <c r="DA47" s="40"/>
      <c r="DB47" s="40"/>
      <c r="DC47" s="40"/>
      <c r="DD47" s="40"/>
      <c r="DE47" s="40">
        <v>40</v>
      </c>
      <c r="DF47" s="40" t="str">
        <f>'Steel Table'!C45</f>
        <v>WF-400X200x9x15 mm.</v>
      </c>
      <c r="DG47" s="40"/>
      <c r="DH47" s="40"/>
      <c r="DI47" s="40"/>
      <c r="DJ47" s="40"/>
      <c r="DK47" s="40"/>
      <c r="DL47" s="40" t="str">
        <f>'Steel Table'!CO45</f>
        <v>[-200x75x20x4 mm.</v>
      </c>
      <c r="DM47" s="40"/>
      <c r="DN47" s="40" t="str">
        <f>'Steel Table'!DG45</f>
        <v>2[]-200x75x20x4 mm.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</row>
    <row r="48" spans="1:128" s="35" customFormat="1" ht="15.75" customHeight="1" thickBo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40"/>
      <c r="N48" s="40"/>
      <c r="O48" s="40"/>
      <c r="P48" s="40"/>
      <c r="Q48" s="40"/>
      <c r="R48" s="40"/>
      <c r="S48" s="31"/>
      <c r="T48" s="31"/>
      <c r="U48" s="31"/>
      <c r="V48" s="32"/>
      <c r="W48" s="32"/>
      <c r="X48" s="32"/>
      <c r="Y48" s="32"/>
      <c r="Z48" s="32"/>
      <c r="AA48" s="32"/>
      <c r="AB48" s="40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40"/>
      <c r="AO48" s="40"/>
      <c r="AP48" s="40"/>
      <c r="AQ48" s="40"/>
      <c r="AR48" s="40"/>
      <c r="BY48" s="40"/>
      <c r="BZ48" s="40"/>
      <c r="CA48" s="40"/>
      <c r="CB48" s="40"/>
      <c r="CC48" s="40"/>
      <c r="CD48" s="40"/>
      <c r="CE48" s="40"/>
      <c r="CF48" s="39"/>
      <c r="CG48" s="39"/>
      <c r="CH48" s="40"/>
      <c r="CI48" s="39"/>
      <c r="CJ48" s="75"/>
      <c r="CK48" s="40"/>
      <c r="CL48" s="40"/>
      <c r="CM48" s="101"/>
      <c r="CN48" s="40"/>
      <c r="CO48" s="40"/>
      <c r="CP48" s="40"/>
      <c r="CQ48" s="40"/>
      <c r="CR48" s="40"/>
      <c r="CS48" s="40"/>
      <c r="CT48" s="52">
        <v>30</v>
      </c>
      <c r="CU48" s="52" t="str">
        <f>VLOOKUP(30,$DE$8:$DN$78,CV$8,TRUE)</f>
        <v>[-150x65x20x2.3 mm.</v>
      </c>
      <c r="CV48" s="40"/>
      <c r="CW48" s="40"/>
      <c r="CX48" s="40"/>
      <c r="CY48" s="40"/>
      <c r="CZ48" s="40"/>
      <c r="DA48" s="40"/>
      <c r="DB48" s="40"/>
      <c r="DC48" s="40"/>
      <c r="DD48" s="40"/>
      <c r="DE48" s="40">
        <v>41</v>
      </c>
      <c r="DF48" s="40" t="str">
        <f>'Steel Table'!C46</f>
        <v>WF-400X300x9x14 mm.</v>
      </c>
      <c r="DG48" s="40"/>
      <c r="DH48" s="40"/>
      <c r="DI48" s="40"/>
      <c r="DJ48" s="40"/>
      <c r="DK48" s="40"/>
      <c r="DL48" s="40" t="str">
        <f>'Steel Table'!CO46</f>
        <v>[-200x75x20x4.5 mm.</v>
      </c>
      <c r="DM48" s="40"/>
      <c r="DN48" s="40" t="str">
        <f>'Steel Table'!DG46</f>
        <v>2[]-200x75x20x4.5 mm.</v>
      </c>
      <c r="DO48" s="40"/>
      <c r="DP48" s="40"/>
      <c r="DQ48" s="40"/>
      <c r="DR48" s="40"/>
      <c r="DS48" s="40"/>
      <c r="DT48" s="40"/>
      <c r="DU48" s="40"/>
      <c r="DV48" s="40"/>
      <c r="DW48" s="40"/>
      <c r="DX48" s="40"/>
    </row>
    <row r="49" spans="1:128" s="35" customFormat="1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40"/>
      <c r="N49" s="40"/>
      <c r="O49" s="40"/>
      <c r="P49" s="40"/>
      <c r="Q49" s="40"/>
      <c r="R49" s="40"/>
      <c r="S49" s="31"/>
      <c r="T49" s="31"/>
      <c r="U49" s="142" t="s">
        <v>114</v>
      </c>
      <c r="V49" s="394" t="str">
        <f>Cover!D10</f>
        <v>สมมุติ</v>
      </c>
      <c r="W49" s="394"/>
      <c r="X49" s="394"/>
      <c r="Y49" s="394"/>
      <c r="Z49" s="394"/>
      <c r="AA49" s="394"/>
      <c r="AB49" s="40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40"/>
      <c r="AO49" s="40"/>
      <c r="AP49" s="40"/>
      <c r="AQ49" s="40"/>
      <c r="AR49" s="40"/>
      <c r="BY49" s="40"/>
      <c r="BZ49" s="40"/>
      <c r="CA49" s="40"/>
      <c r="CB49" s="40"/>
      <c r="CC49" s="40"/>
      <c r="CD49" s="40"/>
      <c r="CE49" s="40"/>
      <c r="CF49" s="39"/>
      <c r="CG49" s="39"/>
      <c r="CH49" s="40"/>
      <c r="CI49" s="39"/>
      <c r="CJ49" s="39"/>
      <c r="CK49" s="40"/>
      <c r="CL49" s="40"/>
      <c r="CM49" s="39"/>
      <c r="CN49" s="141"/>
      <c r="CO49" s="40"/>
      <c r="CP49" s="40"/>
      <c r="CQ49" s="40"/>
      <c r="CR49" s="40"/>
      <c r="CS49" s="40"/>
      <c r="CT49" s="52">
        <v>31</v>
      </c>
      <c r="CU49" s="52" t="str">
        <f>VLOOKUP(31,$DE$8:$DN$78,CV$8,TRUE)</f>
        <v>[-150x65x20x3.2 mm.</v>
      </c>
      <c r="CV49" s="40"/>
      <c r="CW49" s="40"/>
      <c r="CX49" s="40"/>
      <c r="CY49" s="40"/>
      <c r="CZ49" s="40"/>
      <c r="DA49" s="40"/>
      <c r="DB49" s="40"/>
      <c r="DC49" s="40"/>
      <c r="DD49" s="40"/>
      <c r="DE49" s="40">
        <v>42</v>
      </c>
      <c r="DF49" s="40" t="str">
        <f>'Steel Table'!C47</f>
        <v>WF-400X300x10x16 mm.</v>
      </c>
      <c r="DG49" s="40"/>
      <c r="DH49" s="40"/>
      <c r="DI49" s="40"/>
      <c r="DJ49" s="40"/>
      <c r="DK49" s="40"/>
      <c r="DL49" s="40" t="str">
        <f>'Steel Table'!CO47</f>
        <v>[-200x75x25x3.2 mm.</v>
      </c>
      <c r="DM49" s="40"/>
      <c r="DN49" s="40" t="str">
        <f>'Steel Table'!DG47</f>
        <v>2[]-200x75x25x3.2 mm.</v>
      </c>
      <c r="DO49" s="40"/>
      <c r="DP49" s="40"/>
      <c r="DQ49" s="40"/>
      <c r="DR49" s="40"/>
      <c r="DS49" s="40"/>
      <c r="DT49" s="40"/>
      <c r="DU49" s="40"/>
      <c r="DV49" s="40"/>
      <c r="DW49" s="40"/>
      <c r="DX49" s="40"/>
    </row>
    <row r="50" spans="1:128" s="35" customFormat="1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39"/>
      <c r="M50" s="40"/>
      <c r="N50" s="40"/>
      <c r="O50" s="40"/>
      <c r="P50" s="40"/>
      <c r="Q50" s="40"/>
      <c r="R50" s="40"/>
      <c r="S50" s="31"/>
      <c r="T50" s="31"/>
      <c r="U50" s="142" t="s">
        <v>115</v>
      </c>
      <c r="V50" s="395" t="str">
        <f>Cover!H10</f>
        <v>สย.0000</v>
      </c>
      <c r="W50" s="395"/>
      <c r="X50" s="395"/>
      <c r="Y50" s="395"/>
      <c r="Z50" s="395"/>
      <c r="AA50" s="395"/>
      <c r="AB50" s="40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40"/>
      <c r="AO50" s="40"/>
      <c r="AP50" s="40"/>
      <c r="AQ50" s="40"/>
      <c r="AR50" s="40"/>
      <c r="BY50" s="40"/>
      <c r="BZ50" s="40"/>
      <c r="CA50" s="40"/>
      <c r="CB50" s="40"/>
      <c r="CC50" s="40"/>
      <c r="CD50" s="40"/>
      <c r="CE50" s="40"/>
      <c r="CF50" s="39"/>
      <c r="CG50" s="39"/>
      <c r="CH50" s="40"/>
      <c r="CI50" s="39"/>
      <c r="CJ50" s="75"/>
      <c r="CK50" s="40"/>
      <c r="CL50" s="40"/>
      <c r="CM50" s="39"/>
      <c r="CN50" s="141"/>
      <c r="CO50" s="40"/>
      <c r="CP50" s="40"/>
      <c r="CQ50" s="40"/>
      <c r="CR50" s="40"/>
      <c r="CS50" s="324"/>
      <c r="CT50" s="52">
        <v>32</v>
      </c>
      <c r="CU50" s="52" t="str">
        <f>VLOOKUP(32,$DE$8:$DN$78,CV$8,TRUE)</f>
        <v>[-150x65x20x4 mm.</v>
      </c>
      <c r="CV50" s="40"/>
      <c r="CW50" s="40"/>
      <c r="CX50" s="40"/>
      <c r="CY50" s="40"/>
      <c r="CZ50" s="40"/>
      <c r="DA50" s="40"/>
      <c r="DB50" s="40"/>
      <c r="DC50" s="40"/>
      <c r="DD50" s="40"/>
      <c r="DE50" s="40">
        <v>43</v>
      </c>
      <c r="DF50" s="40" t="str">
        <f>'Steel Table'!C48</f>
        <v>WF-400X400x15x15 mm.</v>
      </c>
      <c r="DG50" s="40"/>
      <c r="DH50" s="40"/>
      <c r="DI50" s="40"/>
      <c r="DJ50" s="40"/>
      <c r="DK50" s="40"/>
      <c r="DL50" s="40" t="str">
        <f>'Steel Table'!CO48</f>
        <v>[-200x75x25x4 mm.</v>
      </c>
      <c r="DM50" s="40"/>
      <c r="DN50" s="40" t="str">
        <f>'Steel Table'!DG48</f>
        <v>2[]-200x75x25x4 mm.</v>
      </c>
      <c r="DO50" s="40"/>
      <c r="DP50" s="40"/>
      <c r="DQ50" s="40"/>
      <c r="DR50" s="40"/>
      <c r="DS50" s="40"/>
      <c r="DT50" s="40"/>
      <c r="DU50" s="40"/>
      <c r="DV50" s="40"/>
      <c r="DW50" s="40"/>
      <c r="DX50" s="40"/>
    </row>
    <row r="51" spans="1:128" ht="15.75" customHeight="1">
      <c r="A51" s="34"/>
      <c r="C51" s="40"/>
      <c r="D51" s="40"/>
      <c r="E51" s="40"/>
      <c r="F51" s="40"/>
      <c r="G51" s="40"/>
      <c r="H51" s="40"/>
      <c r="I51" s="40"/>
      <c r="J51" s="40"/>
      <c r="K51" s="40"/>
      <c r="L51" s="39"/>
      <c r="M51" s="75"/>
      <c r="N51" s="94"/>
      <c r="O51" s="94"/>
      <c r="P51" s="94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BY51" s="34"/>
      <c r="BZ51" s="34"/>
      <c r="CA51" s="34"/>
      <c r="CB51" s="34"/>
      <c r="CC51" s="34"/>
      <c r="CD51" s="34"/>
      <c r="CE51" s="40"/>
      <c r="CF51" s="39"/>
      <c r="CG51" s="39"/>
      <c r="CH51" s="40"/>
      <c r="CI51" s="39"/>
      <c r="CJ51" s="40"/>
      <c r="CK51" s="40"/>
      <c r="CL51" s="40"/>
      <c r="CM51" s="39"/>
      <c r="CN51" s="39"/>
      <c r="CO51" s="40"/>
      <c r="CP51" s="40"/>
      <c r="CQ51" s="34"/>
      <c r="CR51" s="34"/>
      <c r="CS51" s="34"/>
      <c r="CT51" s="52">
        <v>33</v>
      </c>
      <c r="CU51" s="52" t="str">
        <f>VLOOKUP(33,$DE$8:$DN$78,CV$8,TRUE)</f>
        <v>[-150x75x20x3.2 mm.</v>
      </c>
      <c r="CV51" s="34"/>
      <c r="CW51" s="34"/>
      <c r="CX51" s="41"/>
      <c r="CY51" s="34"/>
      <c r="CZ51" s="34"/>
      <c r="DA51" s="34"/>
      <c r="DB51" s="34"/>
      <c r="DC51" s="34"/>
      <c r="DD51" s="34"/>
      <c r="DE51" s="40">
        <v>44</v>
      </c>
      <c r="DF51" s="40" t="str">
        <f>'Steel Table'!C49</f>
        <v>WF-400X400x11x18 mm.</v>
      </c>
      <c r="DG51" s="34"/>
      <c r="DH51" s="34"/>
      <c r="DI51" s="34"/>
      <c r="DJ51" s="34"/>
      <c r="DK51" s="40"/>
      <c r="DL51" s="40" t="str">
        <f>'Steel Table'!CO49</f>
        <v>[-200x75x25x4.5 mm.</v>
      </c>
      <c r="DM51" s="34"/>
      <c r="DN51" s="40" t="str">
        <f>'Steel Table'!DG49</f>
        <v>2[]-200x75x25x4.5 mm.</v>
      </c>
      <c r="DO51" s="34"/>
      <c r="DP51" s="34"/>
      <c r="DQ51" s="34"/>
      <c r="DR51" s="34"/>
      <c r="DS51" s="34"/>
      <c r="DT51" s="34"/>
      <c r="DU51" s="34"/>
      <c r="DV51" s="34"/>
      <c r="DW51" s="34"/>
      <c r="DX51" s="34"/>
    </row>
    <row r="52" spans="1:128" ht="15.75" customHeight="1">
      <c r="A52" s="34"/>
      <c r="B52" s="95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75"/>
      <c r="N52" s="325"/>
      <c r="O52" s="325"/>
      <c r="P52" s="325"/>
      <c r="Q52" s="94"/>
      <c r="R52" s="94"/>
      <c r="S52" s="94"/>
      <c r="T52" s="94"/>
      <c r="U52" s="94"/>
      <c r="V52" s="94"/>
      <c r="W52" s="94"/>
      <c r="X52" s="326"/>
      <c r="Y52" s="326"/>
      <c r="Z52" s="326"/>
      <c r="AA52" s="326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BY52" s="34"/>
      <c r="BZ52" s="34"/>
      <c r="CA52" s="34"/>
      <c r="CB52" s="34"/>
      <c r="CC52" s="34"/>
      <c r="CD52" s="34"/>
      <c r="CE52" s="40"/>
      <c r="CF52" s="39"/>
      <c r="CG52" s="39"/>
      <c r="CH52" s="40"/>
      <c r="CI52" s="39"/>
      <c r="CJ52" s="40"/>
      <c r="CK52" s="40"/>
      <c r="CL52" s="40"/>
      <c r="CM52" s="39"/>
      <c r="CN52" s="39"/>
      <c r="CO52" s="40"/>
      <c r="CP52" s="40"/>
      <c r="CQ52" s="34"/>
      <c r="CR52" s="34"/>
      <c r="CS52" s="34"/>
      <c r="CT52" s="52">
        <v>34</v>
      </c>
      <c r="CU52" s="52" t="str">
        <f>VLOOKUP(34,$DE$8:$DN$78,CV$8,TRUE)</f>
        <v>[-150x75x20x4 mm.</v>
      </c>
      <c r="CV52" s="34"/>
      <c r="CW52" s="34"/>
      <c r="CX52" s="41"/>
      <c r="CY52" s="34"/>
      <c r="CZ52" s="327"/>
      <c r="DA52" s="34"/>
      <c r="DB52" s="34"/>
      <c r="DC52" s="34"/>
      <c r="DD52" s="34"/>
      <c r="DE52" s="40">
        <v>45</v>
      </c>
      <c r="DF52" s="40" t="str">
        <f>'Steel Table'!C50</f>
        <v>WF-400X400x18x18 mm.</v>
      </c>
      <c r="DG52" s="34"/>
      <c r="DH52" s="34"/>
      <c r="DI52" s="34"/>
      <c r="DJ52" s="34"/>
      <c r="DK52" s="40"/>
      <c r="DL52" s="40" t="str">
        <f>'Steel Table'!CO50</f>
        <v>[-250x75x25x4.5 mm.</v>
      </c>
      <c r="DM52" s="34"/>
      <c r="DN52" s="40" t="str">
        <f>'Steel Table'!DG50</f>
        <v>2[]-250x75x25x4.5 mm.</v>
      </c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pans="1:128" ht="15.75" customHeight="1">
      <c r="A53" s="34"/>
      <c r="B53" s="95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75"/>
      <c r="N53" s="74"/>
      <c r="O53" s="74"/>
      <c r="P53" s="7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BY53" s="34"/>
      <c r="BZ53" s="34"/>
      <c r="CA53" s="34"/>
      <c r="CB53" s="34"/>
      <c r="CC53" s="34"/>
      <c r="CD53" s="34"/>
      <c r="CE53" s="40"/>
      <c r="CF53" s="39"/>
      <c r="CG53" s="39"/>
      <c r="CH53" s="40"/>
      <c r="CI53" s="39"/>
      <c r="CJ53" s="40"/>
      <c r="CK53" s="40"/>
      <c r="CL53" s="40"/>
      <c r="CM53" s="39"/>
      <c r="CN53" s="84"/>
      <c r="CO53" s="40"/>
      <c r="CP53" s="40"/>
      <c r="CQ53" s="34"/>
      <c r="CR53" s="34"/>
      <c r="CS53" s="34"/>
      <c r="CT53" s="52">
        <v>35</v>
      </c>
      <c r="CU53" s="52" t="str">
        <f>VLOOKUP(35,$DE$8:$DN$78,CV$8,TRUE)</f>
        <v>[-150x75x20x4.5 mm.</v>
      </c>
      <c r="CV53" s="34"/>
      <c r="CW53" s="34"/>
      <c r="CX53" s="41"/>
      <c r="CY53" s="146"/>
      <c r="CZ53" s="327"/>
      <c r="DA53" s="34"/>
      <c r="DB53" s="34"/>
      <c r="DC53" s="34"/>
      <c r="DD53" s="34"/>
      <c r="DE53" s="40">
        <v>46</v>
      </c>
      <c r="DF53" s="40" t="str">
        <f>'Steel Table'!C51</f>
        <v>WF-400X400x13x21 mm.</v>
      </c>
      <c r="DG53" s="34"/>
      <c r="DH53" s="34"/>
      <c r="DI53" s="34"/>
      <c r="DJ53" s="34"/>
      <c r="DK53" s="40"/>
      <c r="DL53" s="40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</row>
    <row r="54" spans="1:128" ht="15.75" customHeight="1">
      <c r="A54" s="34"/>
      <c r="B54" s="95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75"/>
      <c r="N54" s="74"/>
      <c r="O54" s="74"/>
      <c r="P54" s="7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BY54" s="34"/>
      <c r="BZ54" s="34"/>
      <c r="CA54" s="34"/>
      <c r="CB54" s="34"/>
      <c r="CC54" s="34"/>
      <c r="CD54" s="34"/>
      <c r="CE54" s="40"/>
      <c r="CF54" s="39"/>
      <c r="CG54" s="39"/>
      <c r="CH54" s="40"/>
      <c r="CI54" s="39"/>
      <c r="CJ54" s="75"/>
      <c r="CK54" s="40"/>
      <c r="CL54" s="40"/>
      <c r="CM54" s="39"/>
      <c r="CN54" s="39"/>
      <c r="CO54" s="40"/>
      <c r="CP54" s="40"/>
      <c r="CQ54" s="34"/>
      <c r="CR54" s="34"/>
      <c r="CS54" s="34"/>
      <c r="CT54" s="52">
        <v>36</v>
      </c>
      <c r="CU54" s="52" t="str">
        <f>VLOOKUP(36,$DE$8:$DN$78,CV$8,TRUE)</f>
        <v>[-150x75x25x3.2 mm.</v>
      </c>
      <c r="CV54" s="34"/>
      <c r="CW54" s="34"/>
      <c r="CX54" s="41"/>
      <c r="CY54" s="146"/>
      <c r="CZ54" s="327"/>
      <c r="DA54" s="34"/>
      <c r="DB54" s="34"/>
      <c r="DC54" s="34"/>
      <c r="DD54" s="34"/>
      <c r="DE54" s="40">
        <v>47</v>
      </c>
      <c r="DF54" s="40" t="str">
        <f>'Steel Table'!C52</f>
        <v>WF-400X400x21x21 mm.</v>
      </c>
      <c r="DG54" s="34"/>
      <c r="DH54" s="34"/>
      <c r="DI54" s="34"/>
      <c r="DJ54" s="34"/>
      <c r="DK54" s="40"/>
      <c r="DL54" s="40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15.75" customHeight="1">
      <c r="A55" s="34"/>
      <c r="B55" s="95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75"/>
      <c r="N55" s="74"/>
      <c r="O55" s="74"/>
      <c r="P55" s="7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BY55" s="34"/>
      <c r="BZ55" s="34"/>
      <c r="CA55" s="34"/>
      <c r="CB55" s="34"/>
      <c r="CC55" s="34"/>
      <c r="CD55" s="34"/>
      <c r="CE55" s="40"/>
      <c r="CF55" s="39"/>
      <c r="CG55" s="39"/>
      <c r="CH55" s="40"/>
      <c r="CI55" s="40"/>
      <c r="CJ55" s="40"/>
      <c r="CK55" s="40"/>
      <c r="CL55" s="40"/>
      <c r="CM55" s="39"/>
      <c r="CN55" s="88"/>
      <c r="CO55" s="40"/>
      <c r="CP55" s="40"/>
      <c r="CQ55" s="34"/>
      <c r="CR55" s="34"/>
      <c r="CS55" s="34"/>
      <c r="CT55" s="52">
        <v>37</v>
      </c>
      <c r="CU55" s="52" t="str">
        <f>VLOOKUP(37,$DE$8:$DN$78,CV$8,TRUE)</f>
        <v>[-150x75x25x4 mm.</v>
      </c>
      <c r="CV55" s="34"/>
      <c r="CW55" s="34"/>
      <c r="CX55" s="41"/>
      <c r="CY55" s="41"/>
      <c r="CZ55" s="143"/>
      <c r="DA55" s="34"/>
      <c r="DB55" s="34"/>
      <c r="DC55" s="34"/>
      <c r="DD55" s="34"/>
      <c r="DE55" s="40">
        <v>48</v>
      </c>
      <c r="DF55" s="40" t="str">
        <f>'Steel Table'!C53</f>
        <v>WF-400X400x18x28 mm.</v>
      </c>
      <c r="DG55" s="34"/>
      <c r="DH55" s="34"/>
      <c r="DI55" s="41"/>
      <c r="DJ55" s="143"/>
      <c r="DK55" s="40"/>
      <c r="DL55" s="40"/>
      <c r="DM55" s="34"/>
      <c r="DN55" s="34"/>
      <c r="DO55" s="34"/>
      <c r="DP55" s="41"/>
      <c r="DQ55" s="146"/>
      <c r="DR55" s="34"/>
      <c r="DS55" s="34"/>
      <c r="DT55" s="34"/>
      <c r="DU55" s="34"/>
      <c r="DV55" s="34"/>
      <c r="DW55" s="34"/>
      <c r="DX55" s="34"/>
    </row>
    <row r="56" spans="1:128" ht="15.75" customHeight="1">
      <c r="A56" s="34"/>
      <c r="B56" s="95"/>
      <c r="C56" s="40"/>
      <c r="D56" s="40"/>
      <c r="E56" s="40"/>
      <c r="F56" s="40"/>
      <c r="G56" s="40"/>
      <c r="H56" s="40"/>
      <c r="I56" s="40"/>
      <c r="J56" s="40"/>
      <c r="K56" s="40"/>
      <c r="L56" s="39"/>
      <c r="M56" s="75"/>
      <c r="N56" s="74"/>
      <c r="O56" s="74"/>
      <c r="P56" s="7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BY56" s="34"/>
      <c r="BZ56" s="34"/>
      <c r="CA56" s="34"/>
      <c r="CB56" s="34"/>
      <c r="CC56" s="34"/>
      <c r="CD56" s="34"/>
      <c r="CE56" s="40"/>
      <c r="CF56" s="39"/>
      <c r="CG56" s="39"/>
      <c r="CH56" s="40"/>
      <c r="CI56" s="40"/>
      <c r="CJ56" s="40"/>
      <c r="CK56" s="40"/>
      <c r="CL56" s="40"/>
      <c r="CM56" s="39"/>
      <c r="CN56" s="88"/>
      <c r="CO56" s="40"/>
      <c r="CP56" s="40"/>
      <c r="CQ56" s="34"/>
      <c r="CR56" s="34"/>
      <c r="CS56" s="34"/>
      <c r="CT56" s="52">
        <v>38</v>
      </c>
      <c r="CU56" s="52" t="str">
        <f>VLOOKUP(38,$DE$8:$DN$78,CV$8,TRUE)</f>
        <v>[-150x75x25x4.5 mm.</v>
      </c>
      <c r="CV56" s="34"/>
      <c r="CW56" s="34"/>
      <c r="CX56" s="41"/>
      <c r="CY56" s="41"/>
      <c r="CZ56" s="143"/>
      <c r="DA56" s="34"/>
      <c r="DB56" s="34"/>
      <c r="DC56" s="34"/>
      <c r="DD56" s="34"/>
      <c r="DE56" s="40">
        <v>49</v>
      </c>
      <c r="DF56" s="40" t="str">
        <f>'Steel Table'!C54</f>
        <v>WF-450X200x8x12 mm.</v>
      </c>
      <c r="DG56" s="34"/>
      <c r="DH56" s="34"/>
      <c r="DI56" s="41"/>
      <c r="DJ56" s="34"/>
      <c r="DK56" s="40"/>
      <c r="DL56" s="40"/>
      <c r="DM56" s="34"/>
      <c r="DN56" s="34"/>
      <c r="DO56" s="34"/>
      <c r="DP56" s="41"/>
      <c r="DQ56" s="146"/>
      <c r="DR56" s="34"/>
      <c r="DS56" s="34"/>
      <c r="DT56" s="34"/>
      <c r="DU56" s="34"/>
      <c r="DV56" s="34"/>
      <c r="DW56" s="34"/>
      <c r="DX56" s="34"/>
    </row>
    <row r="57" spans="1:128" ht="15.75" customHeight="1">
      <c r="A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BY57" s="34"/>
      <c r="BZ57" s="34"/>
      <c r="CA57" s="34"/>
      <c r="CB57" s="34"/>
      <c r="CC57" s="34"/>
      <c r="CD57" s="34"/>
      <c r="CE57" s="40"/>
      <c r="CF57" s="39"/>
      <c r="CG57" s="39"/>
      <c r="CH57" s="40"/>
      <c r="CI57" s="40"/>
      <c r="CJ57" s="40"/>
      <c r="CK57" s="40"/>
      <c r="CL57" s="40"/>
      <c r="CM57" s="39"/>
      <c r="CN57" s="39"/>
      <c r="CO57" s="40"/>
      <c r="CP57" s="40"/>
      <c r="CQ57" s="34"/>
      <c r="CR57" s="34"/>
      <c r="CS57" s="34"/>
      <c r="CT57" s="52">
        <v>39</v>
      </c>
      <c r="CU57" s="52" t="str">
        <f>VLOOKUP(39,$DE$8:$DN$78,CV$8,TRUE)</f>
        <v>[-200x75x20x3.2 mm.</v>
      </c>
      <c r="CV57" s="34"/>
      <c r="CW57" s="34"/>
      <c r="CX57" s="41"/>
      <c r="CY57" s="34"/>
      <c r="CZ57" s="34"/>
      <c r="DA57" s="34"/>
      <c r="DB57" s="34"/>
      <c r="DC57" s="34"/>
      <c r="DD57" s="34"/>
      <c r="DE57" s="40">
        <v>50</v>
      </c>
      <c r="DF57" s="40" t="str">
        <f>'Steel Table'!C55</f>
        <v>WF-450X200x9x14 mm.</v>
      </c>
      <c r="DG57" s="34"/>
      <c r="DH57" s="34"/>
      <c r="DI57" s="41"/>
      <c r="DJ57" s="143"/>
      <c r="DK57" s="40"/>
      <c r="DL57" s="40"/>
      <c r="DM57" s="34"/>
      <c r="DN57" s="34"/>
      <c r="DO57" s="34"/>
      <c r="DP57" s="41"/>
      <c r="DQ57" s="146"/>
      <c r="DR57" s="34"/>
      <c r="DS57" s="34"/>
      <c r="DT57" s="34"/>
      <c r="DU57" s="34"/>
      <c r="DV57" s="34"/>
      <c r="DW57" s="34"/>
      <c r="DX57" s="34"/>
    </row>
    <row r="58" spans="1:128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41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BY58" s="34"/>
      <c r="BZ58" s="34"/>
      <c r="CA58" s="34"/>
      <c r="CB58" s="34"/>
      <c r="CC58" s="34"/>
      <c r="CD58" s="34"/>
      <c r="CE58" s="40"/>
      <c r="CF58" s="39"/>
      <c r="CG58" s="39"/>
      <c r="CH58" s="92"/>
      <c r="CI58" s="40"/>
      <c r="CJ58" s="40"/>
      <c r="CK58" s="40"/>
      <c r="CL58" s="40"/>
      <c r="CM58" s="40"/>
      <c r="CN58" s="40"/>
      <c r="CO58" s="40"/>
      <c r="CP58" s="40"/>
      <c r="CQ58" s="34"/>
      <c r="CR58" s="34"/>
      <c r="CS58" s="34"/>
      <c r="CT58" s="52">
        <v>40</v>
      </c>
      <c r="CU58" s="52" t="str">
        <f>VLOOKUP(40,$DE$8:$DN$78,CV$8,TRUE)</f>
        <v>[-200x75x20x4 mm.</v>
      </c>
      <c r="CV58" s="34"/>
      <c r="CW58" s="34"/>
      <c r="CX58" s="41"/>
      <c r="CY58" s="34"/>
      <c r="CZ58" s="34"/>
      <c r="DA58" s="34"/>
      <c r="DB58" s="34"/>
      <c r="DC58" s="34"/>
      <c r="DD58" s="34"/>
      <c r="DE58" s="40">
        <v>51</v>
      </c>
      <c r="DF58" s="40" t="str">
        <f>'Steel Table'!C56</f>
        <v>WF-450X200x10x17 mm.</v>
      </c>
      <c r="DG58" s="34"/>
      <c r="DH58" s="34"/>
      <c r="DI58" s="41"/>
      <c r="DJ58" s="328"/>
      <c r="DK58" s="40"/>
      <c r="DL58" s="40"/>
      <c r="DM58" s="34"/>
      <c r="DN58" s="34"/>
      <c r="DO58" s="34"/>
      <c r="DP58" s="41"/>
      <c r="DQ58" s="146"/>
      <c r="DR58" s="34"/>
      <c r="DS58" s="34"/>
      <c r="DT58" s="34"/>
      <c r="DU58" s="34"/>
      <c r="DV58" s="34"/>
      <c r="DW58" s="34"/>
      <c r="DX58" s="34"/>
    </row>
    <row r="59" spans="1:128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41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BY59" s="34"/>
      <c r="BZ59" s="34"/>
      <c r="CA59" s="34"/>
      <c r="CB59" s="34"/>
      <c r="CC59" s="34"/>
      <c r="CD59" s="34"/>
      <c r="CE59" s="40"/>
      <c r="CF59" s="39"/>
      <c r="CG59" s="39"/>
      <c r="CH59" s="92"/>
      <c r="CI59" s="40"/>
      <c r="CJ59" s="40"/>
      <c r="CK59" s="40"/>
      <c r="CL59" s="40"/>
      <c r="CM59" s="94"/>
      <c r="CN59" s="94"/>
      <c r="CO59" s="117"/>
      <c r="CP59" s="40"/>
      <c r="CQ59" s="34"/>
      <c r="CR59" s="34"/>
      <c r="CS59" s="34"/>
      <c r="CT59" s="52">
        <v>41</v>
      </c>
      <c r="CU59" s="52" t="str">
        <f>VLOOKUP(41,$DE$8:$DN$78,CV$8,TRUE)</f>
        <v>[-200x75x20x4.5 mm.</v>
      </c>
      <c r="CV59" s="34"/>
      <c r="CW59" s="34"/>
      <c r="CX59" s="41"/>
      <c r="CY59" s="34"/>
      <c r="CZ59" s="34"/>
      <c r="DA59" s="34"/>
      <c r="DB59" s="41"/>
      <c r="DC59" s="34"/>
      <c r="DD59" s="34"/>
      <c r="DE59" s="40">
        <v>52</v>
      </c>
      <c r="DF59" s="40" t="str">
        <f>'Steel Table'!C57</f>
        <v>WF-450X300x10x17 mm.</v>
      </c>
      <c r="DG59" s="34"/>
      <c r="DH59" s="34"/>
      <c r="DI59" s="41"/>
      <c r="DJ59" s="34"/>
      <c r="DK59" s="40"/>
      <c r="DL59" s="40"/>
      <c r="DM59" s="34"/>
      <c r="DN59" s="34"/>
      <c r="DO59" s="34"/>
      <c r="DP59" s="41"/>
      <c r="DQ59" s="147"/>
      <c r="DR59" s="34"/>
      <c r="DS59" s="34"/>
      <c r="DT59" s="34"/>
      <c r="DU59" s="34"/>
      <c r="DV59" s="34"/>
      <c r="DW59" s="34"/>
      <c r="DX59" s="34"/>
    </row>
    <row r="60" spans="1:128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41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BY60" s="34"/>
      <c r="BZ60" s="34"/>
      <c r="CA60" s="34"/>
      <c r="CB60" s="34"/>
      <c r="CC60" s="34"/>
      <c r="CD60" s="34"/>
      <c r="CE60" s="40"/>
      <c r="CF60" s="39"/>
      <c r="CG60" s="39"/>
      <c r="CH60" s="92"/>
      <c r="CI60" s="40"/>
      <c r="CJ60" s="40"/>
      <c r="CK60" s="40"/>
      <c r="CL60" s="40"/>
      <c r="CM60" s="94"/>
      <c r="CN60" s="94"/>
      <c r="CO60" s="40"/>
      <c r="CP60" s="101"/>
      <c r="CQ60" s="34"/>
      <c r="CR60" s="34"/>
      <c r="CS60" s="34"/>
      <c r="CT60" s="52">
        <v>42</v>
      </c>
      <c r="CU60" s="52" t="str">
        <f>VLOOKUP(42,$DE$8:$DN$78,CV$8,TRUE)</f>
        <v>[-200x75x25x3.2 mm.</v>
      </c>
      <c r="CV60" s="34"/>
      <c r="CW60" s="34"/>
      <c r="CX60" s="41"/>
      <c r="CY60" s="34"/>
      <c r="CZ60" s="34"/>
      <c r="DA60" s="34"/>
      <c r="DB60" s="34"/>
      <c r="DC60" s="34"/>
      <c r="DD60" s="34"/>
      <c r="DE60" s="40">
        <v>53</v>
      </c>
      <c r="DF60" s="40" t="str">
        <f>'Steel Table'!C58</f>
        <v>WF-450X300x11x18 mm.</v>
      </c>
      <c r="DG60" s="34"/>
      <c r="DH60" s="34"/>
      <c r="DI60" s="41"/>
      <c r="DJ60" s="34"/>
      <c r="DK60" s="40"/>
      <c r="DL60" s="40"/>
      <c r="DM60" s="34"/>
      <c r="DN60" s="34"/>
      <c r="DO60" s="34"/>
      <c r="DP60" s="41"/>
      <c r="DQ60" s="147"/>
      <c r="DR60" s="34"/>
      <c r="DS60" s="34"/>
      <c r="DT60" s="34"/>
      <c r="DU60" s="34"/>
      <c r="DV60" s="34"/>
      <c r="DW60" s="34"/>
      <c r="DX60" s="34"/>
    </row>
    <row r="61" spans="77:128" ht="15.75" customHeight="1">
      <c r="BY61" s="34"/>
      <c r="BZ61" s="34"/>
      <c r="CA61" s="34"/>
      <c r="CB61" s="34"/>
      <c r="CC61" s="34"/>
      <c r="CD61" s="34"/>
      <c r="CE61" s="40"/>
      <c r="CF61" s="39"/>
      <c r="CG61" s="39"/>
      <c r="CH61" s="92"/>
      <c r="CI61" s="40"/>
      <c r="CJ61" s="40"/>
      <c r="CK61" s="40"/>
      <c r="CL61" s="40"/>
      <c r="CM61" s="94"/>
      <c r="CN61" s="94"/>
      <c r="CO61" s="40"/>
      <c r="CP61" s="101"/>
      <c r="CQ61" s="34"/>
      <c r="CR61" s="34"/>
      <c r="CS61" s="34"/>
      <c r="CT61" s="52">
        <v>43</v>
      </c>
      <c r="CU61" s="52" t="str">
        <f>VLOOKUP(43,$DE$8:$DN$78,CV$8,TRUE)</f>
        <v>[-200x75x25x4 mm.</v>
      </c>
      <c r="CV61" s="34"/>
      <c r="CW61" s="34"/>
      <c r="CX61" s="41"/>
      <c r="CY61" s="34"/>
      <c r="CZ61" s="34"/>
      <c r="DA61" s="34"/>
      <c r="DB61" s="41"/>
      <c r="DC61" s="34"/>
      <c r="DD61" s="34"/>
      <c r="DE61" s="40">
        <v>54</v>
      </c>
      <c r="DF61" s="40" t="str">
        <f>'Steel Table'!C59</f>
        <v>WF-450X300x13x21 mm.</v>
      </c>
      <c r="DG61" s="34"/>
      <c r="DH61" s="34"/>
      <c r="DI61" s="41"/>
      <c r="DJ61" s="143"/>
      <c r="DK61" s="40"/>
      <c r="DL61" s="40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77:128" ht="15.75" customHeight="1">
      <c r="BY62" s="34"/>
      <c r="BZ62" s="34"/>
      <c r="CA62" s="34"/>
      <c r="CB62" s="34"/>
      <c r="CC62" s="34"/>
      <c r="CD62" s="34"/>
      <c r="CE62" s="40"/>
      <c r="CF62" s="39"/>
      <c r="CG62" s="39"/>
      <c r="CH62" s="92"/>
      <c r="CI62" s="40"/>
      <c r="CJ62" s="40"/>
      <c r="CK62" s="40"/>
      <c r="CL62" s="40"/>
      <c r="CM62" s="94"/>
      <c r="CN62" s="94"/>
      <c r="CO62" s="40"/>
      <c r="CP62" s="40"/>
      <c r="CQ62" s="34"/>
      <c r="CR62" s="34"/>
      <c r="CS62" s="34"/>
      <c r="CT62" s="52">
        <v>44</v>
      </c>
      <c r="CU62" s="52" t="str">
        <f>VLOOKUP(44,$DE$8:$DN$78,CV$8,TRUE)</f>
        <v>[-200x75x25x4.5 mm.</v>
      </c>
      <c r="CV62" s="34"/>
      <c r="CW62" s="34"/>
      <c r="CX62" s="41"/>
      <c r="CY62" s="34"/>
      <c r="CZ62" s="34"/>
      <c r="DA62" s="34"/>
      <c r="DB62" s="34"/>
      <c r="DC62" s="34"/>
      <c r="DD62" s="34"/>
      <c r="DE62" s="40">
        <v>55</v>
      </c>
      <c r="DF62" s="40" t="str">
        <f>'Steel Table'!C60</f>
        <v>WF-500X200x9x14 mm.</v>
      </c>
      <c r="DG62" s="34"/>
      <c r="DH62" s="34"/>
      <c r="DI62" s="41"/>
      <c r="DJ62" s="143"/>
      <c r="DK62" s="40"/>
      <c r="DL62" s="40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77:128" ht="15.75" customHeight="1">
      <c r="BY63" s="34"/>
      <c r="BZ63" s="34"/>
      <c r="CA63" s="34"/>
      <c r="CB63" s="34"/>
      <c r="CC63" s="34"/>
      <c r="CD63" s="34"/>
      <c r="CE63" s="40"/>
      <c r="CF63" s="39"/>
      <c r="CG63" s="39"/>
      <c r="CH63" s="40"/>
      <c r="CI63" s="40"/>
      <c r="CJ63" s="40"/>
      <c r="CK63" s="40"/>
      <c r="CL63" s="40"/>
      <c r="CM63" s="40"/>
      <c r="CN63" s="40"/>
      <c r="CO63" s="40"/>
      <c r="CP63" s="40"/>
      <c r="CQ63" s="34"/>
      <c r="CR63" s="34"/>
      <c r="CS63" s="34"/>
      <c r="CT63" s="52">
        <v>45</v>
      </c>
      <c r="CU63" s="52" t="str">
        <f>VLOOKUP(45,$DE$8:$DN$78,CV$8,TRUE)</f>
        <v>[-250x75x25x4.5 mm.</v>
      </c>
      <c r="CV63" s="34"/>
      <c r="CW63" s="34"/>
      <c r="CX63" s="41"/>
      <c r="CY63" s="34"/>
      <c r="CZ63" s="34"/>
      <c r="DA63" s="34"/>
      <c r="DB63" s="34"/>
      <c r="DC63" s="34"/>
      <c r="DD63" s="34"/>
      <c r="DE63" s="40">
        <v>56</v>
      </c>
      <c r="DF63" s="40" t="str">
        <f>'Steel Table'!C61</f>
        <v>WF-500X200x10x16 mm.</v>
      </c>
      <c r="DG63" s="34"/>
      <c r="DH63" s="34"/>
      <c r="DI63" s="41"/>
      <c r="DJ63" s="34"/>
      <c r="DK63" s="40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77:128" ht="15.75" customHeight="1">
      <c r="BY64" s="34"/>
      <c r="BZ64" s="34"/>
      <c r="CA64" s="34"/>
      <c r="CB64" s="34"/>
      <c r="CC64" s="34"/>
      <c r="CD64" s="34"/>
      <c r="CE64" s="40"/>
      <c r="CF64" s="39"/>
      <c r="CG64" s="39"/>
      <c r="CH64" s="40"/>
      <c r="CI64" s="40"/>
      <c r="CJ64" s="40"/>
      <c r="CK64" s="40"/>
      <c r="CL64" s="40"/>
      <c r="CM64" s="40"/>
      <c r="CN64" s="40"/>
      <c r="CO64" s="40"/>
      <c r="CP64" s="40"/>
      <c r="CQ64" s="34"/>
      <c r="CR64" s="34"/>
      <c r="CS64" s="34"/>
      <c r="CT64" s="52">
        <v>46</v>
      </c>
      <c r="CU64" s="52">
        <f>VLOOKUP(46,$DE$8:$DN$78,CV$8,TRUE)</f>
        <v>0</v>
      </c>
      <c r="CV64" s="34"/>
      <c r="CW64" s="34"/>
      <c r="CX64" s="41"/>
      <c r="CY64" s="34"/>
      <c r="CZ64" s="34"/>
      <c r="DA64" s="34"/>
      <c r="DB64" s="34"/>
      <c r="DC64" s="34"/>
      <c r="DD64" s="34"/>
      <c r="DE64" s="40">
        <v>57</v>
      </c>
      <c r="DF64" s="40" t="str">
        <f>'Steel Table'!C62</f>
        <v>WF-500X200x11x19 mm.</v>
      </c>
      <c r="DG64" s="34"/>
      <c r="DH64" s="34"/>
      <c r="DI64" s="41"/>
      <c r="DJ64" s="328"/>
      <c r="DK64" s="40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77:128" ht="15.75" customHeight="1">
      <c r="BY65" s="34"/>
      <c r="BZ65" s="34"/>
      <c r="CA65" s="34"/>
      <c r="CB65" s="34"/>
      <c r="CC65" s="34"/>
      <c r="CD65" s="34"/>
      <c r="CE65" s="40"/>
      <c r="CF65" s="39"/>
      <c r="CG65" s="39"/>
      <c r="CH65" s="40"/>
      <c r="CI65" s="40"/>
      <c r="CJ65" s="40"/>
      <c r="CK65" s="40"/>
      <c r="CL65" s="40"/>
      <c r="CM65" s="40"/>
      <c r="CN65" s="40"/>
      <c r="CO65" s="40"/>
      <c r="CP65" s="40"/>
      <c r="CQ65" s="34"/>
      <c r="CR65" s="34"/>
      <c r="CS65" s="34"/>
      <c r="CT65" s="52">
        <v>47</v>
      </c>
      <c r="CU65" s="52">
        <f>VLOOKUP(47,$DE$8:$DN$78,CV$8,TRUE)</f>
        <v>0</v>
      </c>
      <c r="CV65" s="34"/>
      <c r="CW65" s="34"/>
      <c r="CX65" s="41"/>
      <c r="CY65" s="34"/>
      <c r="CZ65" s="34"/>
      <c r="DA65" s="34"/>
      <c r="DB65" s="34"/>
      <c r="DC65" s="34"/>
      <c r="DD65" s="34"/>
      <c r="DE65" s="40">
        <v>58</v>
      </c>
      <c r="DF65" s="40" t="str">
        <f>'Steel Table'!C63</f>
        <v>WF-500X300x11x15 mm.</v>
      </c>
      <c r="DG65" s="34"/>
      <c r="DH65" s="34"/>
      <c r="DI65" s="41"/>
      <c r="DJ65" s="143"/>
      <c r="DK65" s="40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77:128" ht="15.75" customHeight="1">
      <c r="BY66" s="34"/>
      <c r="BZ66" s="34"/>
      <c r="CA66" s="34"/>
      <c r="CB66" s="34"/>
      <c r="CC66" s="34"/>
      <c r="CD66" s="34"/>
      <c r="CE66" s="40"/>
      <c r="CF66" s="39"/>
      <c r="CG66" s="39"/>
      <c r="CH66" s="40"/>
      <c r="CI66" s="40"/>
      <c r="CJ66" s="40"/>
      <c r="CK66" s="40"/>
      <c r="CL66" s="40"/>
      <c r="CM66" s="40"/>
      <c r="CN66" s="40"/>
      <c r="CO66" s="40"/>
      <c r="CP66" s="40"/>
      <c r="CQ66" s="34"/>
      <c r="CR66" s="34"/>
      <c r="CS66" s="34"/>
      <c r="CT66" s="52">
        <v>48</v>
      </c>
      <c r="CU66" s="52">
        <f>VLOOKUP(48,$DE$8:$DN$78,CV$8,TRUE)</f>
        <v>0</v>
      </c>
      <c r="CV66" s="34"/>
      <c r="CW66" s="34"/>
      <c r="CX66" s="34"/>
      <c r="CY66" s="34"/>
      <c r="CZ66" s="34"/>
      <c r="DA66" s="34"/>
      <c r="DB66" s="34"/>
      <c r="DC66" s="34"/>
      <c r="DD66" s="34"/>
      <c r="DE66" s="40">
        <v>59</v>
      </c>
      <c r="DF66" s="40" t="str">
        <f>'Steel Table'!C64</f>
        <v>WF-500X300x11x18 mm.</v>
      </c>
      <c r="DG66" s="34"/>
      <c r="DH66" s="34"/>
      <c r="DI66" s="41"/>
      <c r="DJ66" s="34"/>
      <c r="DK66" s="40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77:128" ht="15.75" customHeight="1">
      <c r="BY67" s="34"/>
      <c r="BZ67" s="34"/>
      <c r="CA67" s="34"/>
      <c r="CB67" s="34"/>
      <c r="CC67" s="34"/>
      <c r="CD67" s="34"/>
      <c r="CE67" s="40"/>
      <c r="CF67" s="39"/>
      <c r="CG67" s="39"/>
      <c r="CH67" s="40"/>
      <c r="CI67" s="40"/>
      <c r="CJ67" s="40"/>
      <c r="CK67" s="40"/>
      <c r="CL67" s="40"/>
      <c r="CM67" s="40"/>
      <c r="CN67" s="40"/>
      <c r="CO67" s="40"/>
      <c r="CP67" s="40"/>
      <c r="CQ67" s="34"/>
      <c r="CR67" s="34"/>
      <c r="CS67" s="34"/>
      <c r="CT67" s="52">
        <v>49</v>
      </c>
      <c r="CU67" s="52">
        <f>VLOOKUP(49,$DE$8:$DN$78,CV$8,TRUE)</f>
        <v>0</v>
      </c>
      <c r="CV67" s="34"/>
      <c r="CW67" s="34"/>
      <c r="CX67" s="34"/>
      <c r="CY67" s="34"/>
      <c r="CZ67" s="34"/>
      <c r="DA67" s="34"/>
      <c r="DB67" s="34"/>
      <c r="DC67" s="34"/>
      <c r="DD67" s="34"/>
      <c r="DE67" s="40">
        <v>60</v>
      </c>
      <c r="DF67" s="40" t="str">
        <f>'Steel Table'!C65</f>
        <v>WF-500X300x13x21 mm.</v>
      </c>
      <c r="DG67" s="34"/>
      <c r="DH67" s="34"/>
      <c r="DI67" s="41"/>
      <c r="DJ67" s="34"/>
      <c r="DK67" s="40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77:128" ht="15.75" customHeight="1">
      <c r="BY68" s="34"/>
      <c r="BZ68" s="34"/>
      <c r="CA68" s="34"/>
      <c r="CB68" s="34"/>
      <c r="CC68" s="34"/>
      <c r="CD68" s="34"/>
      <c r="CE68" s="40"/>
      <c r="CF68" s="39"/>
      <c r="CG68" s="39"/>
      <c r="CH68" s="40"/>
      <c r="CI68" s="40"/>
      <c r="CJ68" s="40"/>
      <c r="CK68" s="40"/>
      <c r="CL68" s="40"/>
      <c r="CM68" s="40"/>
      <c r="CN68" s="66"/>
      <c r="CO68" s="40"/>
      <c r="CP68" s="40"/>
      <c r="CQ68" s="34"/>
      <c r="CR68" s="34"/>
      <c r="CS68" s="34"/>
      <c r="CT68" s="52">
        <v>50</v>
      </c>
      <c r="CU68" s="52">
        <f>VLOOKUP(50,$DE$8:$DN$78,CV$8,TRUE)</f>
        <v>0</v>
      </c>
      <c r="CV68" s="34"/>
      <c r="CW68" s="34"/>
      <c r="CX68" s="34"/>
      <c r="CY68" s="34"/>
      <c r="CZ68" s="34"/>
      <c r="DA68" s="34"/>
      <c r="DB68" s="34"/>
      <c r="DC68" s="34"/>
      <c r="DD68" s="34"/>
      <c r="DE68" s="40">
        <v>61</v>
      </c>
      <c r="DF68" s="40" t="str">
        <f>'Steel Table'!C66</f>
        <v>WF-600X200x10x15 mm.</v>
      </c>
      <c r="DG68" s="34"/>
      <c r="DH68" s="34"/>
      <c r="DI68" s="41"/>
      <c r="DJ68" s="34"/>
      <c r="DK68" s="40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77:128" ht="15.75" customHeight="1">
      <c r="BY69" s="34"/>
      <c r="BZ69" s="34"/>
      <c r="CA69" s="34"/>
      <c r="CB69" s="34"/>
      <c r="CC69" s="34"/>
      <c r="CD69" s="34"/>
      <c r="CE69" s="40"/>
      <c r="CF69" s="39"/>
      <c r="CG69" s="39"/>
      <c r="CH69" s="40"/>
      <c r="CI69" s="40"/>
      <c r="CJ69" s="40"/>
      <c r="CK69" s="40"/>
      <c r="CL69" s="40"/>
      <c r="CM69" s="40"/>
      <c r="CN69" s="117"/>
      <c r="CO69" s="40"/>
      <c r="CP69" s="40"/>
      <c r="CQ69" s="34"/>
      <c r="CR69" s="34"/>
      <c r="CS69" s="34"/>
      <c r="CT69" s="52">
        <v>51</v>
      </c>
      <c r="CU69" s="52">
        <f>VLOOKUP(51,$DE$8:$DN$78,CV$8,TRUE)</f>
        <v>0</v>
      </c>
      <c r="CV69" s="34"/>
      <c r="CW69" s="34"/>
      <c r="CX69" s="34"/>
      <c r="CY69" s="34"/>
      <c r="CZ69" s="34"/>
      <c r="DA69" s="34"/>
      <c r="DB69" s="34"/>
      <c r="DC69" s="34"/>
      <c r="DD69" s="34"/>
      <c r="DE69" s="40">
        <v>62</v>
      </c>
      <c r="DF69" s="40" t="str">
        <f>'Steel Table'!C67</f>
        <v>WF-600X200x11x17 mm.</v>
      </c>
      <c r="DG69" s="34"/>
      <c r="DH69" s="34"/>
      <c r="DI69" s="41"/>
      <c r="DJ69" s="147"/>
      <c r="DK69" s="40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77:128" ht="15.75" customHeight="1">
      <c r="BY70" s="34"/>
      <c r="BZ70" s="34"/>
      <c r="CA70" s="34"/>
      <c r="CB70" s="34"/>
      <c r="CC70" s="34"/>
      <c r="CD70" s="34"/>
      <c r="CE70" s="40"/>
      <c r="CF70" s="39"/>
      <c r="CG70" s="39"/>
      <c r="CH70" s="40"/>
      <c r="CI70" s="40"/>
      <c r="CJ70" s="40"/>
      <c r="CK70" s="40"/>
      <c r="CL70" s="40"/>
      <c r="CM70" s="40"/>
      <c r="CN70" s="40"/>
      <c r="CO70" s="40"/>
      <c r="CP70" s="40"/>
      <c r="CQ70" s="34"/>
      <c r="CR70" s="34"/>
      <c r="CS70" s="34"/>
      <c r="CT70" s="52">
        <v>52</v>
      </c>
      <c r="CU70" s="52">
        <f>VLOOKUP(52,$DE$8:$DN$78,CV$8,TRUE)</f>
        <v>0</v>
      </c>
      <c r="CV70" s="34"/>
      <c r="CW70" s="34"/>
      <c r="CX70" s="34"/>
      <c r="CY70" s="34"/>
      <c r="CZ70" s="34"/>
      <c r="DA70" s="34"/>
      <c r="DB70" s="34"/>
      <c r="DC70" s="34"/>
      <c r="DD70" s="34"/>
      <c r="DE70" s="40">
        <v>63</v>
      </c>
      <c r="DF70" s="40" t="str">
        <f>'Steel Table'!C68</f>
        <v>WF-600X200x12x20 mm.</v>
      </c>
      <c r="DG70" s="34"/>
      <c r="DH70" s="34"/>
      <c r="DI70" s="41"/>
      <c r="DJ70" s="34"/>
      <c r="DK70" s="40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77:128" ht="15.75" customHeight="1">
      <c r="BY71" s="34"/>
      <c r="BZ71" s="34"/>
      <c r="CA71" s="34"/>
      <c r="CB71" s="34"/>
      <c r="CC71" s="34"/>
      <c r="CD71" s="34"/>
      <c r="CE71" s="40"/>
      <c r="CF71" s="39"/>
      <c r="CG71" s="39"/>
      <c r="CH71" s="40"/>
      <c r="CI71" s="40"/>
      <c r="CJ71" s="40"/>
      <c r="CK71" s="40"/>
      <c r="CL71" s="40"/>
      <c r="CM71" s="40"/>
      <c r="CN71" s="40"/>
      <c r="CO71" s="40"/>
      <c r="CP71" s="40"/>
      <c r="CQ71" s="34"/>
      <c r="CR71" s="34"/>
      <c r="CS71" s="34"/>
      <c r="CT71" s="52">
        <v>53</v>
      </c>
      <c r="CU71" s="52">
        <f>VLOOKUP(53,$DE$8:$DN$78,CV$8,TRUE)</f>
        <v>0</v>
      </c>
      <c r="CV71" s="34"/>
      <c r="CW71" s="34"/>
      <c r="CX71" s="34"/>
      <c r="CY71" s="34"/>
      <c r="CZ71" s="34"/>
      <c r="DA71" s="34"/>
      <c r="DB71" s="34"/>
      <c r="DC71" s="34"/>
      <c r="DD71" s="34"/>
      <c r="DE71" s="40">
        <v>64</v>
      </c>
      <c r="DF71" s="40" t="str">
        <f>'Steel Table'!C69</f>
        <v>WF-600X200x13x23 mm.</v>
      </c>
      <c r="DG71" s="34"/>
      <c r="DH71" s="34"/>
      <c r="DI71" s="41"/>
      <c r="DJ71" s="328"/>
      <c r="DK71" s="40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</row>
    <row r="72" spans="77:128" ht="15.75" customHeight="1">
      <c r="BY72" s="34"/>
      <c r="BZ72" s="34"/>
      <c r="CA72" s="34"/>
      <c r="CB72" s="34"/>
      <c r="CC72" s="34"/>
      <c r="CD72" s="34"/>
      <c r="CE72" s="40"/>
      <c r="CF72" s="39"/>
      <c r="CG72" s="39"/>
      <c r="CH72" s="40"/>
      <c r="CI72" s="40"/>
      <c r="CJ72" s="40"/>
      <c r="CK72" s="40"/>
      <c r="CL72" s="40"/>
      <c r="CM72" s="40"/>
      <c r="CN72" s="40"/>
      <c r="CO72" s="40"/>
      <c r="CP72" s="40"/>
      <c r="CQ72" s="34"/>
      <c r="CR72" s="34"/>
      <c r="CS72" s="34"/>
      <c r="CT72" s="52">
        <v>54</v>
      </c>
      <c r="CU72" s="52">
        <f>VLOOKUP(54,$DE$8:$DN$78,CV$8,TRUE)</f>
        <v>0</v>
      </c>
      <c r="CV72" s="34"/>
      <c r="CW72" s="34"/>
      <c r="CX72" s="34"/>
      <c r="CY72" s="34"/>
      <c r="CZ72" s="34"/>
      <c r="DA72" s="34"/>
      <c r="DB72" s="34"/>
      <c r="DC72" s="34"/>
      <c r="DD72" s="34"/>
      <c r="DE72" s="40">
        <v>65</v>
      </c>
      <c r="DF72" s="40" t="str">
        <f>'Steel Table'!C70</f>
        <v>WF-600X300x12x17 mm.</v>
      </c>
      <c r="DG72" s="34"/>
      <c r="DH72" s="34"/>
      <c r="DI72" s="41"/>
      <c r="DJ72" s="329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</row>
    <row r="73" spans="77:128" ht="15.75" customHeight="1">
      <c r="BY73" s="34"/>
      <c r="BZ73" s="34"/>
      <c r="CA73" s="34"/>
      <c r="CB73" s="34"/>
      <c r="CC73" s="34"/>
      <c r="CD73" s="34"/>
      <c r="CE73" s="40"/>
      <c r="CF73" s="39"/>
      <c r="CG73" s="39"/>
      <c r="CH73" s="40"/>
      <c r="CI73" s="40"/>
      <c r="CJ73" s="40"/>
      <c r="CK73" s="40"/>
      <c r="CL73" s="40"/>
      <c r="CM73" s="40"/>
      <c r="CN73" s="40"/>
      <c r="CO73" s="40"/>
      <c r="CP73" s="40"/>
      <c r="CQ73" s="34"/>
      <c r="CR73" s="34"/>
      <c r="CS73" s="34"/>
      <c r="CT73" s="52">
        <v>55</v>
      </c>
      <c r="CU73" s="52">
        <f>VLOOKUP(55,$DE$8:$DN$78,CV$8,TRUE)</f>
        <v>0</v>
      </c>
      <c r="CV73" s="34"/>
      <c r="CW73" s="34"/>
      <c r="CX73" s="34"/>
      <c r="CY73" s="34"/>
      <c r="CZ73" s="34"/>
      <c r="DA73" s="34"/>
      <c r="DB73" s="34"/>
      <c r="DC73" s="34"/>
      <c r="DD73" s="34"/>
      <c r="DE73" s="40">
        <v>66</v>
      </c>
      <c r="DF73" s="40" t="str">
        <f>'Steel Table'!C71</f>
        <v>WF-600X300x12x20 mm.</v>
      </c>
      <c r="DG73" s="34"/>
      <c r="DH73" s="34"/>
      <c r="DI73" s="41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</row>
    <row r="74" spans="77:128" ht="15.75" customHeight="1">
      <c r="BY74" s="34"/>
      <c r="BZ74" s="34"/>
      <c r="CA74" s="34"/>
      <c r="CB74" s="34"/>
      <c r="CC74" s="34"/>
      <c r="CD74" s="34"/>
      <c r="CE74" s="40"/>
      <c r="CF74" s="39"/>
      <c r="CG74" s="39"/>
      <c r="CH74" s="40"/>
      <c r="CI74" s="40"/>
      <c r="CJ74" s="40"/>
      <c r="CK74" s="40"/>
      <c r="CL74" s="40"/>
      <c r="CM74" s="40"/>
      <c r="CN74" s="40"/>
      <c r="CO74" s="40"/>
      <c r="CP74" s="40"/>
      <c r="CQ74" s="34"/>
      <c r="CR74" s="34"/>
      <c r="CS74" s="34"/>
      <c r="CT74" s="52">
        <v>56</v>
      </c>
      <c r="CU74" s="52">
        <f>VLOOKUP(56,$DE$8:$DN$78,CV$8,TRUE)</f>
        <v>0</v>
      </c>
      <c r="CV74" s="34"/>
      <c r="CW74" s="34"/>
      <c r="CX74" s="34"/>
      <c r="CY74" s="34"/>
      <c r="CZ74" s="34"/>
      <c r="DA74" s="34"/>
      <c r="DB74" s="34"/>
      <c r="DC74" s="34"/>
      <c r="DD74" s="34"/>
      <c r="DE74" s="40">
        <v>67</v>
      </c>
      <c r="DF74" s="40" t="str">
        <f>'Steel Table'!C72</f>
        <v>WF-600X300x14x23 mm.</v>
      </c>
      <c r="DG74" s="34"/>
      <c r="DH74" s="34"/>
      <c r="DI74" s="41"/>
      <c r="DJ74" s="328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</row>
    <row r="75" spans="77:128" ht="15.75" customHeight="1">
      <c r="BY75" s="34"/>
      <c r="BZ75" s="34"/>
      <c r="CA75" s="34"/>
      <c r="CB75" s="34"/>
      <c r="CC75" s="34"/>
      <c r="CD75" s="34"/>
      <c r="CE75" s="40"/>
      <c r="CF75" s="39"/>
      <c r="CG75" s="39"/>
      <c r="CH75" s="40"/>
      <c r="CI75" s="40"/>
      <c r="CJ75" s="40"/>
      <c r="CK75" s="40"/>
      <c r="CL75" s="40"/>
      <c r="CM75" s="40"/>
      <c r="CN75" s="40"/>
      <c r="CO75" s="40"/>
      <c r="CP75" s="40"/>
      <c r="CQ75" s="34"/>
      <c r="CR75" s="34"/>
      <c r="CS75" s="34"/>
      <c r="CT75" s="52">
        <v>57</v>
      </c>
      <c r="CU75" s="52">
        <f>VLOOKUP(57,$DE$8:$DN$78,CV$8,TRUE)</f>
        <v>0</v>
      </c>
      <c r="CV75" s="34"/>
      <c r="CW75" s="34"/>
      <c r="CX75" s="34"/>
      <c r="CY75" s="34"/>
      <c r="CZ75" s="34"/>
      <c r="DA75" s="34"/>
      <c r="DB75" s="34"/>
      <c r="DC75" s="34"/>
      <c r="DD75" s="34"/>
      <c r="DE75" s="40">
        <v>68</v>
      </c>
      <c r="DF75" s="40" t="str">
        <f>'Steel Table'!C73</f>
        <v>WF-700x300x13x20 mm.</v>
      </c>
      <c r="DG75" s="34"/>
      <c r="DH75" s="34"/>
      <c r="DI75" s="41"/>
      <c r="DJ75" s="328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</row>
    <row r="76" spans="77:128" ht="15.75" customHeight="1">
      <c r="BY76" s="34"/>
      <c r="BZ76" s="34"/>
      <c r="CA76" s="34"/>
      <c r="CB76" s="34"/>
      <c r="CC76" s="34"/>
      <c r="CD76" s="34"/>
      <c r="CE76" s="40"/>
      <c r="CF76" s="39"/>
      <c r="CG76" s="39"/>
      <c r="CH76" s="40"/>
      <c r="CI76" s="40"/>
      <c r="CJ76" s="40"/>
      <c r="CK76" s="40"/>
      <c r="CL76" s="40"/>
      <c r="CM76" s="40"/>
      <c r="CN76" s="40"/>
      <c r="CO76" s="40"/>
      <c r="CP76" s="40"/>
      <c r="CQ76" s="34"/>
      <c r="CR76" s="34"/>
      <c r="CS76" s="34"/>
      <c r="CT76" s="52">
        <v>58</v>
      </c>
      <c r="CU76" s="52">
        <f>VLOOKUP(58,$DE$8:$DN$78,CV$8,TRUE)</f>
        <v>0</v>
      </c>
      <c r="CV76" s="34"/>
      <c r="CW76" s="34"/>
      <c r="CX76" s="34"/>
      <c r="CY76" s="34"/>
      <c r="CZ76" s="34"/>
      <c r="DA76" s="34"/>
      <c r="DB76" s="34"/>
      <c r="DC76" s="34"/>
      <c r="DD76" s="34"/>
      <c r="DE76" s="40">
        <v>69</v>
      </c>
      <c r="DF76" s="40" t="str">
        <f>'Steel Table'!C74</f>
        <v>WF-700x300x13x24 mm.</v>
      </c>
      <c r="DG76" s="34"/>
      <c r="DH76" s="34"/>
      <c r="DI76" s="41"/>
      <c r="DJ76" s="147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</row>
    <row r="77" spans="77:128" ht="15.75" customHeight="1">
      <c r="BY77" s="34"/>
      <c r="BZ77" s="34"/>
      <c r="CA77" s="34"/>
      <c r="CB77" s="34"/>
      <c r="CC77" s="34"/>
      <c r="CD77" s="34"/>
      <c r="CE77" s="40"/>
      <c r="CF77" s="39"/>
      <c r="CG77" s="39"/>
      <c r="CH77" s="40"/>
      <c r="CI77" s="40"/>
      <c r="CJ77" s="40"/>
      <c r="CK77" s="40"/>
      <c r="CL77" s="40"/>
      <c r="CM77" s="40"/>
      <c r="CN77" s="40"/>
      <c r="CO77" s="40"/>
      <c r="CP77" s="40"/>
      <c r="CQ77" s="34"/>
      <c r="CR77" s="34"/>
      <c r="CS77" s="34"/>
      <c r="CT77" s="52">
        <v>59</v>
      </c>
      <c r="CU77" s="52">
        <f>VLOOKUP(59,$DE$8:$DN$78,CV$8,TRUE)</f>
        <v>0</v>
      </c>
      <c r="CV77" s="34"/>
      <c r="CW77" s="34"/>
      <c r="CX77" s="34"/>
      <c r="CY77" s="34"/>
      <c r="CZ77" s="34"/>
      <c r="DA77" s="34"/>
      <c r="DB77" s="34"/>
      <c r="DC77" s="34"/>
      <c r="DD77" s="34"/>
      <c r="DE77" s="40">
        <v>70</v>
      </c>
      <c r="DF77" s="40" t="str">
        <f>'Steel Table'!C75</f>
        <v>WF-800x300x14x22 mm.</v>
      </c>
      <c r="DG77" s="34"/>
      <c r="DH77" s="34"/>
      <c r="DI77" s="41"/>
      <c r="DJ77" s="147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</row>
    <row r="78" spans="77:128" ht="15.75" customHeight="1">
      <c r="BY78" s="34"/>
      <c r="BZ78" s="34"/>
      <c r="CA78" s="34"/>
      <c r="CB78" s="34"/>
      <c r="CC78" s="34"/>
      <c r="CD78" s="34"/>
      <c r="CE78" s="40"/>
      <c r="CF78" s="39"/>
      <c r="CG78" s="39"/>
      <c r="CH78" s="40"/>
      <c r="CI78" s="40"/>
      <c r="CJ78" s="40"/>
      <c r="CK78" s="40"/>
      <c r="CL78" s="40"/>
      <c r="CM78" s="40"/>
      <c r="CN78" s="40"/>
      <c r="CO78" s="40"/>
      <c r="CP78" s="40"/>
      <c r="CQ78" s="34"/>
      <c r="CR78" s="34"/>
      <c r="CS78" s="34"/>
      <c r="CT78" s="52">
        <v>60</v>
      </c>
      <c r="CU78" s="52">
        <f>VLOOKUP(60,$DE$8:$DN$78,CV$8,TRUE)</f>
        <v>0</v>
      </c>
      <c r="CV78" s="34"/>
      <c r="CW78" s="34"/>
      <c r="CX78" s="34"/>
      <c r="CY78" s="34"/>
      <c r="CZ78" s="34"/>
      <c r="DA78" s="34"/>
      <c r="DB78" s="34"/>
      <c r="DC78" s="34"/>
      <c r="DD78" s="34"/>
      <c r="DE78" s="40">
        <v>71</v>
      </c>
      <c r="DF78" s="40" t="str">
        <f>'Steel Table'!C76</f>
        <v>WF-800x300x14x26 mm.</v>
      </c>
      <c r="DG78" s="34"/>
      <c r="DH78" s="34"/>
      <c r="DI78" s="41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</row>
    <row r="79" spans="77:128" ht="15.75" customHeight="1">
      <c r="BY79" s="34"/>
      <c r="BZ79" s="34"/>
      <c r="CA79" s="34"/>
      <c r="CB79" s="34"/>
      <c r="CC79" s="34"/>
      <c r="CD79" s="34"/>
      <c r="CE79" s="40"/>
      <c r="CF79" s="39"/>
      <c r="CG79" s="39"/>
      <c r="CH79" s="40"/>
      <c r="CI79" s="40"/>
      <c r="CJ79" s="40"/>
      <c r="CK79" s="40"/>
      <c r="CL79" s="40"/>
      <c r="CM79" s="40"/>
      <c r="CN79" s="40"/>
      <c r="CO79" s="40"/>
      <c r="CP79" s="40"/>
      <c r="CQ79" s="34"/>
      <c r="CR79" s="34"/>
      <c r="CS79" s="34"/>
      <c r="CT79" s="52">
        <v>61</v>
      </c>
      <c r="CU79" s="52">
        <f>VLOOKUP(61,$DE$8:$DN$78,CV$8,TRUE)</f>
        <v>0</v>
      </c>
      <c r="CV79" s="34"/>
      <c r="CW79" s="34"/>
      <c r="CX79" s="34"/>
      <c r="CY79" s="34"/>
      <c r="CZ79" s="34"/>
      <c r="DA79" s="34"/>
      <c r="DB79" s="34"/>
      <c r="DC79" s="34"/>
      <c r="DD79" s="34"/>
      <c r="DE79" s="40">
        <v>72</v>
      </c>
      <c r="DF79" s="40" t="str">
        <f>'Steel Table'!C77</f>
        <v>WF-900x300x16x28 mm.</v>
      </c>
      <c r="DG79" s="34"/>
      <c r="DH79" s="34"/>
      <c r="DI79" s="41"/>
      <c r="DJ79" s="147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</row>
    <row r="80" spans="77:128" ht="15.75" customHeight="1">
      <c r="BY80" s="34"/>
      <c r="BZ80" s="34"/>
      <c r="CA80" s="34"/>
      <c r="CB80" s="34"/>
      <c r="CC80" s="34"/>
      <c r="CD80" s="34"/>
      <c r="CE80" s="40"/>
      <c r="CF80" s="39"/>
      <c r="CG80" s="39"/>
      <c r="CH80" s="40"/>
      <c r="CI80" s="40"/>
      <c r="CJ80" s="40"/>
      <c r="CK80" s="40"/>
      <c r="CL80" s="40"/>
      <c r="CM80" s="40"/>
      <c r="CN80" s="40"/>
      <c r="CO80" s="40"/>
      <c r="CP80" s="40"/>
      <c r="CQ80" s="34"/>
      <c r="CR80" s="34"/>
      <c r="CS80" s="34"/>
      <c r="CT80" s="52">
        <v>62</v>
      </c>
      <c r="CU80" s="52">
        <f>VLOOKUP(62,$DE$8:$DN$78,CV$8,TRUE)</f>
        <v>0</v>
      </c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40"/>
      <c r="DG80" s="34"/>
      <c r="DH80" s="34"/>
      <c r="DI80" s="34"/>
      <c r="DJ80" s="147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</row>
    <row r="81" spans="77:128" ht="15.75" customHeight="1">
      <c r="BY81" s="34"/>
      <c r="BZ81" s="34"/>
      <c r="CA81" s="34"/>
      <c r="CB81" s="34"/>
      <c r="CC81" s="34"/>
      <c r="CD81" s="34"/>
      <c r="CE81" s="40"/>
      <c r="CF81" s="39"/>
      <c r="CG81" s="39"/>
      <c r="CH81" s="40"/>
      <c r="CI81" s="40"/>
      <c r="CJ81" s="40"/>
      <c r="CK81" s="40"/>
      <c r="CL81" s="40"/>
      <c r="CM81" s="40"/>
      <c r="CN81" s="40"/>
      <c r="CO81" s="40"/>
      <c r="CP81" s="40"/>
      <c r="CQ81" s="34"/>
      <c r="CR81" s="34"/>
      <c r="CS81" s="34"/>
      <c r="CT81" s="52">
        <v>63</v>
      </c>
      <c r="CU81" s="52">
        <f>VLOOKUP(63,$DE$8:$DN$78,CV$8,TRUE)</f>
        <v>0</v>
      </c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40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</row>
    <row r="82" spans="77:128" ht="15.75" customHeight="1">
      <c r="BY82" s="34"/>
      <c r="BZ82" s="34"/>
      <c r="CA82" s="34"/>
      <c r="CB82" s="34"/>
      <c r="CC82" s="34"/>
      <c r="CD82" s="34"/>
      <c r="CE82" s="40"/>
      <c r="CF82" s="39"/>
      <c r="CG82" s="39"/>
      <c r="CH82" s="40"/>
      <c r="CI82" s="40"/>
      <c r="CJ82" s="40"/>
      <c r="CK82" s="40"/>
      <c r="CL82" s="40"/>
      <c r="CM82" s="40"/>
      <c r="CN82" s="40"/>
      <c r="CO82" s="40"/>
      <c r="CP82" s="40"/>
      <c r="CQ82" s="34"/>
      <c r="CR82" s="34"/>
      <c r="CS82" s="34"/>
      <c r="CT82" s="52">
        <v>64</v>
      </c>
      <c r="CU82" s="52">
        <f>VLOOKUP(64,$DE$8:$DN$78,CV$8,TRUE)</f>
        <v>0</v>
      </c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40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</row>
    <row r="83" spans="77:128" ht="15.75" customHeight="1">
      <c r="BY83" s="34"/>
      <c r="BZ83" s="34"/>
      <c r="CA83" s="34"/>
      <c r="CB83" s="34"/>
      <c r="CC83" s="34"/>
      <c r="CD83" s="34"/>
      <c r="CE83" s="40"/>
      <c r="CF83" s="39"/>
      <c r="CG83" s="39"/>
      <c r="CH83" s="40"/>
      <c r="CI83" s="40"/>
      <c r="CJ83" s="40"/>
      <c r="CK83" s="40"/>
      <c r="CL83" s="40"/>
      <c r="CM83" s="40"/>
      <c r="CN83" s="40"/>
      <c r="CO83" s="40"/>
      <c r="CP83" s="40"/>
      <c r="CQ83" s="34"/>
      <c r="CR83" s="34"/>
      <c r="CS83" s="34"/>
      <c r="CT83" s="52">
        <v>65</v>
      </c>
      <c r="CU83" s="52">
        <f>VLOOKUP(65,$DE$8:$DN$78,CV$8,TRUE)</f>
        <v>0</v>
      </c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</row>
    <row r="84" spans="77:128" ht="15.75" customHeight="1">
      <c r="BY84" s="34"/>
      <c r="BZ84" s="34"/>
      <c r="CA84" s="34"/>
      <c r="CB84" s="34"/>
      <c r="CC84" s="34"/>
      <c r="CD84" s="34"/>
      <c r="CE84" s="40"/>
      <c r="CF84" s="39"/>
      <c r="CG84" s="39"/>
      <c r="CH84" s="40"/>
      <c r="CI84" s="40"/>
      <c r="CJ84" s="40"/>
      <c r="CK84" s="40"/>
      <c r="CL84" s="40"/>
      <c r="CM84" s="40"/>
      <c r="CN84" s="40"/>
      <c r="CO84" s="40"/>
      <c r="CP84" s="40"/>
      <c r="CQ84" s="34"/>
      <c r="CR84" s="34"/>
      <c r="CS84" s="34"/>
      <c r="CT84" s="52">
        <v>66</v>
      </c>
      <c r="CU84" s="52">
        <f>VLOOKUP(66,$DE$8:$DN$78,CV$8,TRUE)</f>
        <v>0</v>
      </c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</row>
    <row r="85" spans="77:128" ht="15.75" customHeight="1">
      <c r="BY85" s="34"/>
      <c r="BZ85" s="34"/>
      <c r="CA85" s="34"/>
      <c r="CB85" s="34"/>
      <c r="CC85" s="34"/>
      <c r="CD85" s="34"/>
      <c r="CE85" s="40"/>
      <c r="CF85" s="39"/>
      <c r="CG85" s="39"/>
      <c r="CH85" s="40"/>
      <c r="CI85" s="40"/>
      <c r="CJ85" s="40"/>
      <c r="CK85" s="40"/>
      <c r="CL85" s="40"/>
      <c r="CM85" s="40"/>
      <c r="CN85" s="40"/>
      <c r="CO85" s="40"/>
      <c r="CP85" s="40"/>
      <c r="CQ85" s="34"/>
      <c r="CR85" s="34"/>
      <c r="CS85" s="34"/>
      <c r="CT85" s="52">
        <v>67</v>
      </c>
      <c r="CU85" s="52">
        <f>VLOOKUP(67,$DE$8:$DN$78,CV$8,TRUE)</f>
        <v>0</v>
      </c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</row>
    <row r="86" spans="77:128" ht="15.75" customHeight="1">
      <c r="BY86" s="34"/>
      <c r="BZ86" s="34"/>
      <c r="CA86" s="34"/>
      <c r="CB86" s="34"/>
      <c r="CC86" s="34"/>
      <c r="CD86" s="34"/>
      <c r="CE86" s="40"/>
      <c r="CF86" s="39"/>
      <c r="CG86" s="39"/>
      <c r="CH86" s="40"/>
      <c r="CI86" s="40"/>
      <c r="CJ86" s="40"/>
      <c r="CK86" s="40"/>
      <c r="CL86" s="40"/>
      <c r="CM86" s="40"/>
      <c r="CN86" s="40"/>
      <c r="CO86" s="40"/>
      <c r="CP86" s="40"/>
      <c r="CQ86" s="34"/>
      <c r="CR86" s="34"/>
      <c r="CS86" s="34"/>
      <c r="CT86" s="52">
        <v>68</v>
      </c>
      <c r="CU86" s="52">
        <f>VLOOKUP(68,$DE$8:$DN$78,CV$8,TRUE)</f>
        <v>0</v>
      </c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</row>
    <row r="87" spans="77:128" ht="15.75" customHeight="1">
      <c r="BY87" s="34"/>
      <c r="BZ87" s="34"/>
      <c r="CA87" s="34"/>
      <c r="CB87" s="34"/>
      <c r="CC87" s="34"/>
      <c r="CD87" s="34"/>
      <c r="CE87" s="40"/>
      <c r="CF87" s="39"/>
      <c r="CG87" s="39"/>
      <c r="CH87" s="40"/>
      <c r="CI87" s="40"/>
      <c r="CJ87" s="40"/>
      <c r="CK87" s="40"/>
      <c r="CL87" s="40"/>
      <c r="CM87" s="40"/>
      <c r="CN87" s="40"/>
      <c r="CO87" s="40"/>
      <c r="CP87" s="40"/>
      <c r="CQ87" s="34"/>
      <c r="CR87" s="34"/>
      <c r="CS87" s="34"/>
      <c r="CT87" s="52">
        <v>69</v>
      </c>
      <c r="CU87" s="52">
        <f>VLOOKUP(69,$DE$8:$DN$78,CV$8,TRUE)</f>
        <v>0</v>
      </c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</row>
    <row r="88" spans="77:128" ht="15.75" customHeight="1">
      <c r="BY88" s="34"/>
      <c r="BZ88" s="34"/>
      <c r="CA88" s="34"/>
      <c r="CB88" s="34"/>
      <c r="CC88" s="34"/>
      <c r="CD88" s="34"/>
      <c r="CE88" s="40"/>
      <c r="CF88" s="39"/>
      <c r="CG88" s="39"/>
      <c r="CH88" s="40"/>
      <c r="CI88" s="40"/>
      <c r="CJ88" s="40"/>
      <c r="CK88" s="40"/>
      <c r="CL88" s="40"/>
      <c r="CM88" s="40"/>
      <c r="CN88" s="40"/>
      <c r="CO88" s="40"/>
      <c r="CP88" s="40"/>
      <c r="CQ88" s="34"/>
      <c r="CR88" s="34"/>
      <c r="CS88" s="34"/>
      <c r="CT88" s="52">
        <v>70</v>
      </c>
      <c r="CU88" s="52">
        <f>VLOOKUP(70,$DE$8:$DN$78,CV$8,TRUE)</f>
        <v>0</v>
      </c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</row>
    <row r="89" spans="77:128" ht="15.75" customHeight="1">
      <c r="BY89" s="34"/>
      <c r="BZ89" s="34"/>
      <c r="CA89" s="34"/>
      <c r="CB89" s="34"/>
      <c r="CC89" s="34"/>
      <c r="CD89" s="34"/>
      <c r="CE89" s="40"/>
      <c r="CF89" s="39"/>
      <c r="CG89" s="39"/>
      <c r="CH89" s="40"/>
      <c r="CI89" s="40"/>
      <c r="CJ89" s="40"/>
      <c r="CK89" s="40"/>
      <c r="CL89" s="40"/>
      <c r="CM89" s="40"/>
      <c r="CN89" s="40"/>
      <c r="CO89" s="40"/>
      <c r="CP89" s="40"/>
      <c r="CQ89" s="34"/>
      <c r="CR89" s="34"/>
      <c r="CS89" s="34"/>
      <c r="CT89" s="52">
        <v>71</v>
      </c>
      <c r="CU89" s="52">
        <f>VLOOKUP(71,$DE$8:$DN$78,CV$8,TRUE)</f>
        <v>0</v>
      </c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</row>
    <row r="90" spans="98:99" ht="15.75" customHeight="1">
      <c r="CT90" s="52">
        <v>72</v>
      </c>
      <c r="CU90" s="52">
        <f>VLOOKUP(72,$DE$8:$DN$78,CV$8,TRUE)</f>
        <v>0</v>
      </c>
    </row>
    <row r="91" spans="98:99" ht="15.75" customHeight="1">
      <c r="CT91" s="52"/>
      <c r="CU91" s="52"/>
    </row>
    <row r="92" spans="98:99" ht="15.75" customHeight="1">
      <c r="CT92" s="52"/>
      <c r="CU92" s="52"/>
    </row>
    <row r="93" spans="98:99" ht="15.75" customHeight="1">
      <c r="CT93" s="52"/>
      <c r="CU93" s="52"/>
    </row>
    <row r="94" spans="98:99" ht="15.75" customHeight="1">
      <c r="CT94" s="52"/>
      <c r="CU94" s="52"/>
    </row>
  </sheetData>
  <sheetProtection password="DA3E" sheet="1"/>
  <mergeCells count="72">
    <mergeCell ref="AC9:AF9"/>
    <mergeCell ref="AC10:AF10"/>
    <mergeCell ref="AA16:AB16"/>
    <mergeCell ref="AC28:AH28"/>
    <mergeCell ref="AG9:AI9"/>
    <mergeCell ref="AG10:AI10"/>
    <mergeCell ref="X14:Z14"/>
    <mergeCell ref="X15:Z15"/>
    <mergeCell ref="X16:Z16"/>
    <mergeCell ref="N24:P24"/>
    <mergeCell ref="N22:P22"/>
    <mergeCell ref="N23:P23"/>
    <mergeCell ref="N18:P18"/>
    <mergeCell ref="N20:P20"/>
    <mergeCell ref="R20:X20"/>
    <mergeCell ref="R19:X19"/>
    <mergeCell ref="N26:P26"/>
    <mergeCell ref="N12:P12"/>
    <mergeCell ref="N13:P13"/>
    <mergeCell ref="N21:P21"/>
    <mergeCell ref="N19:P19"/>
    <mergeCell ref="N14:P14"/>
    <mergeCell ref="N15:P15"/>
    <mergeCell ref="N16:P16"/>
    <mergeCell ref="N17:P17"/>
    <mergeCell ref="N25:P25"/>
    <mergeCell ref="CL7:CM7"/>
    <mergeCell ref="N9:P9"/>
    <mergeCell ref="N10:P10"/>
    <mergeCell ref="N11:P11"/>
    <mergeCell ref="CK11:CL11"/>
    <mergeCell ref="CM11:CN11"/>
    <mergeCell ref="S9:W10"/>
    <mergeCell ref="S11:W11"/>
    <mergeCell ref="CI11:CJ11"/>
    <mergeCell ref="X8:X10"/>
    <mergeCell ref="E3:U3"/>
    <mergeCell ref="E4:U4"/>
    <mergeCell ref="E5:U5"/>
    <mergeCell ref="B7:AA7"/>
    <mergeCell ref="V4:X4"/>
    <mergeCell ref="V3:X3"/>
    <mergeCell ref="Y3:AA3"/>
    <mergeCell ref="Y4:AA4"/>
    <mergeCell ref="Y5:AA5"/>
    <mergeCell ref="V5:X5"/>
    <mergeCell ref="BW27:CB27"/>
    <mergeCell ref="F30:K30"/>
    <mergeCell ref="H32:I32"/>
    <mergeCell ref="N32:O32"/>
    <mergeCell ref="J32:K32"/>
    <mergeCell ref="P32:Q32"/>
    <mergeCell ref="AH29:AJ29"/>
    <mergeCell ref="N27:P27"/>
    <mergeCell ref="N28:P28"/>
    <mergeCell ref="Y29:Z29"/>
    <mergeCell ref="H31:I31"/>
    <mergeCell ref="N31:O31"/>
    <mergeCell ref="J31:K31"/>
    <mergeCell ref="N35:P35"/>
    <mergeCell ref="AC29:AG29"/>
    <mergeCell ref="P31:Q31"/>
    <mergeCell ref="AC31:AG31"/>
    <mergeCell ref="J39:L39"/>
    <mergeCell ref="N39:P39"/>
    <mergeCell ref="J38:L38"/>
    <mergeCell ref="N38:P38"/>
    <mergeCell ref="N36:P36"/>
    <mergeCell ref="V49:AA49"/>
    <mergeCell ref="V50:AA50"/>
    <mergeCell ref="Q39:R39"/>
    <mergeCell ref="S26:T26"/>
  </mergeCells>
  <conditionalFormatting sqref="N47:O47">
    <cfRule type="expression" priority="1" dxfId="0" stopIfTrue="1">
      <formula>IF(K47&lt;27,"Ok.")</formula>
    </cfRule>
    <cfRule type="expression" priority="2" dxfId="1" stopIfTrue="1">
      <formula>IF(K47&gt;27,"Not Ok.")</formula>
    </cfRule>
  </conditionalFormatting>
  <conditionalFormatting sqref="H31:I31 N31:O32 F30:L30">
    <cfRule type="expression" priority="3" dxfId="1" stopIfTrue="1">
      <formula>IF($H$32&lt;$N$28,1)</formula>
    </cfRule>
  </conditionalFormatting>
  <conditionalFormatting sqref="H32:I32">
    <cfRule type="cellIs" priority="4" dxfId="1" operator="lessThan" stopIfTrue="1">
      <formula>$N$28</formula>
    </cfRule>
  </conditionalFormatting>
  <conditionalFormatting sqref="Q39:R39">
    <cfRule type="expression" priority="5" dxfId="1" stopIfTrue="1">
      <formula>IF($J$39&gt;$N$39,1)</formula>
    </cfRule>
  </conditionalFormatting>
  <conditionalFormatting sqref="J39:L39">
    <cfRule type="cellIs" priority="6" dxfId="1" operator="greaterThan" stopIfTrue="1">
      <formula>$N$39</formula>
    </cfRule>
  </conditionalFormatting>
  <conditionalFormatting sqref="M36 L37:O37 L35:M35 L40:O41">
    <cfRule type="cellIs" priority="7" dxfId="1" operator="lessThan" stopIfTrue="1">
      <formula>$CF$18</formula>
    </cfRule>
  </conditionalFormatting>
  <conditionalFormatting sqref="I37:K37">
    <cfRule type="cellIs" priority="8" dxfId="0" operator="greaterThan" stopIfTrue="1">
      <formula>$F$37</formula>
    </cfRule>
  </conditionalFormatting>
  <conditionalFormatting sqref="I40:K41 I35:K35">
    <cfRule type="cellIs" priority="9" dxfId="0" operator="greaterThan" stopIfTrue="1">
      <formula>$F$40</formula>
    </cfRule>
  </conditionalFormatting>
  <conditionalFormatting sqref="Y10:AB10">
    <cfRule type="expression" priority="10" dxfId="1" stopIfTrue="1">
      <formula>IF($V$10&lt;$Y$10,1)</formula>
    </cfRule>
  </conditionalFormatting>
  <conditionalFormatting sqref="V12:W12 AA12:AB12">
    <cfRule type="expression" priority="11" dxfId="1" stopIfTrue="1">
      <formula>IF($V$12&lt;$Y$12,1)</formula>
    </cfRule>
  </conditionalFormatting>
  <conditionalFormatting sqref="AA14:AB14">
    <cfRule type="expression" priority="12" dxfId="1" stopIfTrue="1">
      <formula>IF($Y$14&gt;$V$14,1)</formula>
    </cfRule>
  </conditionalFormatting>
  <conditionalFormatting sqref="V39 W35">
    <cfRule type="expression" priority="13" dxfId="1" stopIfTrue="1">
      <formula>IF(#REF!&gt;#REF!,1)</formula>
    </cfRule>
  </conditionalFormatting>
  <conditionalFormatting sqref="C42">
    <cfRule type="expression" priority="14" dxfId="1" stopIfTrue="1">
      <formula>IF($CL$31=2,1)</formula>
    </cfRule>
  </conditionalFormatting>
  <dataValidations count="10">
    <dataValidation type="list" allowBlank="1" showInputMessage="1" showErrorMessage="1" sqref="AC31:AG31">
      <formula1>"One Channel,Two Channels"</formula1>
    </dataValidation>
    <dataValidation type="list" allowBlank="1" showInputMessage="1" showErrorMessage="1" sqref="AC29">
      <formula1>"Wide Flange,I-Beam,C-Channels,Square Tube,Rectangular Tube,Steel Pipe,Light Lip Channels"</formula1>
    </dataValidation>
    <dataValidation type="list" allowBlank="1" showInputMessage="1" showErrorMessage="1" sqref="AH29:AJ29">
      <formula1>"Vertical,Horizontal"</formula1>
    </dataValidation>
    <dataValidation type="list" allowBlank="1" showInputMessage="1" showErrorMessage="1" sqref="K21:L21">
      <formula1>"Simply,One End Continuous,Both Ends Continuous,Cantilever"</formula1>
    </dataValidation>
    <dataValidation type="list" allowBlank="1" showInputMessage="1" sqref="N17:P17">
      <formula1>"50,80,120,160"</formula1>
    </dataValidation>
    <dataValidation operator="equal" allowBlank="1" showErrorMessage="1" errorTitle="Chang Beam Section" error="หน่วยแรงเฉือนมากเกินกว่าหน่วยแรงที่ยอมให้&#10;ท่านควรแก้ไขหน้าตัดคานใหม่" sqref="CX57"/>
    <dataValidation type="list" allowBlank="1" showInputMessage="1" sqref="N14:P14">
      <formula1>"30,40,50"</formula1>
    </dataValidation>
    <dataValidation type="list" allowBlank="1" showInputMessage="1" sqref="N15:P15">
      <formula1>"5,12,14,17,50"</formula1>
    </dataValidation>
    <dataValidation type="list" allowBlank="1" showInputMessage="1" showErrorMessage="1" sqref="N9:P9">
      <formula1>"2400,3000,4000,5000"</formula1>
    </dataValidation>
    <dataValidation type="list" allowBlank="1" showInputMessage="1" showErrorMessage="1" sqref="AC10:AF10">
      <formula1>"จันทัน,ตะเฆ้สัน"</formula1>
    </dataValidation>
  </dataValidations>
  <printOptions/>
  <pageMargins left="0.35433070866141736" right="0.1968503937007874" top="0.3937007874015748" bottom="0.5905511811023623" header="0.9055118110236221" footer="0.5118110236220472"/>
  <pageSetup horizontalDpi="300" verticalDpi="300" orientation="portrait" paperSize="9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DX94"/>
  <sheetViews>
    <sheetView workbookViewId="0" topLeftCell="A1">
      <selection activeCell="AC10" sqref="AC10:AF10"/>
    </sheetView>
  </sheetViews>
  <sheetFormatPr defaultColWidth="3.57421875" defaultRowHeight="15.75" customHeight="1"/>
  <cols>
    <col min="1" max="11" width="3.57421875" style="31" customWidth="1"/>
    <col min="12" max="12" width="3.57421875" style="37" customWidth="1"/>
    <col min="13" max="76" width="3.57421875" style="31" customWidth="1"/>
    <col min="77" max="77" width="8.140625" style="31" bestFit="1" customWidth="1"/>
    <col min="78" max="79" width="3.57421875" style="31" customWidth="1"/>
    <col min="80" max="80" width="11.00390625" style="31" bestFit="1" customWidth="1"/>
    <col min="81" max="81" width="3.7109375" style="31" bestFit="1" customWidth="1"/>
    <col min="82" max="82" width="4.7109375" style="31" customWidth="1"/>
    <col min="83" max="83" width="18.140625" style="35" bestFit="1" customWidth="1"/>
    <col min="84" max="84" width="9.57421875" style="36" customWidth="1"/>
    <col min="85" max="85" width="9.7109375" style="36" customWidth="1"/>
    <col min="86" max="86" width="9.7109375" style="35" customWidth="1"/>
    <col min="87" max="87" width="16.7109375" style="35" customWidth="1"/>
    <col min="88" max="94" width="9.7109375" style="35" customWidth="1"/>
    <col min="95" max="95" width="18.140625" style="31" bestFit="1" customWidth="1"/>
    <col min="96" max="97" width="9.7109375" style="31" customWidth="1"/>
    <col min="98" max="98" width="4.7109375" style="31" customWidth="1"/>
    <col min="99" max="99" width="18.421875" style="31" bestFit="1" customWidth="1"/>
    <col min="100" max="100" width="6.28125" style="31" bestFit="1" customWidth="1"/>
    <col min="101" max="101" width="14.7109375" style="31" bestFit="1" customWidth="1"/>
    <col min="102" max="102" width="6.28125" style="31" bestFit="1" customWidth="1"/>
    <col min="103" max="108" width="4.7109375" style="31" customWidth="1"/>
    <col min="109" max="109" width="10.7109375" style="31" customWidth="1"/>
    <col min="110" max="110" width="21.00390625" style="31" bestFit="1" customWidth="1"/>
    <col min="111" max="111" width="20.57421875" style="31" bestFit="1" customWidth="1"/>
    <col min="112" max="112" width="19.57421875" style="31" bestFit="1" customWidth="1"/>
    <col min="113" max="113" width="18.8515625" style="31" bestFit="1" customWidth="1"/>
    <col min="114" max="114" width="19.140625" style="31" bestFit="1" customWidth="1"/>
    <col min="115" max="115" width="17.28125" style="31" bestFit="1" customWidth="1"/>
    <col min="116" max="116" width="18.421875" style="31" bestFit="1" customWidth="1"/>
    <col min="117" max="117" width="21.421875" style="31" bestFit="1" customWidth="1"/>
    <col min="118" max="118" width="20.140625" style="31" bestFit="1" customWidth="1"/>
    <col min="119" max="134" width="4.7109375" style="31" customWidth="1"/>
    <col min="135" max="16384" width="3.57421875" style="31" customWidth="1"/>
  </cols>
  <sheetData>
    <row r="1" spans="2:40" ht="15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49">
        <f>IF(AG10="","",AG10)</f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</row>
    <row r="2" spans="29:40" ht="9.75" customHeight="1"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</row>
    <row r="3" spans="2:128" ht="15.75" customHeight="1">
      <c r="B3" s="38" t="s">
        <v>109</v>
      </c>
      <c r="E3" s="375" t="str">
        <f>Cover!A6</f>
        <v>อาคารพาณิชย์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7"/>
      <c r="V3" s="380" t="s">
        <v>112</v>
      </c>
      <c r="W3" s="380"/>
      <c r="X3" s="381"/>
      <c r="Y3" s="382">
        <f ca="1">TODAY()</f>
        <v>40280</v>
      </c>
      <c r="Z3" s="364"/>
      <c r="AA3" s="365"/>
      <c r="AC3" s="149" t="s">
        <v>2</v>
      </c>
      <c r="AD3" s="150"/>
      <c r="AE3" s="150"/>
      <c r="AF3" s="148"/>
      <c r="AG3" s="148"/>
      <c r="AH3" s="148"/>
      <c r="AI3" s="148"/>
      <c r="AJ3" s="148"/>
      <c r="AK3" s="148"/>
      <c r="AL3" s="148"/>
      <c r="AM3" s="148"/>
      <c r="AN3" s="148"/>
      <c r="BY3" s="34"/>
      <c r="BZ3" s="34"/>
      <c r="CA3" s="34"/>
      <c r="CB3" s="34"/>
      <c r="CC3" s="34"/>
      <c r="CD3" s="34"/>
      <c r="CE3" s="40"/>
      <c r="CF3" s="39"/>
      <c r="CG3" s="39"/>
      <c r="CH3" s="40"/>
      <c r="CI3" s="40"/>
      <c r="CJ3" s="40"/>
      <c r="CK3" s="40"/>
      <c r="CL3" s="40"/>
      <c r="CM3" s="40"/>
      <c r="CN3" s="40"/>
      <c r="CO3" s="40"/>
      <c r="CP3" s="40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</row>
    <row r="4" spans="2:128" ht="15.75" customHeight="1">
      <c r="B4" s="38" t="s">
        <v>110</v>
      </c>
      <c r="E4" s="375" t="str">
        <f>Cover!D8</f>
        <v>คุณทดลอง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9" t="s">
        <v>533</v>
      </c>
      <c r="W4" s="380"/>
      <c r="X4" s="380"/>
      <c r="Y4" s="366"/>
      <c r="Z4" s="367"/>
      <c r="AA4" s="368"/>
      <c r="AC4" s="151" t="s">
        <v>3</v>
      </c>
      <c r="AD4" s="150"/>
      <c r="AE4" s="150"/>
      <c r="AF4" s="148"/>
      <c r="AG4" s="148"/>
      <c r="AH4" s="148"/>
      <c r="AI4" s="148"/>
      <c r="AJ4" s="148"/>
      <c r="AK4" s="148"/>
      <c r="AL4" s="148"/>
      <c r="AM4" s="148"/>
      <c r="AN4" s="148"/>
      <c r="BY4" s="34"/>
      <c r="BZ4" s="34"/>
      <c r="CA4" s="34"/>
      <c r="CB4" s="34"/>
      <c r="CC4" s="34"/>
      <c r="CD4" s="34"/>
      <c r="CE4" s="40"/>
      <c r="CF4" s="39">
        <f>IF(CE19=0,1,IF(CE19&gt;0,2))</f>
        <v>1</v>
      </c>
      <c r="CG4" s="39">
        <f>IF(AND(CE20=0,CE21=0,CE22=0),1,IF(OR(CE20&gt;0,CE21&gt;0,CE22&gt;0),2,IF(AND(CE20&gt;0,CE21&gt;0,CE22=0),3,IF(AND(CE20=0,CE21&gt;0,CE22&gt;0),4,IF(AND(CE20&gt;0,CE21=0,CE22&gt;0),5,IF(AND(CE20&gt;0,CE21&gt;0,CE22&gt;0),6))))))</f>
        <v>1</v>
      </c>
      <c r="CH4" s="40"/>
      <c r="CI4" s="40"/>
      <c r="CJ4" s="40"/>
      <c r="CK4" s="40"/>
      <c r="CL4" s="40"/>
      <c r="CM4" s="40"/>
      <c r="CN4" s="40"/>
      <c r="CO4" s="40"/>
      <c r="CP4" s="40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</row>
    <row r="5" spans="2:128" ht="15.75" customHeight="1">
      <c r="B5" s="38" t="s">
        <v>111</v>
      </c>
      <c r="E5" s="375" t="str">
        <f>Cover!D9</f>
        <v>กทม.</v>
      </c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7"/>
      <c r="V5" s="380"/>
      <c r="W5" s="380"/>
      <c r="X5" s="380"/>
      <c r="Y5" s="363"/>
      <c r="Z5" s="363"/>
      <c r="AA5" s="363"/>
      <c r="AC5" s="148"/>
      <c r="AD5" s="148"/>
      <c r="AE5" s="148"/>
      <c r="AF5" s="148"/>
      <c r="AG5" s="148"/>
      <c r="AH5" s="150"/>
      <c r="AI5" s="148"/>
      <c r="AJ5" s="148"/>
      <c r="AK5" s="148"/>
      <c r="AL5" s="148"/>
      <c r="AM5" s="148"/>
      <c r="AN5" s="148"/>
      <c r="BY5" s="34"/>
      <c r="BZ5" s="34"/>
      <c r="CA5" s="34"/>
      <c r="CB5" s="34"/>
      <c r="CC5" s="34"/>
      <c r="CD5" s="34"/>
      <c r="CE5" s="40"/>
      <c r="CF5" s="39">
        <f>IF(AND(CF4=1,CG4=1),1,IF(AND(CF4=1,OR(CG4=2,CG4=3,CG4=4,CG4=5,CG4=6)),2,IF(AND(CF4=2,CG4=1),3,IF(AND(CF4=2,OR(CG4=2,CG4=3,CG4=4,CG4=5,CG4=6)),4))))</f>
        <v>1</v>
      </c>
      <c r="CG5" s="39"/>
      <c r="CH5" s="40"/>
      <c r="CI5" s="40"/>
      <c r="CJ5" s="40"/>
      <c r="CK5" s="40"/>
      <c r="CL5" s="40"/>
      <c r="CM5" s="40"/>
      <c r="CN5" s="40"/>
      <c r="CO5" s="40"/>
      <c r="CP5" s="40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41" t="s">
        <v>475</v>
      </c>
      <c r="DG5" s="41" t="s">
        <v>307</v>
      </c>
      <c r="DH5" s="41" t="s">
        <v>476</v>
      </c>
      <c r="DI5" s="41" t="s">
        <v>311</v>
      </c>
      <c r="DJ5" s="41" t="s">
        <v>309</v>
      </c>
      <c r="DK5" s="41" t="s">
        <v>278</v>
      </c>
      <c r="DL5" s="41" t="s">
        <v>310</v>
      </c>
      <c r="DM5" s="41" t="s">
        <v>465</v>
      </c>
      <c r="DN5" s="41" t="s">
        <v>466</v>
      </c>
      <c r="DO5" s="34"/>
      <c r="DP5" s="34"/>
      <c r="DQ5" s="34"/>
      <c r="DR5" s="34"/>
      <c r="DS5" s="34"/>
      <c r="DT5" s="34"/>
      <c r="DU5" s="34"/>
      <c r="DV5" s="34"/>
      <c r="DW5" s="34"/>
      <c r="DX5" s="34"/>
    </row>
    <row r="6" spans="2:128" ht="9.7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BY6" s="34"/>
      <c r="BZ6" s="34"/>
      <c r="CA6" s="34"/>
      <c r="CB6" s="34"/>
      <c r="CC6" s="34"/>
      <c r="CD6" s="34"/>
      <c r="CE6" s="40"/>
      <c r="CF6" s="39"/>
      <c r="CG6" s="39"/>
      <c r="CH6" s="40"/>
      <c r="CI6" s="40"/>
      <c r="CJ6" s="40"/>
      <c r="CK6" s="40"/>
      <c r="CL6" s="40"/>
      <c r="CM6" s="40"/>
      <c r="CN6" s="40"/>
      <c r="CO6" s="40"/>
      <c r="CP6" s="40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</row>
    <row r="7" spans="2:128" s="35" customFormat="1" ht="15.75" customHeight="1">
      <c r="B7" s="378" t="str">
        <f>"การออกแบบหน้าตัด"&amp;CI33&amp;"เหล็ก"</f>
        <v>การออกแบบหน้าตัดอะเสเหล็ก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C7" s="148" t="s">
        <v>27</v>
      </c>
      <c r="AD7" s="152"/>
      <c r="AE7" s="152"/>
      <c r="AF7" s="152"/>
      <c r="AG7" s="152"/>
      <c r="AH7" s="152"/>
      <c r="AI7" s="152"/>
      <c r="AJ7" s="153"/>
      <c r="AK7" s="152"/>
      <c r="AL7" s="152"/>
      <c r="AM7" s="152"/>
      <c r="AN7" s="152"/>
      <c r="BY7" s="40"/>
      <c r="BZ7" s="40"/>
      <c r="CA7" s="40"/>
      <c r="CB7" s="40"/>
      <c r="CC7" s="40"/>
      <c r="CD7" s="40"/>
      <c r="CE7" s="40"/>
      <c r="CF7" s="39"/>
      <c r="CG7" s="39"/>
      <c r="CH7" s="40"/>
      <c r="CI7" s="40"/>
      <c r="CJ7" s="40"/>
      <c r="CK7" s="40"/>
      <c r="CL7" s="52"/>
      <c r="CM7" s="52"/>
      <c r="CN7" s="40"/>
      <c r="CO7" s="40"/>
      <c r="CP7" s="40"/>
      <c r="CQ7" s="40"/>
      <c r="CR7" s="40"/>
      <c r="CS7" s="40"/>
      <c r="CT7" s="40"/>
      <c r="CU7" s="34">
        <f>IF(AND(OR(CU8=1,CU8=2,CU8=3,CU8=4,CU8=5,CU8=6,CU8=7),CX8=1),CU8,IF(AND(OR(CU8=1,CU8=2,CU8=4,CU8=5,CU8=6),CX8=2),CU8,IF(AND(CU8=3,CX8=2),8,IF(AND(CU8=7,CX8=2),9))))</f>
        <v>9</v>
      </c>
      <c r="CV7" s="34"/>
      <c r="CW7" s="34"/>
      <c r="CX7" s="34"/>
      <c r="CY7" s="40"/>
      <c r="CZ7" s="40"/>
      <c r="DA7" s="40"/>
      <c r="DB7" s="40"/>
      <c r="DC7" s="40"/>
      <c r="DD7" s="40"/>
      <c r="DE7" s="40"/>
      <c r="DF7" s="39">
        <v>1</v>
      </c>
      <c r="DG7" s="39">
        <v>2</v>
      </c>
      <c r="DH7" s="39">
        <v>3</v>
      </c>
      <c r="DI7" s="39">
        <v>4</v>
      </c>
      <c r="DJ7" s="39">
        <v>5</v>
      </c>
      <c r="DK7" s="39">
        <v>6</v>
      </c>
      <c r="DL7" s="39">
        <v>7</v>
      </c>
      <c r="DM7" s="39">
        <v>8</v>
      </c>
      <c r="DN7" s="39">
        <v>9</v>
      </c>
      <c r="DO7" s="40"/>
      <c r="DP7" s="40"/>
      <c r="DQ7" s="40"/>
      <c r="DR7" s="40"/>
      <c r="DS7" s="40"/>
      <c r="DT7" s="40"/>
      <c r="DU7" s="40"/>
      <c r="DV7" s="40"/>
      <c r="DW7" s="40"/>
      <c r="DX7" s="40"/>
    </row>
    <row r="8" spans="1:128" s="35" customFormat="1" ht="15.75" customHeight="1">
      <c r="A8" s="40"/>
      <c r="B8" s="57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39"/>
      <c r="M8" s="40"/>
      <c r="N8" s="40"/>
      <c r="O8" s="40"/>
      <c r="P8" s="40"/>
      <c r="Q8" s="58"/>
      <c r="S8" s="40"/>
      <c r="T8" s="40"/>
      <c r="U8" s="40"/>
      <c r="V8" s="40"/>
      <c r="W8" s="40"/>
      <c r="X8" s="59"/>
      <c r="Y8" s="40"/>
      <c r="Z8" s="40"/>
      <c r="AA8" s="40"/>
      <c r="AB8" s="40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40"/>
      <c r="AP8" s="40"/>
      <c r="AQ8" s="40"/>
      <c r="AR8" s="40"/>
      <c r="BY8" s="40"/>
      <c r="BZ8" s="40"/>
      <c r="CA8" s="40"/>
      <c r="CB8" s="40"/>
      <c r="CC8" s="40"/>
      <c r="CD8" s="40"/>
      <c r="CE8" s="40" t="s">
        <v>524</v>
      </c>
      <c r="CF8" s="39"/>
      <c r="CG8" s="39"/>
      <c r="CH8" s="40"/>
      <c r="CI8" s="40"/>
      <c r="CJ8" s="40"/>
      <c r="CK8" s="40"/>
      <c r="CL8" s="63"/>
      <c r="CM8" s="63"/>
      <c r="CN8" s="40"/>
      <c r="CO8" s="40"/>
      <c r="CP8" s="40" t="s">
        <v>264</v>
      </c>
      <c r="CQ8" s="39">
        <f>'Steel Table'!ED90</f>
        <v>11.494</v>
      </c>
      <c r="CR8" s="40"/>
      <c r="CS8" s="40"/>
      <c r="CT8" s="40"/>
      <c r="CU8" s="34">
        <f>VLOOKUP(AC33,CU10:CV16,2,FALSE)</f>
        <v>7</v>
      </c>
      <c r="CV8" s="34">
        <f>IF(AND(OR(CU8=1,CU8=2,CU8=3,CU8=4,CU8=5,CU8=6,CU8=7),CX8=1),CU8+1,IF(AND(OR(CU8=1,CU8=2,CU8=4,CU8=5,CU8=6),CX8=2),CU8+1,IF(AND(CU8=3,CX8=2),9,IF(AND(CU8=7,CX8=2),10))))</f>
        <v>10</v>
      </c>
      <c r="CW8" s="34"/>
      <c r="CX8" s="34">
        <f>VLOOKUP(AC35,CW10:CX11,2,FALSE)</f>
        <v>2</v>
      </c>
      <c r="CY8" s="40"/>
      <c r="CZ8" s="40"/>
      <c r="DA8" s="40"/>
      <c r="DB8" s="40"/>
      <c r="DC8" s="40"/>
      <c r="DD8" s="40"/>
      <c r="DE8" s="40">
        <v>1</v>
      </c>
      <c r="DF8" s="40" t="str">
        <f>'Steel Table'!C6</f>
        <v>WF-100x100x6x8 mm.</v>
      </c>
      <c r="DG8" s="40" t="str">
        <f>'Steel Table'!S6</f>
        <v>I-100x75x5x8 mm.</v>
      </c>
      <c r="DH8" s="40" t="str">
        <f>'Steel Table'!AJ6</f>
        <v>[-75x40x5x7 mm.</v>
      </c>
      <c r="DI8" s="40" t="str">
        <f>'Steel Table'!BC6</f>
        <v>Tube-25x25x2 mm.</v>
      </c>
      <c r="DJ8" s="40" t="str">
        <f>'Steel Table'!BO6</f>
        <v>Tube-50x25x2 mm.</v>
      </c>
      <c r="DK8" s="40" t="str">
        <f>'Steel Table'!CD6</f>
        <v>Pipe-D21.7x2 mm.</v>
      </c>
      <c r="DL8" s="40" t="str">
        <f>'Steel Table'!CO6</f>
        <v>[-60x30x10x1.6 mm.</v>
      </c>
      <c r="DM8" s="40" t="str">
        <f>'Steel Table'!AJ27</f>
        <v>2[]-75x40x5x7 mm.</v>
      </c>
      <c r="DN8" s="40" t="str">
        <f>'Steel Table'!DG6</f>
        <v>2[]-60x30x10x1.6 mm.</v>
      </c>
      <c r="DO8" s="40"/>
      <c r="DP8" s="40"/>
      <c r="DQ8" s="40"/>
      <c r="DR8" s="40"/>
      <c r="DS8" s="40"/>
      <c r="DT8" s="40"/>
      <c r="DU8" s="40"/>
      <c r="DV8" s="40"/>
      <c r="DW8" s="40"/>
      <c r="DX8" s="40"/>
    </row>
    <row r="9" spans="1:128" s="35" customFormat="1" ht="15.75" customHeight="1">
      <c r="A9" s="40"/>
      <c r="B9" s="34" t="s">
        <v>32</v>
      </c>
      <c r="C9" s="40"/>
      <c r="D9" s="40"/>
      <c r="E9" s="40"/>
      <c r="F9" s="40"/>
      <c r="G9" s="40"/>
      <c r="H9" s="40"/>
      <c r="I9" s="40"/>
      <c r="J9" s="40"/>
      <c r="K9" s="40"/>
      <c r="L9" s="39"/>
      <c r="M9" s="36" t="s">
        <v>0</v>
      </c>
      <c r="N9" s="359">
        <v>2400</v>
      </c>
      <c r="O9" s="359"/>
      <c r="P9" s="359"/>
      <c r="Q9" s="40"/>
      <c r="R9" s="315"/>
      <c r="S9" s="52"/>
      <c r="T9" s="335"/>
      <c r="U9" s="335"/>
      <c r="V9" s="335"/>
      <c r="W9" s="335"/>
      <c r="X9" s="59"/>
      <c r="Y9" s="52"/>
      <c r="Z9" s="52"/>
      <c r="AA9" s="40"/>
      <c r="AB9" s="40"/>
      <c r="AC9" s="405" t="s">
        <v>495</v>
      </c>
      <c r="AD9" s="406"/>
      <c r="AE9" s="406"/>
      <c r="AF9" s="435"/>
      <c r="AG9" s="427" t="s">
        <v>534</v>
      </c>
      <c r="AH9" s="428"/>
      <c r="AI9" s="429"/>
      <c r="AJ9" s="153"/>
      <c r="AK9" s="153"/>
      <c r="AL9" s="153"/>
      <c r="AM9" s="153"/>
      <c r="AN9" s="153"/>
      <c r="AO9" s="40"/>
      <c r="AP9" s="40"/>
      <c r="AQ9" s="40"/>
      <c r="AR9" s="40"/>
      <c r="BY9" s="40"/>
      <c r="BZ9" s="40"/>
      <c r="CA9" s="40"/>
      <c r="CB9" s="40"/>
      <c r="CC9" s="40"/>
      <c r="CD9" s="55" t="s">
        <v>525</v>
      </c>
      <c r="CE9" s="334" t="s">
        <v>526</v>
      </c>
      <c r="CF9" s="334" t="s">
        <v>482</v>
      </c>
      <c r="CG9" s="334" t="s">
        <v>484</v>
      </c>
      <c r="CH9" s="336" t="s">
        <v>420</v>
      </c>
      <c r="CI9" s="92" t="s">
        <v>425</v>
      </c>
      <c r="CJ9" s="40"/>
      <c r="CK9" s="40"/>
      <c r="CL9" s="63"/>
      <c r="CM9" s="63"/>
      <c r="CN9" s="40"/>
      <c r="CO9" s="40"/>
      <c r="CP9" s="40" t="s">
        <v>422</v>
      </c>
      <c r="CQ9" s="75">
        <f>'Steel Table'!EE90</f>
        <v>9.02</v>
      </c>
      <c r="CR9" s="40"/>
      <c r="CS9" s="40"/>
      <c r="CT9" s="40"/>
      <c r="CU9" s="34"/>
      <c r="CV9" s="34"/>
      <c r="CW9" s="34"/>
      <c r="CX9" s="34"/>
      <c r="CY9" s="40"/>
      <c r="CZ9" s="40"/>
      <c r="DA9" s="40"/>
      <c r="DB9" s="40"/>
      <c r="DC9" s="40"/>
      <c r="DD9" s="40"/>
      <c r="DE9" s="40">
        <v>2</v>
      </c>
      <c r="DF9" s="40" t="str">
        <f>'Steel Table'!C7</f>
        <v>WF-125X125x6.5x9 mm.</v>
      </c>
      <c r="DG9" s="40" t="str">
        <f>'Steel Table'!S7</f>
        <v>I-125x75x5.5x9.5 mm.</v>
      </c>
      <c r="DH9" s="40" t="str">
        <f>'Steel Table'!AJ7</f>
        <v>[-100x50x5x7.5 mm.</v>
      </c>
      <c r="DI9" s="40" t="str">
        <f>'Steel Table'!BC7</f>
        <v>Tube-25x25x2.3 mm.</v>
      </c>
      <c r="DJ9" s="40" t="str">
        <f>'Steel Table'!BO7</f>
        <v>Tube-50x25x2.3 mm.</v>
      </c>
      <c r="DK9" s="40" t="str">
        <f>'Steel Table'!CD7</f>
        <v>Pipe-D27.2x2 mm.</v>
      </c>
      <c r="DL9" s="40" t="str">
        <f>'Steel Table'!CO7</f>
        <v>[-60x30x10x2 mm.</v>
      </c>
      <c r="DM9" s="40" t="str">
        <f>'Steel Table'!AJ28</f>
        <v>2[]-100x50x5x7.5 mm.</v>
      </c>
      <c r="DN9" s="40" t="str">
        <f>'Steel Table'!DG7</f>
        <v>2[]-60x30x10x2 mm.</v>
      </c>
      <c r="DO9" s="40"/>
      <c r="DP9" s="40"/>
      <c r="DQ9" s="40"/>
      <c r="DR9" s="40"/>
      <c r="DS9" s="40"/>
      <c r="DT9" s="40"/>
      <c r="DU9" s="40"/>
      <c r="DV9" s="40"/>
      <c r="DW9" s="40"/>
      <c r="DX9" s="40"/>
    </row>
    <row r="10" spans="1:128" s="35" customFormat="1" ht="15.75" customHeight="1">
      <c r="A10" s="40"/>
      <c r="B10" s="31" t="s">
        <v>33</v>
      </c>
      <c r="C10" s="40"/>
      <c r="D10" s="40"/>
      <c r="E10" s="40"/>
      <c r="F10" s="40"/>
      <c r="G10" s="40"/>
      <c r="H10" s="40"/>
      <c r="I10" s="40"/>
      <c r="J10" s="40"/>
      <c r="K10" s="40"/>
      <c r="L10" s="39"/>
      <c r="M10" s="36" t="s">
        <v>0</v>
      </c>
      <c r="N10" s="370">
        <f>0.6*fy</f>
        <v>1440</v>
      </c>
      <c r="O10" s="370"/>
      <c r="P10" s="370"/>
      <c r="Q10" s="40"/>
      <c r="AB10" s="52"/>
      <c r="AC10" s="410" t="s">
        <v>507</v>
      </c>
      <c r="AD10" s="411"/>
      <c r="AE10" s="411"/>
      <c r="AF10" s="436"/>
      <c r="AG10" s="430"/>
      <c r="AH10" s="431"/>
      <c r="AI10" s="432"/>
      <c r="AJ10" s="153"/>
      <c r="AK10" s="153"/>
      <c r="AL10" s="153"/>
      <c r="AM10" s="153"/>
      <c r="AN10" s="153"/>
      <c r="AO10" s="40"/>
      <c r="AP10" s="40"/>
      <c r="AQ10" s="40"/>
      <c r="AR10" s="40"/>
      <c r="BY10" s="40"/>
      <c r="BZ10" s="40"/>
      <c r="CA10" s="40"/>
      <c r="CB10" s="40">
        <v>2</v>
      </c>
      <c r="CC10" s="40"/>
      <c r="CD10" s="67">
        <v>1</v>
      </c>
      <c r="CE10" s="39">
        <f>(N20*N15^2)/8</f>
        <v>308.1181156875</v>
      </c>
      <c r="CF10" s="75">
        <f>(N20*N15)/2</f>
        <v>388.792575</v>
      </c>
      <c r="CG10" s="75">
        <f>(N20*N15)/2</f>
        <v>388.792575</v>
      </c>
      <c r="CH10" s="337">
        <f>(5*CE18*CE17^4)/(384*CH23)</f>
        <v>0.5605245866520606</v>
      </c>
      <c r="CI10" s="92" t="s">
        <v>426</v>
      </c>
      <c r="CJ10" s="40"/>
      <c r="CK10" s="40"/>
      <c r="CL10" s="63"/>
      <c r="CM10" s="63"/>
      <c r="CN10" s="40"/>
      <c r="CO10" s="40"/>
      <c r="CP10" s="40" t="s">
        <v>87</v>
      </c>
      <c r="CQ10" s="39">
        <f>'Steel Table'!EF90</f>
        <v>274</v>
      </c>
      <c r="CR10" s="40">
        <f>IF(CX$14=1,CQ10,IF(CX$14=2,CQ11))</f>
        <v>274</v>
      </c>
      <c r="CS10" s="40"/>
      <c r="CT10" s="40"/>
      <c r="CU10" s="55" t="s">
        <v>306</v>
      </c>
      <c r="CV10" s="56">
        <v>1</v>
      </c>
      <c r="CW10" s="40" t="s">
        <v>462</v>
      </c>
      <c r="CX10" s="40">
        <v>1</v>
      </c>
      <c r="CY10" s="40"/>
      <c r="CZ10" s="40"/>
      <c r="DA10" s="40"/>
      <c r="DB10" s="40"/>
      <c r="DC10" s="40"/>
      <c r="DD10" s="40"/>
      <c r="DE10" s="40">
        <v>3</v>
      </c>
      <c r="DF10" s="40" t="str">
        <f>'Steel Table'!C8</f>
        <v>WF-150X75x6x9 mm.</v>
      </c>
      <c r="DG10" s="40" t="str">
        <f>'Steel Table'!S8</f>
        <v>I-150x75x5.5x9.5 mm.</v>
      </c>
      <c r="DH10" s="40" t="str">
        <f>'Steel Table'!AJ8</f>
        <v>[-125x65x6x8 mm.</v>
      </c>
      <c r="DI10" s="40" t="str">
        <f>'Steel Table'!BC8</f>
        <v>Tube-25x25x2.6 mm.</v>
      </c>
      <c r="DJ10" s="40" t="str">
        <f>'Steel Table'!BO8</f>
        <v>Tube-50x25x3.2 mm.</v>
      </c>
      <c r="DK10" s="40" t="str">
        <f>'Steel Table'!CD8</f>
        <v>Pipe-D27.2x2.3 mm.</v>
      </c>
      <c r="DL10" s="40" t="str">
        <f>'Steel Table'!CO8</f>
        <v>[-60x30x10x2.3 mm.</v>
      </c>
      <c r="DM10" s="40" t="str">
        <f>'Steel Table'!AJ29</f>
        <v>2[]-125x65x6x8 mm.</v>
      </c>
      <c r="DN10" s="40" t="str">
        <f>'Steel Table'!DG8</f>
        <v>2[]-60x30x10x2.3 mm.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</row>
    <row r="11" spans="1:128" s="35" customFormat="1" ht="15.75" customHeight="1">
      <c r="A11" s="40"/>
      <c r="B11" s="31" t="s">
        <v>34</v>
      </c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36" t="s">
        <v>0</v>
      </c>
      <c r="N11" s="370">
        <f>2.1*10^6</f>
        <v>2100000</v>
      </c>
      <c r="O11" s="370"/>
      <c r="P11" s="370"/>
      <c r="Q11" s="315"/>
      <c r="AB11" s="40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40"/>
      <c r="AP11" s="40"/>
      <c r="AQ11" s="40"/>
      <c r="AR11" s="40"/>
      <c r="BY11" s="40"/>
      <c r="BZ11" s="40"/>
      <c r="CA11" s="40"/>
      <c r="CB11" s="40"/>
      <c r="CC11" s="40"/>
      <c r="CD11" s="67">
        <v>2</v>
      </c>
      <c r="CE11" s="75">
        <f>(N21*N15)/4</f>
        <v>0</v>
      </c>
      <c r="CF11" s="75">
        <f>CE19/2</f>
        <v>0</v>
      </c>
      <c r="CG11" s="75">
        <f>CE19/2</f>
        <v>0</v>
      </c>
      <c r="CH11" s="337">
        <f>(CE20*CE17^3)/(48*CH23)</f>
        <v>0</v>
      </c>
      <c r="CI11" s="92" t="s">
        <v>427</v>
      </c>
      <c r="CJ11" s="52"/>
      <c r="CK11" s="52"/>
      <c r="CL11" s="52"/>
      <c r="CM11" s="63"/>
      <c r="CN11" s="63"/>
      <c r="CO11" s="40"/>
      <c r="CP11" s="40" t="s">
        <v>88</v>
      </c>
      <c r="CQ11" s="39">
        <f>'Steel Table'!EG90</f>
        <v>41.2</v>
      </c>
      <c r="CR11" s="40">
        <f>IF(CX$14=1,CQ11,IF(CX$14=2,CQ10))</f>
        <v>41.2</v>
      </c>
      <c r="CS11" s="40"/>
      <c r="CT11" s="40"/>
      <c r="CU11" s="67" t="s">
        <v>307</v>
      </c>
      <c r="CV11" s="68">
        <v>2</v>
      </c>
      <c r="CW11" s="40" t="s">
        <v>463</v>
      </c>
      <c r="CX11" s="40">
        <v>2</v>
      </c>
      <c r="CY11" s="40"/>
      <c r="CZ11" s="40"/>
      <c r="DA11" s="40"/>
      <c r="DB11" s="40"/>
      <c r="DC11" s="40"/>
      <c r="DD11" s="40"/>
      <c r="DE11" s="40">
        <v>4</v>
      </c>
      <c r="DF11" s="40" t="str">
        <f>'Steel Table'!C9</f>
        <v>WF-150x100x6x9 mm.</v>
      </c>
      <c r="DG11" s="40" t="str">
        <f>'Steel Table'!S9</f>
        <v>I-150x125x8.5x14 mm.</v>
      </c>
      <c r="DH11" s="40" t="str">
        <f>'Steel Table'!AJ9</f>
        <v>[-150x75x6.5x10 mm.</v>
      </c>
      <c r="DI11" s="40" t="str">
        <f>'Steel Table'!BC9</f>
        <v>Tube-25x25x3.2 mm.</v>
      </c>
      <c r="DJ11" s="40" t="str">
        <f>'Steel Table'!BO9</f>
        <v>Tube-50x25x3.6 mm.</v>
      </c>
      <c r="DK11" s="40" t="str">
        <f>'Steel Table'!CD9</f>
        <v>Pipe-D34x2.3 mm.</v>
      </c>
      <c r="DL11" s="40" t="str">
        <f>'Steel Table'!CO9</f>
        <v>[-70x40x25x1.6 mm.</v>
      </c>
      <c r="DM11" s="40" t="str">
        <f>'Steel Table'!AJ30</f>
        <v>2[]-150x75x6.5x10 mm.</v>
      </c>
      <c r="DN11" s="40" t="str">
        <f>'Steel Table'!DG9</f>
        <v>2[]-70x40x25x1.6 mm.</v>
      </c>
      <c r="DO11" s="40"/>
      <c r="DP11" s="40"/>
      <c r="DQ11" s="40"/>
      <c r="DR11" s="40"/>
      <c r="DS11" s="40"/>
      <c r="DT11" s="40"/>
      <c r="DU11" s="40"/>
      <c r="DV11" s="40"/>
      <c r="DW11" s="40"/>
      <c r="DX11" s="40"/>
    </row>
    <row r="12" spans="1:128" s="35" customFormat="1" ht="15.75" customHeight="1">
      <c r="A12" s="40"/>
      <c r="B12" s="34"/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134"/>
      <c r="N12" s="396"/>
      <c r="O12" s="396"/>
      <c r="P12" s="396"/>
      <c r="Q12" s="40"/>
      <c r="T12" s="438" t="s">
        <v>516</v>
      </c>
      <c r="U12" s="438"/>
      <c r="V12" s="438"/>
      <c r="W12" s="438"/>
      <c r="X12" s="438"/>
      <c r="Y12" s="438"/>
      <c r="Z12" s="438"/>
      <c r="AB12" s="52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40"/>
      <c r="AP12" s="40"/>
      <c r="AQ12" s="40"/>
      <c r="AR12" s="40"/>
      <c r="BY12" s="40"/>
      <c r="BZ12" s="40"/>
      <c r="CA12" s="40"/>
      <c r="CB12" s="40"/>
      <c r="CC12" s="40"/>
      <c r="CD12" s="67">
        <v>3</v>
      </c>
      <c r="CE12" s="75">
        <f>(CE20*CF23*CI$18)/N$15</f>
        <v>0</v>
      </c>
      <c r="CF12" s="75">
        <f>(CE20*CI18)/N$15</f>
        <v>0</v>
      </c>
      <c r="CG12" s="75">
        <f>(CE20*CF23)/N$15</f>
        <v>0</v>
      </c>
      <c r="CH12" s="337">
        <f>((CE20*CJ18*CK18)*(CJ18+(2*CK18))*(SQRT(3*CJ18*(CJ18+(2*CK18)))))/(27*CH$23*CE$17)</f>
        <v>0</v>
      </c>
      <c r="CI12" s="39"/>
      <c r="CJ12" s="40"/>
      <c r="CL12" s="39"/>
      <c r="CM12" s="30"/>
      <c r="CN12" s="39"/>
      <c r="CO12" s="40"/>
      <c r="CP12" s="40" t="s">
        <v>89</v>
      </c>
      <c r="CQ12" s="39">
        <f>'Steel Table'!EH90</f>
        <v>43.8</v>
      </c>
      <c r="CR12" s="40">
        <f>IF(CX$14=1,CQ12,IF(CX$14=2,CQ13))</f>
        <v>43.8</v>
      </c>
      <c r="CS12" s="40"/>
      <c r="CT12" s="40"/>
      <c r="CU12" s="67" t="s">
        <v>308</v>
      </c>
      <c r="CV12" s="68">
        <v>3</v>
      </c>
      <c r="CW12" s="40" t="s">
        <v>318</v>
      </c>
      <c r="CX12" s="40">
        <v>1</v>
      </c>
      <c r="CY12" s="40"/>
      <c r="CZ12" s="40"/>
      <c r="DA12" s="40"/>
      <c r="DB12" s="40"/>
      <c r="DC12" s="40"/>
      <c r="DD12" s="40"/>
      <c r="DE12" s="40">
        <v>5</v>
      </c>
      <c r="DF12" s="40" t="str">
        <f>'Steel Table'!C10</f>
        <v>WF-150X150x7x10 mm.</v>
      </c>
      <c r="DG12" s="40" t="str">
        <f>'Steel Table'!S10</f>
        <v>I-180x100x6x10 mm.</v>
      </c>
      <c r="DH12" s="40" t="str">
        <f>'Steel Table'!AJ10</f>
        <v>[-150x75x9x12.5 mm.</v>
      </c>
      <c r="DI12" s="40" t="str">
        <f>'Steel Table'!BC10</f>
        <v>Tube-32x32x2.3 mm.</v>
      </c>
      <c r="DJ12" s="40" t="str">
        <f>'Steel Table'!BO10</f>
        <v>Tube-75x38x2.3 mm.</v>
      </c>
      <c r="DK12" s="40" t="str">
        <f>'Steel Table'!CD10</f>
        <v>Pipe-D42.7x2.3 mm.</v>
      </c>
      <c r="DL12" s="40" t="str">
        <f>'Steel Table'!CO10</f>
        <v>[-70x40x25x2.3 mm.</v>
      </c>
      <c r="DM12" s="40" t="str">
        <f>'Steel Table'!AJ31</f>
        <v>2[]-150x75x9x12.5 mm.</v>
      </c>
      <c r="DN12" s="40" t="str">
        <f>'Steel Table'!DG10</f>
        <v>2[]-70x40x25x2.3 mm.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</row>
    <row r="13" spans="1:128" s="35" customFormat="1" ht="15.75" customHeight="1">
      <c r="A13" s="40"/>
      <c r="B13" s="57" t="str">
        <f>"หาน้ำหนักรวมที่กระทำกับ"&amp;CI33&amp;"ทั้งหมด :"</f>
        <v>หาน้ำหนักรวมที่กระทำกับอะเสทั้งหมด :</v>
      </c>
      <c r="C13" s="40"/>
      <c r="D13" s="40"/>
      <c r="E13" s="40"/>
      <c r="F13" s="40"/>
      <c r="G13" s="40"/>
      <c r="H13" s="40"/>
      <c r="I13" s="40"/>
      <c r="J13" s="40"/>
      <c r="K13" s="40"/>
      <c r="L13" s="39"/>
      <c r="M13" s="134"/>
      <c r="N13" s="396"/>
      <c r="O13" s="396"/>
      <c r="P13" s="396"/>
      <c r="Q13" s="40"/>
      <c r="AB13" s="40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40"/>
      <c r="AP13" s="40"/>
      <c r="AQ13" s="40"/>
      <c r="AR13" s="40"/>
      <c r="BY13" s="40" t="s">
        <v>55</v>
      </c>
      <c r="BZ13" s="40"/>
      <c r="CA13" s="40" t="s">
        <v>0</v>
      </c>
      <c r="CB13" s="81"/>
      <c r="CC13" s="40"/>
      <c r="CD13" s="67">
        <v>4</v>
      </c>
      <c r="CE13" s="75">
        <f>(CE21*CF24*CI$18)/N$15</f>
        <v>0</v>
      </c>
      <c r="CF13" s="75">
        <f>(CE21*CI19)/N$15</f>
        <v>0</v>
      </c>
      <c r="CG13" s="75">
        <f>(CE21*CF24)/N$15</f>
        <v>0</v>
      </c>
      <c r="CH13" s="337">
        <f>((CE21*CJ19*CK19)*(CJ19+(2*CK19))*(SQRT(3*CJ19*(CJ19+(2*CK19)))))/(27*CH$23*CE$17)</f>
        <v>0</v>
      </c>
      <c r="CI13" s="35" t="str">
        <f>IF(CF5=1,CI9,IF(CF5=2,CI9&amp;" + "&amp;CI11,IF(CF5=3,CI9&amp;" + "&amp;CI10,IF(CF5=4,CI9&amp;" + "&amp;CI10&amp;" + "&amp;CI11))))</f>
        <v>(5WL^4/384EI)</v>
      </c>
      <c r="CL13" s="39"/>
      <c r="CP13" s="35" t="s">
        <v>90</v>
      </c>
      <c r="CQ13" s="36">
        <f>'Steel Table'!EI90</f>
        <v>12.44</v>
      </c>
      <c r="CR13" s="40">
        <f>IF(CX$14=1,CQ13,IF(CX$14=2,CQ12))</f>
        <v>12.44</v>
      </c>
      <c r="CS13" s="40"/>
      <c r="CT13" s="40"/>
      <c r="CU13" s="67" t="s">
        <v>311</v>
      </c>
      <c r="CV13" s="68">
        <v>4</v>
      </c>
      <c r="CW13" s="40" t="s">
        <v>319</v>
      </c>
      <c r="CX13" s="40">
        <v>2</v>
      </c>
      <c r="CY13" s="40"/>
      <c r="CZ13" s="40"/>
      <c r="DA13" s="40"/>
      <c r="DB13" s="40"/>
      <c r="DC13" s="40"/>
      <c r="DD13" s="40"/>
      <c r="DE13" s="40">
        <v>6</v>
      </c>
      <c r="DF13" s="40" t="str">
        <f>'Steel Table'!C11</f>
        <v>WF-175X175x7.5x11 mm.</v>
      </c>
      <c r="DG13" s="40" t="str">
        <f>'Steel Table'!S11</f>
        <v>I-200x100x7x10 mm.</v>
      </c>
      <c r="DH13" s="40" t="str">
        <f>'Steel Table'!AJ11</f>
        <v>[-180x75x7x10.5 mm.</v>
      </c>
      <c r="DI13" s="40" t="str">
        <f>'Steel Table'!BC11</f>
        <v>Tube-32x32x3.2 mm.</v>
      </c>
      <c r="DJ13" s="40" t="str">
        <f>'Steel Table'!BO11</f>
        <v>Tube-75x38x3.2 mm.</v>
      </c>
      <c r="DK13" s="40" t="str">
        <f>'Steel Table'!CD11</f>
        <v>Pipe-D42.7x2.5 mm.</v>
      </c>
      <c r="DL13" s="40" t="str">
        <f>'Steel Table'!CO11</f>
        <v>[-75x45x15x1.6 mm.</v>
      </c>
      <c r="DM13" s="40" t="str">
        <f>'Steel Table'!AJ32</f>
        <v>2[]-180x75x7x10.5 mm.</v>
      </c>
      <c r="DN13" s="40" t="str">
        <f>'Steel Table'!DG11</f>
        <v>2[]-75x45x15x1.6 mm.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</row>
    <row r="14" spans="1:128" s="35" customFormat="1" ht="15.75" customHeight="1">
      <c r="A14" s="40"/>
      <c r="B14" s="31" t="str">
        <f>"ประเภทของคาน"&amp;CI33</f>
        <v>ประเภทของคานอะเส</v>
      </c>
      <c r="N14" s="373" t="s">
        <v>357</v>
      </c>
      <c r="O14" s="373"/>
      <c r="P14" s="373"/>
      <c r="Q14" s="40"/>
      <c r="R14" s="315"/>
      <c r="S14" s="335"/>
      <c r="T14" s="335"/>
      <c r="U14" s="335"/>
      <c r="V14" s="335"/>
      <c r="W14" s="338" t="str">
        <f>"w = "&amp;N20&amp;" kg./m."</f>
        <v>w = 245.295 kg./m.</v>
      </c>
      <c r="X14" s="59"/>
      <c r="Y14" s="74"/>
      <c r="Z14" s="74"/>
      <c r="AA14" s="137" t="s">
        <v>511</v>
      </c>
      <c r="AB14" s="52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40"/>
      <c r="AP14" s="40"/>
      <c r="AQ14" s="40"/>
      <c r="AR14" s="40"/>
      <c r="BY14" s="40"/>
      <c r="BZ14" s="40"/>
      <c r="CA14" s="40"/>
      <c r="CB14" s="40"/>
      <c r="CC14" s="40"/>
      <c r="CD14" s="85">
        <v>5</v>
      </c>
      <c r="CE14" s="339">
        <f>(CE22*CF25*CI$18)/N$15</f>
        <v>0</v>
      </c>
      <c r="CF14" s="339">
        <f>(CE22*CI20)/N$15</f>
        <v>0</v>
      </c>
      <c r="CG14" s="339">
        <f>(CE22*CF25)/N$15</f>
        <v>0</v>
      </c>
      <c r="CH14" s="340">
        <f>((CE22*CJ20*CK20)*(CJ20+(2*CK20))*(SQRT(3*CJ20*(CJ20+(2*CK20)))))/(27*CH$23*CE$17)</f>
        <v>0</v>
      </c>
      <c r="CI14" s="39"/>
      <c r="CJ14" s="39"/>
      <c r="CL14" s="40"/>
      <c r="CM14" s="30"/>
      <c r="CN14" s="39"/>
      <c r="CO14" s="40"/>
      <c r="CP14" s="40" t="s">
        <v>229</v>
      </c>
      <c r="CQ14" s="39">
        <f>'Steel Table'!EJ90</f>
        <v>2.37</v>
      </c>
      <c r="CR14" s="40">
        <f>IF(CX$14=1,CQ14,IF(CX$14=2,CQ15))</f>
        <v>2.37</v>
      </c>
      <c r="CS14" s="40"/>
      <c r="CT14" s="40"/>
      <c r="CU14" s="67" t="s">
        <v>309</v>
      </c>
      <c r="CV14" s="68">
        <v>5</v>
      </c>
      <c r="CW14" s="40"/>
      <c r="CX14" s="40">
        <f>VLOOKUP(AH33,CW12:CX13,2,FALSE)</f>
        <v>1</v>
      </c>
      <c r="CY14" s="40"/>
      <c r="CZ14" s="40"/>
      <c r="DA14" s="40"/>
      <c r="DB14" s="40"/>
      <c r="DC14" s="40"/>
      <c r="DD14" s="40"/>
      <c r="DE14" s="40">
        <v>7</v>
      </c>
      <c r="DF14" s="40" t="str">
        <f>'Steel Table'!C12</f>
        <v>WF-200x100x4.5x7 mm.</v>
      </c>
      <c r="DG14" s="40" t="str">
        <f>'Steel Table'!S12</f>
        <v>I-200x150x9x16 mm.</v>
      </c>
      <c r="DH14" s="40" t="str">
        <f>'Steel Table'!AJ12</f>
        <v>[-180x75x7.5x11 mm.</v>
      </c>
      <c r="DI14" s="40" t="str">
        <f>'Steel Table'!BC12</f>
        <v>Tube-38x38x2.3 mm.</v>
      </c>
      <c r="DJ14" s="40" t="str">
        <f>'Steel Table'!BO12</f>
        <v>Tube-75x45x1.6 mm.</v>
      </c>
      <c r="DK14" s="40" t="str">
        <f>'Steel Table'!CD12</f>
        <v>Pipe-D48.6x2.3 mm.</v>
      </c>
      <c r="DL14" s="40" t="str">
        <f>'Steel Table'!CO12</f>
        <v>[-75x45x15x2 mm.</v>
      </c>
      <c r="DM14" s="40" t="str">
        <f>'Steel Table'!AJ33</f>
        <v>2[]-180x75x7.5x11 mm.</v>
      </c>
      <c r="DN14" s="40" t="str">
        <f>'Steel Table'!DG12</f>
        <v>2[]-75x45x15x2 mm.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</row>
    <row r="15" spans="1:128" s="35" customFormat="1" ht="15.75" customHeight="1">
      <c r="A15" s="40"/>
      <c r="B15" s="31" t="s">
        <v>403</v>
      </c>
      <c r="M15" s="36" t="s">
        <v>0</v>
      </c>
      <c r="N15" s="433">
        <v>3.17</v>
      </c>
      <c r="O15" s="433"/>
      <c r="P15" s="433"/>
      <c r="Q15" s="34"/>
      <c r="R15" s="315"/>
      <c r="S15" s="40"/>
      <c r="T15" s="419" t="s">
        <v>404</v>
      </c>
      <c r="U15" s="420"/>
      <c r="V15" s="420"/>
      <c r="W15" s="420"/>
      <c r="X15" s="420"/>
      <c r="Y15" s="420"/>
      <c r="Z15" s="421"/>
      <c r="AA15" s="331"/>
      <c r="AB15" s="40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40"/>
      <c r="AP15" s="40"/>
      <c r="AQ15" s="40"/>
      <c r="AR15" s="40"/>
      <c r="BY15" s="40"/>
      <c r="BZ15" s="40"/>
      <c r="CA15" s="40"/>
      <c r="CB15" s="40"/>
      <c r="CC15" s="40"/>
      <c r="CD15" s="35" t="s">
        <v>527</v>
      </c>
      <c r="CE15" s="82">
        <f>SUM(CE10:CE14)</f>
        <v>308.1181156875</v>
      </c>
      <c r="CF15" s="82">
        <f>SUM(CF10:CF14)</f>
        <v>388.792575</v>
      </c>
      <c r="CG15" s="82">
        <f>SUM(CG10:CG14)</f>
        <v>388.792575</v>
      </c>
      <c r="CH15" s="145">
        <f>SUM(CH10:CH14)</f>
        <v>0.5605245866520606</v>
      </c>
      <c r="CJ15" s="39"/>
      <c r="CK15" s="40"/>
      <c r="CL15" s="63"/>
      <c r="CM15" s="30"/>
      <c r="CN15" s="39"/>
      <c r="CO15" s="40"/>
      <c r="CP15" s="40" t="s">
        <v>230</v>
      </c>
      <c r="CQ15" s="39">
        <f>'Steel Table'!EK90</f>
        <v>1.11</v>
      </c>
      <c r="CR15" s="40">
        <f>IF(CX$14=1,CQ15,IF(CX$14=2,CQ14))</f>
        <v>1.11</v>
      </c>
      <c r="CS15" s="40"/>
      <c r="CT15" s="40"/>
      <c r="CU15" s="67" t="s">
        <v>278</v>
      </c>
      <c r="CV15" s="68">
        <v>6</v>
      </c>
      <c r="CW15" s="40"/>
      <c r="CX15" s="40"/>
      <c r="CY15" s="40"/>
      <c r="CZ15" s="40"/>
      <c r="DA15" s="40"/>
      <c r="DB15" s="40"/>
      <c r="DC15" s="40"/>
      <c r="DD15" s="40"/>
      <c r="DE15" s="40">
        <v>8</v>
      </c>
      <c r="DF15" s="40" t="str">
        <f>'Steel Table'!C13</f>
        <v>WF-200x100x5.5x8 mm.</v>
      </c>
      <c r="DG15" s="40" t="str">
        <f>'Steel Table'!S13</f>
        <v>I-250x125x7.5x12.5 mm.</v>
      </c>
      <c r="DH15" s="40" t="str">
        <f>'Steel Table'!AJ13</f>
        <v>[-180x75x8x13.5 mm.</v>
      </c>
      <c r="DI15" s="40" t="str">
        <f>'Steel Table'!BC13</f>
        <v>Tube-38x38x3.2 mm.</v>
      </c>
      <c r="DJ15" s="40" t="str">
        <f>'Steel Table'!BO13</f>
        <v>Tube-75x45x2.3 mm.</v>
      </c>
      <c r="DK15" s="40" t="str">
        <f>'Steel Table'!CD13</f>
        <v>Pipe-D48.6x2.5 mm.</v>
      </c>
      <c r="DL15" s="40" t="str">
        <f>'Steel Table'!CO13</f>
        <v>[-75x45x15x2.3 mm.</v>
      </c>
      <c r="DM15" s="40" t="str">
        <f>'Steel Table'!AJ34</f>
        <v>2[]-180x75x8x13.5 mm.</v>
      </c>
      <c r="DN15" s="40" t="str">
        <f>'Steel Table'!DG13</f>
        <v>2[]-75x45x15x2.3 mm.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</row>
    <row r="16" spans="1:128" s="35" customFormat="1" ht="15.75" customHeight="1">
      <c r="A16" s="40"/>
      <c r="B16" s="34" t="s">
        <v>35</v>
      </c>
      <c r="C16" s="40"/>
      <c r="D16" s="40"/>
      <c r="E16" s="40"/>
      <c r="F16" s="40"/>
      <c r="G16" s="40"/>
      <c r="H16" s="40"/>
      <c r="I16" s="40"/>
      <c r="J16" s="40"/>
      <c r="K16" s="40"/>
      <c r="L16" s="39"/>
      <c r="M16" s="75" t="s">
        <v>0</v>
      </c>
      <c r="N16" s="352">
        <v>50</v>
      </c>
      <c r="O16" s="352"/>
      <c r="P16" s="352"/>
      <c r="Q16" s="40"/>
      <c r="S16" s="40"/>
      <c r="T16" s="40"/>
      <c r="U16" s="40"/>
      <c r="V16" s="40"/>
      <c r="W16" s="40"/>
      <c r="X16" s="40"/>
      <c r="Y16" s="40"/>
      <c r="Z16" s="40"/>
      <c r="AA16" s="40"/>
      <c r="AB16" s="95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40"/>
      <c r="AP16" s="40"/>
      <c r="AQ16" s="40"/>
      <c r="AR16" s="40"/>
      <c r="BY16" s="40" t="s">
        <v>56</v>
      </c>
      <c r="BZ16" s="40"/>
      <c r="CA16" s="40" t="s">
        <v>0</v>
      </c>
      <c r="CB16" s="40"/>
      <c r="CC16" s="40"/>
      <c r="CF16" s="82">
        <f>MAX(CF15:CG15)</f>
        <v>388.792575</v>
      </c>
      <c r="CJ16" s="39"/>
      <c r="CK16" s="40"/>
      <c r="CL16" s="63"/>
      <c r="CM16" s="30"/>
      <c r="CN16" s="39"/>
      <c r="CO16" s="40"/>
      <c r="CP16" s="40" t="s">
        <v>324</v>
      </c>
      <c r="CQ16" s="39">
        <f>'Steel Table'!EL90</f>
        <v>125</v>
      </c>
      <c r="CR16" s="52"/>
      <c r="CS16" s="52"/>
      <c r="CT16" s="52"/>
      <c r="CU16" s="85" t="s">
        <v>310</v>
      </c>
      <c r="CV16" s="86">
        <v>7</v>
      </c>
      <c r="CW16" s="40"/>
      <c r="CX16" s="40"/>
      <c r="CY16" s="52"/>
      <c r="CZ16" s="52"/>
      <c r="DA16" s="52"/>
      <c r="DB16" s="52"/>
      <c r="DC16" s="52"/>
      <c r="DD16" s="52"/>
      <c r="DE16" s="40">
        <v>9</v>
      </c>
      <c r="DF16" s="40" t="str">
        <f>'Steel Table'!C14</f>
        <v>WF-200x150x6x9 mm.</v>
      </c>
      <c r="DG16" s="40" t="str">
        <f>'Steel Table'!S14</f>
        <v>I-250x125x10x19 mm.</v>
      </c>
      <c r="DH16" s="40" t="str">
        <f>'Steel Table'!AJ14</f>
        <v>[-180x75x8.5x13.5 mm.</v>
      </c>
      <c r="DI16" s="40" t="str">
        <f>'Steel Table'!BC14</f>
        <v>Tube-50x50x1.6 mm.</v>
      </c>
      <c r="DJ16" s="40" t="str">
        <f>'Steel Table'!BO14</f>
        <v>Tube-75x45x3.2 mm.</v>
      </c>
      <c r="DK16" s="40" t="str">
        <f>'Steel Table'!CD14</f>
        <v>Pipe-D48.6x2.8 mm.</v>
      </c>
      <c r="DL16" s="40" t="str">
        <f>'Steel Table'!CO14</f>
        <v>[-90x45x20x1.6 mm.</v>
      </c>
      <c r="DM16" s="40" t="str">
        <f>'Steel Table'!AJ35</f>
        <v>2[]-180x75x8.5x13.5 mm.</v>
      </c>
      <c r="DN16" s="40" t="str">
        <f>'Steel Table'!DG14</f>
        <v>2[]-90x45x20x1.6 mm.</v>
      </c>
      <c r="DO16" s="40"/>
      <c r="DP16" s="40"/>
      <c r="DQ16" s="40"/>
      <c r="DR16" s="40"/>
      <c r="DS16" s="40"/>
      <c r="DT16" s="40"/>
      <c r="DU16" s="40"/>
      <c r="DV16" s="40"/>
      <c r="DW16" s="40"/>
      <c r="DX16" s="40"/>
    </row>
    <row r="17" spans="1:128" s="35" customFormat="1" ht="15.75" customHeight="1">
      <c r="A17" s="40"/>
      <c r="B17" s="95" t="s">
        <v>36</v>
      </c>
      <c r="C17" s="52"/>
      <c r="D17" s="52"/>
      <c r="E17" s="52"/>
      <c r="F17" s="52"/>
      <c r="G17" s="40"/>
      <c r="H17" s="40"/>
      <c r="I17" s="40"/>
      <c r="J17" s="40"/>
      <c r="K17" s="40"/>
      <c r="L17" s="39"/>
      <c r="M17" s="75" t="s">
        <v>0</v>
      </c>
      <c r="N17" s="352">
        <v>50</v>
      </c>
      <c r="O17" s="352"/>
      <c r="P17" s="352"/>
      <c r="Q17" s="316"/>
      <c r="R17" s="58"/>
      <c r="S17" s="70"/>
      <c r="T17" s="70"/>
      <c r="U17" s="70"/>
      <c r="V17" s="70"/>
      <c r="W17" s="71" t="str">
        <f>"L = "&amp;ROUND(N15,2)&amp;" m."</f>
        <v>L = 3.17 m.</v>
      </c>
      <c r="X17" s="70"/>
      <c r="Y17" s="70"/>
      <c r="Z17" s="70"/>
      <c r="AA17" s="80"/>
      <c r="AB17" s="99"/>
      <c r="AC17" s="153"/>
      <c r="AD17" s="153"/>
      <c r="AE17" s="153"/>
      <c r="AF17" s="153"/>
      <c r="AG17" s="153"/>
      <c r="AH17" s="153"/>
      <c r="AI17" s="153"/>
      <c r="AJ17" s="153"/>
      <c r="AK17" s="330"/>
      <c r="AL17" s="153"/>
      <c r="AM17" s="153"/>
      <c r="AN17" s="153"/>
      <c r="AO17" s="40"/>
      <c r="AP17" s="40"/>
      <c r="AQ17" s="40"/>
      <c r="AR17" s="40"/>
      <c r="BY17" s="40"/>
      <c r="BZ17" s="40"/>
      <c r="CA17" s="40"/>
      <c r="CB17" s="40"/>
      <c r="CC17" s="40"/>
      <c r="CD17" s="39" t="s">
        <v>120</v>
      </c>
      <c r="CE17" s="39">
        <f>N15*100</f>
        <v>317</v>
      </c>
      <c r="CF17" s="75"/>
      <c r="CG17" s="39"/>
      <c r="CH17" s="40"/>
      <c r="CI17" s="39"/>
      <c r="CJ17" s="39" t="s">
        <v>394</v>
      </c>
      <c r="CK17" s="39" t="s">
        <v>395</v>
      </c>
      <c r="CL17" s="52"/>
      <c r="CM17" s="39"/>
      <c r="CN17" s="39"/>
      <c r="CO17" s="52"/>
      <c r="CP17" s="52" t="s">
        <v>323</v>
      </c>
      <c r="CQ17" s="39">
        <f>'Steel Table'!EM90</f>
        <v>100</v>
      </c>
      <c r="CR17" s="96"/>
      <c r="CS17" s="40"/>
      <c r="CT17" s="40"/>
      <c r="CU17" s="40"/>
      <c r="CV17" s="108"/>
      <c r="CW17" s="40"/>
      <c r="CX17" s="88"/>
      <c r="CY17" s="88"/>
      <c r="CZ17" s="136"/>
      <c r="DA17" s="63"/>
      <c r="DB17" s="101"/>
      <c r="DC17" s="101"/>
      <c r="DD17" s="101"/>
      <c r="DE17" s="40">
        <v>10</v>
      </c>
      <c r="DF17" s="40" t="str">
        <f>'Steel Table'!C15</f>
        <v>WF-200X200x8x12 mm.</v>
      </c>
      <c r="DG17" s="40" t="str">
        <f>'Steel Table'!S15</f>
        <v>I-300x150x8x13 mm.</v>
      </c>
      <c r="DH17" s="40" t="str">
        <f>'Steel Table'!AJ15</f>
        <v>[-250x90x9x13 mm.</v>
      </c>
      <c r="DI17" s="40" t="str">
        <f>'Steel Table'!BC15</f>
        <v>Tube-50x50x2 mm.</v>
      </c>
      <c r="DJ17" s="40" t="str">
        <f>'Steel Table'!BO15</f>
        <v>Tube-100x50x2 mm.</v>
      </c>
      <c r="DK17" s="40" t="str">
        <f>'Steel Table'!CD15</f>
        <v>Pipe-D48.6x3.2 mm.</v>
      </c>
      <c r="DL17" s="40" t="str">
        <f>'Steel Table'!CO15</f>
        <v>[-90x45x20x2.3 mm.</v>
      </c>
      <c r="DM17" s="40" t="str">
        <f>'Steel Table'!AJ36</f>
        <v>2[]-250x90x9x13 mm.</v>
      </c>
      <c r="DN17" s="40" t="str">
        <f>'Steel Table'!DG15</f>
        <v>2[]-90x45x20x2.3 mm.</v>
      </c>
      <c r="DO17" s="52"/>
      <c r="DP17" s="40"/>
      <c r="DQ17" s="40"/>
      <c r="DR17" s="40"/>
      <c r="DS17" s="40"/>
      <c r="DT17" s="40"/>
      <c r="DU17" s="40"/>
      <c r="DV17" s="40"/>
      <c r="DW17" s="40"/>
      <c r="DX17" s="40"/>
    </row>
    <row r="18" spans="1:128" s="35" customFormat="1" ht="15.75" customHeight="1">
      <c r="A18" s="40"/>
      <c r="B18" s="95" t="str">
        <f>"น้ำหนัก"&amp;CI33&amp;" , (kg./m.)"</f>
        <v>น้ำหนักอะเส , (kg./m.)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75" t="s">
        <v>0</v>
      </c>
      <c r="N18" s="372">
        <f>IF(CB10=1,6,IF(CB10&gt;1,CQ9))</f>
        <v>9.02</v>
      </c>
      <c r="O18" s="372"/>
      <c r="P18" s="372"/>
      <c r="S18" s="40"/>
      <c r="U18" s="40"/>
      <c r="V18" s="40"/>
      <c r="W18" s="40"/>
      <c r="X18" s="40"/>
      <c r="Y18" s="40"/>
      <c r="Z18" s="40"/>
      <c r="AB18" s="99"/>
      <c r="AC18" s="153"/>
      <c r="AD18" s="153"/>
      <c r="AE18" s="153"/>
      <c r="AF18" s="153"/>
      <c r="AG18" s="153"/>
      <c r="AH18" s="153"/>
      <c r="AI18" s="153"/>
      <c r="AJ18" s="153"/>
      <c r="AK18" s="330"/>
      <c r="AL18" s="153"/>
      <c r="AM18" s="153"/>
      <c r="AN18" s="153"/>
      <c r="AO18" s="40"/>
      <c r="AP18" s="40"/>
      <c r="AQ18" s="40"/>
      <c r="AR18" s="40"/>
      <c r="BU18" s="35" t="s">
        <v>489</v>
      </c>
      <c r="BY18" s="40"/>
      <c r="BZ18" s="40"/>
      <c r="CA18" s="40"/>
      <c r="CB18" s="40"/>
      <c r="CC18" s="40"/>
      <c r="CD18" s="39" t="s">
        <v>422</v>
      </c>
      <c r="CE18" s="39">
        <f>N20/100</f>
        <v>2.45295</v>
      </c>
      <c r="CG18" s="39" t="s">
        <v>409</v>
      </c>
      <c r="CH18" s="39">
        <f>CE$17-CE23</f>
        <v>317</v>
      </c>
      <c r="CI18" s="75">
        <f>N$15-CF23</f>
        <v>3.17</v>
      </c>
      <c r="CJ18" s="75">
        <f>IF(CE23&gt;CH18,CE23,IF(CE23&lt;CH18,CH18))</f>
        <v>317</v>
      </c>
      <c r="CK18" s="75">
        <f>IF(CE23&gt;CH18,CH18,IF(CE23&lt;CH18,CE23))</f>
        <v>0</v>
      </c>
      <c r="CL18" s="40"/>
      <c r="CM18" s="93"/>
      <c r="CN18" s="75"/>
      <c r="CO18" s="40"/>
      <c r="CP18" s="40" t="s">
        <v>325</v>
      </c>
      <c r="CQ18" s="39">
        <f>'Steel Table'!EN90</f>
        <v>20</v>
      </c>
      <c r="CR18" s="96"/>
      <c r="CS18" s="40"/>
      <c r="CT18" s="40"/>
      <c r="CU18" s="314">
        <v>23</v>
      </c>
      <c r="CV18" s="108"/>
      <c r="CW18" s="40"/>
      <c r="CX18" s="88"/>
      <c r="CY18" s="88"/>
      <c r="CZ18" s="63"/>
      <c r="DA18" s="63"/>
      <c r="DB18" s="101"/>
      <c r="DC18" s="101"/>
      <c r="DD18" s="101"/>
      <c r="DE18" s="40">
        <v>11</v>
      </c>
      <c r="DF18" s="40" t="str">
        <f>'Steel Table'!C16</f>
        <v>WF-200X200x12x12 mm.</v>
      </c>
      <c r="DG18" s="40" t="str">
        <f>'Steel Table'!S16</f>
        <v>I-300x150x10x18.5 mm.</v>
      </c>
      <c r="DH18" s="40" t="str">
        <f>'Steel Table'!AJ16</f>
        <v>[-250x90x11x14.5 mm.</v>
      </c>
      <c r="DI18" s="40" t="str">
        <f>'Steel Table'!BC16</f>
        <v>Tube-50x50x2.3 mm.</v>
      </c>
      <c r="DJ18" s="40" t="str">
        <f>'Steel Table'!BO16</f>
        <v>Tube-100x50x2.3 mm.</v>
      </c>
      <c r="DK18" s="40" t="str">
        <f>'Steel Table'!CD16</f>
        <v>Pipe-D60.5x2.3 mm.</v>
      </c>
      <c r="DL18" s="40" t="str">
        <f>'Steel Table'!CO16</f>
        <v>[-90x45x20x3.2 mm.</v>
      </c>
      <c r="DM18" s="40" t="str">
        <f>'Steel Table'!AJ37</f>
        <v>2[]-250x90x11x14.5 mm.</v>
      </c>
      <c r="DN18" s="40" t="str">
        <f>'Steel Table'!DG16</f>
        <v>2[]-90x45x20x3.2 mm.</v>
      </c>
      <c r="DO18" s="52"/>
      <c r="DP18" s="40"/>
      <c r="DQ18" s="40"/>
      <c r="DR18" s="40"/>
      <c r="DS18" s="40"/>
      <c r="DT18" s="40"/>
      <c r="DU18" s="40"/>
      <c r="DV18" s="40"/>
      <c r="DW18" s="40"/>
      <c r="DX18" s="40"/>
    </row>
    <row r="19" spans="1:128" s="35" customFormat="1" ht="15.75" customHeight="1">
      <c r="A19" s="52"/>
      <c r="B19" s="31" t="str">
        <f>"ช่วงที่รับน้ำหนักของ"&amp;CI33&amp;"เหล็กกว้าง"</f>
        <v>ช่วงที่รับน้ำหนักของอะเสเหล็กกว้าง</v>
      </c>
      <c r="C19" s="40"/>
      <c r="D19" s="40"/>
      <c r="E19" s="40"/>
      <c r="F19" s="40"/>
      <c r="G19" s="40"/>
      <c r="H19" s="40"/>
      <c r="I19" s="40"/>
      <c r="J19" s="40"/>
      <c r="K19" s="40"/>
      <c r="L19" s="39"/>
      <c r="M19" s="75" t="s">
        <v>0</v>
      </c>
      <c r="N19" s="351">
        <v>2.25</v>
      </c>
      <c r="O19" s="351"/>
      <c r="P19" s="351"/>
      <c r="Q19" s="396" t="s">
        <v>121</v>
      </c>
      <c r="R19" s="396"/>
      <c r="T19" s="40"/>
      <c r="U19" s="40"/>
      <c r="V19" s="40"/>
      <c r="W19" s="39" t="str">
        <f>IF(N21="","P",IF(N21&lt;&gt;"","P = "&amp;ROUND(N21,2)&amp;" kg."))</f>
        <v>P</v>
      </c>
      <c r="X19" s="40"/>
      <c r="Y19" s="40"/>
      <c r="Z19" s="40"/>
      <c r="AB19" s="99"/>
      <c r="AC19" s="153"/>
      <c r="AD19" s="153"/>
      <c r="AE19" s="153"/>
      <c r="AF19" s="153"/>
      <c r="AG19" s="153"/>
      <c r="AH19" s="150"/>
      <c r="AI19" s="153"/>
      <c r="AJ19" s="153"/>
      <c r="AK19" s="153"/>
      <c r="AL19" s="153"/>
      <c r="AM19" s="153"/>
      <c r="AN19" s="153"/>
      <c r="AO19" s="40"/>
      <c r="AP19" s="40"/>
      <c r="AQ19" s="40"/>
      <c r="AR19" s="40"/>
      <c r="BY19" s="40"/>
      <c r="BZ19" s="40"/>
      <c r="CA19" s="40"/>
      <c r="CB19" s="40"/>
      <c r="CC19" s="40"/>
      <c r="CD19" s="39" t="s">
        <v>124</v>
      </c>
      <c r="CE19" s="39">
        <f>N21</f>
        <v>0</v>
      </c>
      <c r="CG19" s="39" t="s">
        <v>411</v>
      </c>
      <c r="CH19" s="39">
        <f>CE$17-CE24</f>
        <v>317</v>
      </c>
      <c r="CI19" s="75">
        <f>N$15-CF24</f>
        <v>3.17</v>
      </c>
      <c r="CJ19" s="75">
        <f>IF(CE24&gt;CH19,CE24,IF(CE24&lt;CH19,CH19))</f>
        <v>317</v>
      </c>
      <c r="CK19" s="75">
        <f>IF(CE24&gt;CH19,CH19,IF(CE24&lt;CH19,CE24))</f>
        <v>0</v>
      </c>
      <c r="CL19" s="40"/>
      <c r="CM19" s="93"/>
      <c r="CN19" s="75"/>
      <c r="CO19" s="40"/>
      <c r="CP19" s="40" t="s">
        <v>137</v>
      </c>
      <c r="CQ19" s="39">
        <f>'Steel Table'!EO90</f>
        <v>2.3</v>
      </c>
      <c r="CR19" s="74"/>
      <c r="CS19" s="52"/>
      <c r="CT19" s="52">
        <v>1</v>
      </c>
      <c r="CU19" s="52" t="str">
        <f>VLOOKUP(1,$DE$8:$DN$78,CV$8,TRUE)</f>
        <v>2[]-60x30x10x1.6 mm.</v>
      </c>
      <c r="CV19" s="103"/>
      <c r="CW19" s="35" t="str">
        <f>VLOOKUP(CU18,CT19:CU90,2,TRUE)</f>
        <v>2[]-125x50x20x2.3 mm.</v>
      </c>
      <c r="CX19" s="94"/>
      <c r="CY19" s="94"/>
      <c r="CZ19" s="63"/>
      <c r="DA19" s="63"/>
      <c r="DB19" s="74"/>
      <c r="DC19" s="74"/>
      <c r="DD19" s="52"/>
      <c r="DE19" s="40">
        <v>12</v>
      </c>
      <c r="DF19" s="40" t="str">
        <f>'Steel Table'!C17</f>
        <v>WF-200X200x10x16 mm.</v>
      </c>
      <c r="DG19" s="40" t="str">
        <f>'Steel Table'!S17</f>
        <v>I-300x150x11.5x22 mm.</v>
      </c>
      <c r="DH19" s="40" t="str">
        <f>'Steel Table'!AJ17</f>
        <v>[-300x90x9x13 mm.</v>
      </c>
      <c r="DI19" s="40" t="str">
        <f>'Steel Table'!BC17</f>
        <v>Tube-50x50x3.2 mm.</v>
      </c>
      <c r="DJ19" s="40" t="str">
        <f>'Steel Table'!BO17</f>
        <v>Tube-100x50x3.2 mm.</v>
      </c>
      <c r="DK19" s="40" t="str">
        <f>'Steel Table'!CD17</f>
        <v>Pipe-D60.5x3.2 mm.</v>
      </c>
      <c r="DL19" s="40" t="str">
        <f>'Steel Table'!CO17</f>
        <v>[-100x50x20x1.6 mm.</v>
      </c>
      <c r="DM19" s="40" t="str">
        <f>'Steel Table'!AJ38</f>
        <v>2[]-300x90x9x13 mm.</v>
      </c>
      <c r="DN19" s="40" t="str">
        <f>'Steel Table'!DG17</f>
        <v>2[]-100x50x20x1.6 mm.</v>
      </c>
      <c r="DO19" s="52"/>
      <c r="DP19" s="40"/>
      <c r="DQ19" s="40"/>
      <c r="DR19" s="40"/>
      <c r="DS19" s="40"/>
      <c r="DT19" s="40"/>
      <c r="DU19" s="40"/>
      <c r="DV19" s="40"/>
      <c r="DW19" s="40"/>
      <c r="DX19" s="40"/>
    </row>
    <row r="20" spans="1:128" s="35" customFormat="1" ht="15.75" customHeight="1">
      <c r="A20" s="52"/>
      <c r="B20" s="31" t="str">
        <f>"รวมน้ำหนักลง"&amp;CI33&amp;"เหล็กทั้งหมด , W "</f>
        <v>รวมน้ำหนักลงอะเสเหล็กทั้งหมด , W </v>
      </c>
      <c r="M20" s="75" t="s">
        <v>0</v>
      </c>
      <c r="N20" s="372">
        <f>SUM(N16:P18)*P</f>
        <v>245.295</v>
      </c>
      <c r="O20" s="372"/>
      <c r="P20" s="372"/>
      <c r="Q20" s="373" t="s">
        <v>74</v>
      </c>
      <c r="R20" s="373"/>
      <c r="S20" s="40"/>
      <c r="T20" s="440" t="s">
        <v>391</v>
      </c>
      <c r="U20" s="440"/>
      <c r="V20" s="440"/>
      <c r="W20" s="440"/>
      <c r="X20" s="440"/>
      <c r="Y20" s="440"/>
      <c r="Z20" s="440"/>
      <c r="AA20" s="137" t="s">
        <v>512</v>
      </c>
      <c r="AB20" s="99"/>
      <c r="AC20" s="153"/>
      <c r="AD20" s="153"/>
      <c r="AE20" s="153"/>
      <c r="AF20" s="153"/>
      <c r="AG20" s="153"/>
      <c r="AH20" s="150"/>
      <c r="AI20" s="153"/>
      <c r="AJ20" s="153"/>
      <c r="AK20" s="153"/>
      <c r="AL20" s="153"/>
      <c r="AM20" s="153"/>
      <c r="AN20" s="153"/>
      <c r="AO20" s="40"/>
      <c r="AP20" s="40"/>
      <c r="AQ20" s="40"/>
      <c r="AR20" s="40"/>
      <c r="BY20" s="40"/>
      <c r="BZ20" s="40"/>
      <c r="CA20" s="40"/>
      <c r="CB20" s="101"/>
      <c r="CC20" s="40"/>
      <c r="CD20" s="39" t="s">
        <v>399</v>
      </c>
      <c r="CE20" s="39">
        <f>N22</f>
        <v>0</v>
      </c>
      <c r="CG20" s="39" t="s">
        <v>413</v>
      </c>
      <c r="CH20" s="39">
        <f>CE$17-CE25</f>
        <v>317</v>
      </c>
      <c r="CI20" s="75">
        <f>N$15-CF25</f>
        <v>3.17</v>
      </c>
      <c r="CJ20" s="75">
        <f>IF(CE25&gt;CH20,CE25,IF(CE25&lt;CH20,CH20))</f>
        <v>317</v>
      </c>
      <c r="CK20" s="75">
        <f>IF(CE25&gt;CH20,CH20,IF(CE25&lt;CH20,CE25))</f>
        <v>0</v>
      </c>
      <c r="CL20" s="52"/>
      <c r="CM20" s="93"/>
      <c r="CN20" s="75"/>
      <c r="CO20" s="52"/>
      <c r="CP20" s="52" t="s">
        <v>138</v>
      </c>
      <c r="CQ20" s="75">
        <f>'Steel Table'!EP90</f>
        <v>2.3</v>
      </c>
      <c r="CR20" s="74"/>
      <c r="CS20" s="52"/>
      <c r="CT20" s="52">
        <v>2</v>
      </c>
      <c r="CU20" s="52" t="str">
        <f>VLOOKUP(2,$DE$8:$DN$78,CV$8,TRUE)</f>
        <v>2[]-60x30x10x2 mm.</v>
      </c>
      <c r="CV20" s="103"/>
      <c r="CW20" s="52"/>
      <c r="CX20" s="94"/>
      <c r="CY20" s="94"/>
      <c r="CZ20" s="63"/>
      <c r="DA20" s="63"/>
      <c r="DB20" s="74"/>
      <c r="DC20" s="74"/>
      <c r="DD20" s="52"/>
      <c r="DE20" s="40">
        <v>13</v>
      </c>
      <c r="DF20" s="40" t="str">
        <f>'Steel Table'!C18</f>
        <v>WF-250x125x5x8 mm.</v>
      </c>
      <c r="DG20" s="40" t="str">
        <f>'Steel Table'!S18</f>
        <v>I-350x150x9x15 mm.</v>
      </c>
      <c r="DH20" s="40" t="str">
        <f>'Steel Table'!AJ18</f>
        <v>[-300x90x10x15.5 mm.</v>
      </c>
      <c r="DI20" s="40" t="str">
        <f>'Steel Table'!BC18</f>
        <v>Tube-50x50x3.6 mm.</v>
      </c>
      <c r="DJ20" s="40" t="str">
        <f>'Steel Table'!BO18</f>
        <v>Tube-100x50x3.6 mm.</v>
      </c>
      <c r="DK20" s="40" t="str">
        <f>'Steel Table'!CD18</f>
        <v>Pipe-D60.5x4 mm.</v>
      </c>
      <c r="DL20" s="40" t="str">
        <f>'Steel Table'!CO18</f>
        <v>[-100x50x20x2 mm.</v>
      </c>
      <c r="DM20" s="40" t="str">
        <f>'Steel Table'!AJ39</f>
        <v>2[]-300x90x10x15.5 mm.</v>
      </c>
      <c r="DN20" s="40" t="str">
        <f>'Steel Table'!DG18</f>
        <v>2[]-100x50x20x2 mm.</v>
      </c>
      <c r="DO20" s="52"/>
      <c r="DP20" s="40"/>
      <c r="DQ20" s="40"/>
      <c r="DR20" s="40"/>
      <c r="DS20" s="40"/>
      <c r="DT20" s="40"/>
      <c r="DU20" s="40"/>
      <c r="DV20" s="40"/>
      <c r="DW20" s="40"/>
      <c r="DX20" s="40"/>
    </row>
    <row r="21" spans="1:128" s="35" customFormat="1" ht="15.75" customHeight="1">
      <c r="A21" s="52"/>
      <c r="B21" s="31" t="s">
        <v>517</v>
      </c>
      <c r="M21" s="36" t="s">
        <v>0</v>
      </c>
      <c r="N21" s="434"/>
      <c r="O21" s="434"/>
      <c r="P21" s="434"/>
      <c r="S21" s="40"/>
      <c r="T21" s="40"/>
      <c r="U21" s="40"/>
      <c r="V21" s="40"/>
      <c r="W21" s="40"/>
      <c r="X21" s="40"/>
      <c r="Y21" s="40"/>
      <c r="Z21" s="40"/>
      <c r="AA21" s="40"/>
      <c r="AB21" s="99"/>
      <c r="AC21" s="332"/>
      <c r="AD21" s="332"/>
      <c r="AE21" s="332"/>
      <c r="AF21" s="332"/>
      <c r="AG21" s="332"/>
      <c r="AH21" s="153"/>
      <c r="AI21" s="153"/>
      <c r="AJ21" s="153"/>
      <c r="AK21" s="153"/>
      <c r="AL21" s="153"/>
      <c r="AM21" s="153"/>
      <c r="AN21" s="153"/>
      <c r="AO21" s="40"/>
      <c r="AP21" s="40"/>
      <c r="AQ21" s="40"/>
      <c r="AR21" s="40"/>
      <c r="BY21" s="40"/>
      <c r="BZ21" s="40"/>
      <c r="CA21" s="40"/>
      <c r="CB21" s="40"/>
      <c r="CC21" s="40"/>
      <c r="CD21" s="39" t="s">
        <v>414</v>
      </c>
      <c r="CE21" s="39">
        <f>N24</f>
        <v>0</v>
      </c>
      <c r="CG21" s="39" t="s">
        <v>315</v>
      </c>
      <c r="CH21" s="50">
        <f>N11</f>
        <v>2100000</v>
      </c>
      <c r="CI21" s="39"/>
      <c r="CJ21" s="75"/>
      <c r="CK21" s="52"/>
      <c r="CL21" s="52"/>
      <c r="CM21" s="93"/>
      <c r="CN21" s="75"/>
      <c r="CO21" s="52"/>
      <c r="CP21" s="52" t="s">
        <v>172</v>
      </c>
      <c r="CQ21" s="39">
        <f>'Steel Table'!EQ90</f>
        <v>0</v>
      </c>
      <c r="CR21" s="40"/>
      <c r="CS21" s="40"/>
      <c r="CT21" s="52">
        <v>3</v>
      </c>
      <c r="CU21" s="52" t="str">
        <f>VLOOKUP(3,$DE$8:$DN$78,CV$8,TRUE)</f>
        <v>2[]-60x30x10x2.3 mm.</v>
      </c>
      <c r="CV21" s="104"/>
      <c r="CW21" s="40"/>
      <c r="CX21" s="40"/>
      <c r="CY21" s="40"/>
      <c r="CZ21" s="40"/>
      <c r="DA21" s="40"/>
      <c r="DB21" s="40"/>
      <c r="DC21" s="40"/>
      <c r="DD21" s="40"/>
      <c r="DE21" s="40">
        <v>14</v>
      </c>
      <c r="DF21" s="40" t="str">
        <f>'Steel Table'!C19</f>
        <v>WF-250x125x6x9 mm.</v>
      </c>
      <c r="DG21" s="40" t="str">
        <f>'Steel Table'!S19</f>
        <v>I-350x150x12x24 mm.</v>
      </c>
      <c r="DH21" s="40" t="str">
        <f>'Steel Table'!AJ19</f>
        <v>[-300x90x12x16 mm.</v>
      </c>
      <c r="DI21" s="40" t="str">
        <f>'Steel Table'!BC19</f>
        <v>Tube-50x50x4 mm.</v>
      </c>
      <c r="DJ21" s="40" t="str">
        <f>'Steel Table'!BO19</f>
        <v>Tube-100x50x4 mm.</v>
      </c>
      <c r="DK21" s="40" t="str">
        <f>'Steel Table'!CD19</f>
        <v>Pipe-D76.3x2.8 mm.</v>
      </c>
      <c r="DL21" s="40" t="str">
        <f>'Steel Table'!CO19</f>
        <v>[-100x50x20x2.3 mm.</v>
      </c>
      <c r="DM21" s="40" t="str">
        <f>'Steel Table'!AJ40</f>
        <v>2[]-300x90x12x16 mm.</v>
      </c>
      <c r="DN21" s="40" t="str">
        <f>'Steel Table'!DG19</f>
        <v>2[]-100x50x20x2.3 mm.</v>
      </c>
      <c r="DO21" s="52"/>
      <c r="DP21" s="40"/>
      <c r="DQ21" s="40"/>
      <c r="DR21" s="40"/>
      <c r="DS21" s="40"/>
      <c r="DT21" s="40"/>
      <c r="DU21" s="40"/>
      <c r="DV21" s="40"/>
      <c r="DW21" s="40"/>
      <c r="DX21" s="40"/>
    </row>
    <row r="22" spans="1:128" s="35" customFormat="1" ht="15.75" customHeight="1">
      <c r="A22" s="52"/>
      <c r="B22" s="31" t="s">
        <v>518</v>
      </c>
      <c r="M22" s="36" t="s">
        <v>0</v>
      </c>
      <c r="N22" s="434"/>
      <c r="O22" s="434"/>
      <c r="P22" s="434"/>
      <c r="S22" s="70"/>
      <c r="T22" s="70"/>
      <c r="U22" s="71" t="str">
        <f>"L/2 = "&amp;ROUND($N15/2,2)&amp;" m."</f>
        <v>L/2 = 1.59 m.</v>
      </c>
      <c r="V22" s="70"/>
      <c r="W22" s="71"/>
      <c r="X22" s="70"/>
      <c r="Y22" s="71" t="str">
        <f>"L/2 = "&amp;ROUND($N15/2,2)&amp;" m."</f>
        <v>L/2 = 1.59 m.</v>
      </c>
      <c r="Z22" s="70"/>
      <c r="AA22" s="80"/>
      <c r="AB22" s="99"/>
      <c r="AC22" s="333"/>
      <c r="AD22" s="333"/>
      <c r="AE22" s="333"/>
      <c r="AF22" s="333"/>
      <c r="AG22" s="333"/>
      <c r="AH22" s="153"/>
      <c r="AI22" s="153"/>
      <c r="AJ22" s="153"/>
      <c r="AK22" s="153"/>
      <c r="AL22" s="153"/>
      <c r="AM22" s="153"/>
      <c r="AN22" s="153"/>
      <c r="AO22" s="40"/>
      <c r="AP22" s="40"/>
      <c r="AQ22" s="40"/>
      <c r="AR22" s="40"/>
      <c r="BY22" s="40"/>
      <c r="BZ22" s="40"/>
      <c r="CA22" s="40"/>
      <c r="CB22" s="101"/>
      <c r="CC22" s="40"/>
      <c r="CD22" s="39" t="s">
        <v>415</v>
      </c>
      <c r="CE22" s="39">
        <f>N26</f>
        <v>0</v>
      </c>
      <c r="CG22" s="39" t="s">
        <v>266</v>
      </c>
      <c r="CH22" s="50">
        <f>H35</f>
        <v>274</v>
      </c>
      <c r="CI22" s="39"/>
      <c r="CJ22" s="75"/>
      <c r="CK22" s="40"/>
      <c r="CL22" s="40"/>
      <c r="CM22" s="39"/>
      <c r="CN22" s="39"/>
      <c r="CO22" s="40"/>
      <c r="CP22" s="40" t="s">
        <v>173</v>
      </c>
      <c r="CQ22" s="39">
        <f>'Steel Table'!ER90</f>
        <v>0</v>
      </c>
      <c r="CR22" s="40"/>
      <c r="CS22" s="40"/>
      <c r="CT22" s="52">
        <v>4</v>
      </c>
      <c r="CU22" s="52" t="str">
        <f>VLOOKUP(4,$DE$8:$DN$78,CV$8,TRUE)</f>
        <v>2[]-70x40x25x1.6 mm.</v>
      </c>
      <c r="CV22" s="104"/>
      <c r="CW22" s="40"/>
      <c r="CX22" s="40"/>
      <c r="CY22" s="40"/>
      <c r="CZ22" s="40"/>
      <c r="DA22" s="40"/>
      <c r="DB22" s="40"/>
      <c r="DC22" s="40"/>
      <c r="DD22" s="40"/>
      <c r="DE22" s="40">
        <v>15</v>
      </c>
      <c r="DF22" s="40" t="str">
        <f>'Steel Table'!C20</f>
        <v>WF-250X250x11x11 mm.</v>
      </c>
      <c r="DG22" s="40" t="str">
        <f>'Steel Table'!S20</f>
        <v>I-400x150x10x18 mm.</v>
      </c>
      <c r="DH22" s="40" t="str">
        <f>'Steel Table'!AJ20</f>
        <v>[-380x100x10.5x16 mm.</v>
      </c>
      <c r="DI22" s="40" t="str">
        <f>'Steel Table'!BC20</f>
        <v>Tube-50x50x5 mm.</v>
      </c>
      <c r="DJ22" s="40" t="str">
        <f>'Steel Table'!BO20</f>
        <v>Tube-100x50x4.5 mm.</v>
      </c>
      <c r="DK22" s="40" t="str">
        <f>'Steel Table'!CD20</f>
        <v>Pipe-D76.3x3.2 mm.</v>
      </c>
      <c r="DL22" s="40" t="str">
        <f>'Steel Table'!CO20</f>
        <v>[-100x50x20x2.8 mm.</v>
      </c>
      <c r="DM22" s="40" t="str">
        <f>'Steel Table'!AJ41</f>
        <v>2[]-380x100x10.5x16 mm.</v>
      </c>
      <c r="DN22" s="40" t="str">
        <f>'Steel Table'!DG20</f>
        <v>2[]-100x50x20x2.8 mm.</v>
      </c>
      <c r="DO22" s="52"/>
      <c r="DP22" s="40"/>
      <c r="DQ22" s="40"/>
      <c r="DR22" s="40"/>
      <c r="DS22" s="40"/>
      <c r="DT22" s="40"/>
      <c r="DU22" s="40"/>
      <c r="DV22" s="40"/>
      <c r="DW22" s="40"/>
      <c r="DX22" s="40"/>
    </row>
    <row r="23" spans="1:128" s="35" customFormat="1" ht="15.75" customHeight="1">
      <c r="A23" s="40"/>
      <c r="B23" s="31" t="s">
        <v>519</v>
      </c>
      <c r="M23" s="36" t="s">
        <v>0</v>
      </c>
      <c r="N23" s="433"/>
      <c r="O23" s="433"/>
      <c r="P23" s="433"/>
      <c r="R23" s="52"/>
      <c r="S23" s="40"/>
      <c r="U23" s="40"/>
      <c r="V23" s="40"/>
      <c r="W23" s="40"/>
      <c r="X23" s="40"/>
      <c r="Y23" s="40"/>
      <c r="Z23" s="40"/>
      <c r="AB23" s="99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40"/>
      <c r="AP23" s="40"/>
      <c r="AQ23" s="40"/>
      <c r="AR23" s="40"/>
      <c r="BY23" s="40"/>
      <c r="BZ23" s="40"/>
      <c r="CA23" s="40"/>
      <c r="CB23" s="40"/>
      <c r="CC23" s="40"/>
      <c r="CD23" s="39" t="s">
        <v>408</v>
      </c>
      <c r="CE23" s="39">
        <f>N23*100</f>
        <v>0</v>
      </c>
      <c r="CF23" s="36">
        <f>N23</f>
        <v>0</v>
      </c>
      <c r="CG23" s="39" t="s">
        <v>460</v>
      </c>
      <c r="CH23" s="39">
        <f>CH21*CH22</f>
        <v>575400000</v>
      </c>
      <c r="CI23" s="39"/>
      <c r="CJ23" s="75"/>
      <c r="CK23" s="40"/>
      <c r="CL23" s="40"/>
      <c r="CM23" s="39"/>
      <c r="CN23" s="39"/>
      <c r="CO23" s="40"/>
      <c r="CP23" s="40"/>
      <c r="CQ23" s="40"/>
      <c r="CR23" s="96"/>
      <c r="CS23" s="40"/>
      <c r="CT23" s="52">
        <v>5</v>
      </c>
      <c r="CU23" s="52" t="str">
        <f>VLOOKUP(5,$DE$8:$DN$78,CV$8,TRUE)</f>
        <v>2[]-70x40x25x2.3 mm.</v>
      </c>
      <c r="CV23" s="108"/>
      <c r="CW23" s="40"/>
      <c r="CX23" s="88"/>
      <c r="CY23" s="88"/>
      <c r="CZ23" s="136"/>
      <c r="DA23" s="63"/>
      <c r="DB23" s="101"/>
      <c r="DC23" s="101"/>
      <c r="DD23" s="40"/>
      <c r="DE23" s="40">
        <v>16</v>
      </c>
      <c r="DF23" s="40" t="str">
        <f>'Steel Table'!C21</f>
        <v>WF-250X250x8x13 mm.</v>
      </c>
      <c r="DG23" s="40" t="str">
        <f>'Steel Table'!S21</f>
        <v>I-400x150x12.5x25 mm.</v>
      </c>
      <c r="DH23" s="40" t="str">
        <f>'Steel Table'!AJ21</f>
        <v>[-380x100x13x16.5 mm.</v>
      </c>
      <c r="DI23" s="40" t="str">
        <f>'Steel Table'!BC21</f>
        <v>Tube-75x75x2.3 mm.</v>
      </c>
      <c r="DJ23" s="40" t="str">
        <f>'Steel Table'!BO21</f>
        <v>Tube-125x75x2.3 mm.</v>
      </c>
      <c r="DK23" s="40" t="str">
        <f>'Steel Table'!CD21</f>
        <v>Pipe-D76.3x4 mm.</v>
      </c>
      <c r="DL23" s="40" t="str">
        <f>'Steel Table'!CO21</f>
        <v>[-100x50x20x3.2 mm.</v>
      </c>
      <c r="DM23" s="40" t="str">
        <f>'Steel Table'!AJ42</f>
        <v>2[]-380x100x13x16.5 mm.</v>
      </c>
      <c r="DN23" s="40" t="str">
        <f>'Steel Table'!DG21</f>
        <v>2[]-100x50x20x3.2 mm.</v>
      </c>
      <c r="DO23" s="52"/>
      <c r="DP23" s="40"/>
      <c r="DQ23" s="40"/>
      <c r="DR23" s="40"/>
      <c r="DS23" s="40"/>
      <c r="DT23" s="40"/>
      <c r="DU23" s="40"/>
      <c r="DV23" s="40"/>
      <c r="DW23" s="40"/>
      <c r="DX23" s="40"/>
    </row>
    <row r="24" spans="1:128" s="35" customFormat="1" ht="15.75" customHeight="1">
      <c r="A24" s="40"/>
      <c r="B24" s="31" t="s">
        <v>520</v>
      </c>
      <c r="M24" s="36" t="s">
        <v>0</v>
      </c>
      <c r="N24" s="434"/>
      <c r="O24" s="434"/>
      <c r="P24" s="434"/>
      <c r="Q24" s="40"/>
      <c r="T24" s="40"/>
      <c r="U24" s="40"/>
      <c r="V24" s="341" t="str">
        <f>IF(N23="","P1",IF(N23&lt;&gt;"","P1 = "&amp;ROUND(N23,2)&amp;" kg."))</f>
        <v>P1</v>
      </c>
      <c r="X24" s="40"/>
      <c r="Y24" s="40"/>
      <c r="Z24" s="40"/>
      <c r="AB24" s="99"/>
      <c r="AC24" s="152"/>
      <c r="AD24" s="152"/>
      <c r="AE24" s="152"/>
      <c r="AF24" s="152"/>
      <c r="AG24" s="152"/>
      <c r="AH24" s="153"/>
      <c r="AI24" s="153"/>
      <c r="AJ24" s="153"/>
      <c r="AK24" s="153"/>
      <c r="AL24" s="153"/>
      <c r="AM24" s="153"/>
      <c r="AN24" s="153"/>
      <c r="AO24" s="40"/>
      <c r="AP24" s="40"/>
      <c r="AQ24" s="40"/>
      <c r="AR24" s="40"/>
      <c r="BY24" s="40"/>
      <c r="BZ24" s="40"/>
      <c r="CA24" s="40"/>
      <c r="CB24" s="40"/>
      <c r="CC24" s="40"/>
      <c r="CD24" s="39" t="s">
        <v>410</v>
      </c>
      <c r="CE24" s="39">
        <f>N25*100</f>
        <v>0</v>
      </c>
      <c r="CF24" s="75">
        <f>N25</f>
        <v>0</v>
      </c>
      <c r="CG24" s="39"/>
      <c r="CH24" s="52"/>
      <c r="CI24" s="39"/>
      <c r="CJ24" s="75"/>
      <c r="CK24" s="40"/>
      <c r="CL24" s="40"/>
      <c r="CM24" s="93"/>
      <c r="CN24" s="93"/>
      <c r="CO24" s="40"/>
      <c r="CP24" s="40"/>
      <c r="CQ24" s="40"/>
      <c r="CR24" s="96"/>
      <c r="CS24" s="40"/>
      <c r="CT24" s="52">
        <v>6</v>
      </c>
      <c r="CU24" s="52" t="str">
        <f>VLOOKUP(6,$DE$8:$DN$78,CV$8,TRUE)</f>
        <v>2[]-75x45x15x1.6 mm.</v>
      </c>
      <c r="CV24" s="108"/>
      <c r="CW24" s="40"/>
      <c r="CX24" s="88"/>
      <c r="CY24" s="88"/>
      <c r="CZ24" s="63"/>
      <c r="DA24" s="63"/>
      <c r="DB24" s="101"/>
      <c r="DC24" s="101"/>
      <c r="DD24" s="101"/>
      <c r="DE24" s="40">
        <v>17</v>
      </c>
      <c r="DF24" s="40" t="str">
        <f>'Steel Table'!C22</f>
        <v>WF-250X250x9x14 mm.</v>
      </c>
      <c r="DG24" s="40" t="str">
        <f>'Steel Table'!S22</f>
        <v>I-450x175x11x20 mm.</v>
      </c>
      <c r="DH24" s="40" t="str">
        <f>'Steel Table'!AJ22</f>
        <v>[-380x100x13x20 mm.</v>
      </c>
      <c r="DI24" s="40" t="str">
        <f>'Steel Table'!BC22</f>
        <v>Tube-75x75x3.2 mm.</v>
      </c>
      <c r="DJ24" s="40" t="str">
        <f>'Steel Table'!BO22</f>
        <v>Tube-125x75x3.2 mm.</v>
      </c>
      <c r="DK24" s="40" t="str">
        <f>'Steel Table'!CD22</f>
        <v>Pipe-D89.1x2.8 mm.</v>
      </c>
      <c r="DL24" s="40" t="str">
        <f>'Steel Table'!CO22</f>
        <v>[-100x50x20x4 mm.</v>
      </c>
      <c r="DM24" s="40" t="str">
        <f>'Steel Table'!AJ43</f>
        <v>2[]-380x100x13x20 mm.</v>
      </c>
      <c r="DN24" s="40" t="str">
        <f>'Steel Table'!DG22</f>
        <v>2[]-100x50x20x4 mm.</v>
      </c>
      <c r="DO24" s="52"/>
      <c r="DP24" s="40"/>
      <c r="DQ24" s="40"/>
      <c r="DR24" s="40"/>
      <c r="DS24" s="40"/>
      <c r="DT24" s="40"/>
      <c r="DU24" s="40"/>
      <c r="DV24" s="40"/>
      <c r="DW24" s="40"/>
      <c r="DX24" s="40"/>
    </row>
    <row r="25" spans="1:128" s="35" customFormat="1" ht="15.75" customHeight="1">
      <c r="A25" s="40"/>
      <c r="B25" s="31" t="s">
        <v>522</v>
      </c>
      <c r="M25" s="36" t="s">
        <v>0</v>
      </c>
      <c r="N25" s="433"/>
      <c r="O25" s="433"/>
      <c r="P25" s="433"/>
      <c r="S25" s="40"/>
      <c r="T25" s="440" t="s">
        <v>510</v>
      </c>
      <c r="U25" s="440"/>
      <c r="V25" s="440"/>
      <c r="W25" s="440"/>
      <c r="X25" s="440"/>
      <c r="Y25" s="440"/>
      <c r="Z25" s="440"/>
      <c r="AA25" s="137" t="s">
        <v>513</v>
      </c>
      <c r="AB25" s="99"/>
      <c r="AC25" s="152"/>
      <c r="AD25" s="152"/>
      <c r="AE25" s="152"/>
      <c r="AF25" s="152"/>
      <c r="AG25" s="152"/>
      <c r="AH25" s="153"/>
      <c r="AI25" s="153"/>
      <c r="AJ25" s="153"/>
      <c r="AK25" s="153"/>
      <c r="AL25" s="153"/>
      <c r="AM25" s="153"/>
      <c r="AN25" s="153"/>
      <c r="AO25" s="40"/>
      <c r="AP25" s="40"/>
      <c r="AQ25" s="40"/>
      <c r="AR25" s="40"/>
      <c r="BY25" s="40"/>
      <c r="BZ25" s="40"/>
      <c r="CA25" s="40"/>
      <c r="CB25" s="40"/>
      <c r="CC25" s="40"/>
      <c r="CD25" s="39" t="s">
        <v>412</v>
      </c>
      <c r="CE25" s="39">
        <f>N27*100</f>
        <v>0</v>
      </c>
      <c r="CF25" s="75">
        <f>N27</f>
        <v>0</v>
      </c>
      <c r="CG25" s="39"/>
      <c r="CH25" s="52"/>
      <c r="CI25" s="39"/>
      <c r="CJ25" s="75"/>
      <c r="CK25" s="40"/>
      <c r="CL25" s="40"/>
      <c r="CM25" s="93"/>
      <c r="CN25" s="75"/>
      <c r="CO25" s="40"/>
      <c r="CP25" s="40" t="s">
        <v>385</v>
      </c>
      <c r="CQ25" s="40"/>
      <c r="CR25" s="96"/>
      <c r="CS25" s="40"/>
      <c r="CT25" s="52">
        <v>7</v>
      </c>
      <c r="CU25" s="52" t="str">
        <f>VLOOKUP(7,$DE$8:$DN$78,CV$8,TRUE)</f>
        <v>2[]-75x45x15x2 mm.</v>
      </c>
      <c r="CV25" s="108"/>
      <c r="CW25" s="40"/>
      <c r="CX25" s="88"/>
      <c r="CY25" s="88"/>
      <c r="CZ25" s="63"/>
      <c r="DA25" s="63"/>
      <c r="DB25" s="101"/>
      <c r="DC25" s="101"/>
      <c r="DD25" s="101"/>
      <c r="DE25" s="40">
        <v>18</v>
      </c>
      <c r="DF25" s="40" t="str">
        <f>'Steel Table'!C23</f>
        <v>WF-250X250x14x14 mm.</v>
      </c>
      <c r="DG25" s="40" t="str">
        <f>'Steel Table'!S23</f>
        <v>I-450x175x13x26 mm.</v>
      </c>
      <c r="DH25" s="40"/>
      <c r="DI25" s="40" t="str">
        <f>'Steel Table'!BC23</f>
        <v>Tube-75x75x4 mm.</v>
      </c>
      <c r="DJ25" s="40" t="str">
        <f>'Steel Table'!BO23</f>
        <v>Tube-125x75x4 mm.</v>
      </c>
      <c r="DK25" s="40" t="str">
        <f>'Steel Table'!CD23</f>
        <v>Pipe-D89.1x3.2 mm.</v>
      </c>
      <c r="DL25" s="40" t="str">
        <f>'Steel Table'!CO23</f>
        <v>[-100x50x20x4.5 mm.</v>
      </c>
      <c r="DM25" s="40"/>
      <c r="DN25" s="40" t="str">
        <f>'Steel Table'!DG23</f>
        <v>2[]-100x50x20x4.5 mm.</v>
      </c>
      <c r="DO25" s="52"/>
      <c r="DP25" s="40"/>
      <c r="DQ25" s="40"/>
      <c r="DR25" s="40"/>
      <c r="DS25" s="40"/>
      <c r="DT25" s="40"/>
      <c r="DU25" s="40"/>
      <c r="DV25" s="40"/>
      <c r="DW25" s="40"/>
      <c r="DX25" s="40"/>
    </row>
    <row r="26" spans="1:128" s="35" customFormat="1" ht="15.75" customHeight="1">
      <c r="A26" s="52"/>
      <c r="B26" s="31" t="s">
        <v>523</v>
      </c>
      <c r="M26" s="36" t="s">
        <v>0</v>
      </c>
      <c r="N26" s="434"/>
      <c r="O26" s="434"/>
      <c r="P26" s="434"/>
      <c r="S26" s="40"/>
      <c r="T26" s="40"/>
      <c r="U26" s="40"/>
      <c r="V26" s="40"/>
      <c r="W26" s="40"/>
      <c r="X26" s="40"/>
      <c r="Y26" s="40"/>
      <c r="Z26" s="40"/>
      <c r="AA26" s="40"/>
      <c r="AB26" s="99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40"/>
      <c r="AP26" s="40"/>
      <c r="AQ26" s="40"/>
      <c r="AR26" s="40"/>
      <c r="BY26" s="40"/>
      <c r="BZ26" s="40"/>
      <c r="CA26" s="40"/>
      <c r="CB26" s="40"/>
      <c r="CC26" s="40"/>
      <c r="CE26" s="40"/>
      <c r="CF26" s="39"/>
      <c r="CG26" s="39"/>
      <c r="CH26" s="52"/>
      <c r="CI26" s="39"/>
      <c r="CJ26" s="39"/>
      <c r="CK26" s="40"/>
      <c r="CL26" s="40"/>
      <c r="CM26" s="39"/>
      <c r="CN26" s="39"/>
      <c r="CO26" s="40"/>
      <c r="CP26" s="40" t="s">
        <v>388</v>
      </c>
      <c r="CQ26" s="139">
        <f>N31/(CQ27*CQ28)</f>
        <v>135.2322</v>
      </c>
      <c r="CR26" s="40"/>
      <c r="CS26" s="40"/>
      <c r="CT26" s="52">
        <v>8</v>
      </c>
      <c r="CU26" s="52" t="str">
        <f>VLOOKUP(8,$DE$8:$DN$78,CV$8,TRUE)</f>
        <v>2[]-75x45x15x2.3 mm.</v>
      </c>
      <c r="CV26" s="104"/>
      <c r="CW26" s="40"/>
      <c r="CX26" s="40"/>
      <c r="CY26" s="40"/>
      <c r="CZ26" s="40"/>
      <c r="DA26" s="40"/>
      <c r="DB26" s="40"/>
      <c r="DC26" s="40"/>
      <c r="DD26" s="40"/>
      <c r="DE26" s="40">
        <v>19</v>
      </c>
      <c r="DF26" s="40" t="str">
        <f>'Steel Table'!C24</f>
        <v>WF-300X150x5.5x8 mm.</v>
      </c>
      <c r="DG26" s="40" t="str">
        <f>'Steel Table'!S24</f>
        <v>I-600x190x13x25 mm.</v>
      </c>
      <c r="DH26" s="40"/>
      <c r="DI26" s="40" t="str">
        <f>'Steel Table'!BC24</f>
        <v>Tube-75x75x4.5 mm.</v>
      </c>
      <c r="DJ26" s="40" t="str">
        <f>'Steel Table'!BO24</f>
        <v>Tube-125x75x4.5 mm.</v>
      </c>
      <c r="DK26" s="40" t="str">
        <f>'Steel Table'!CD24</f>
        <v>Pipe-D101.6x3.2 mm.</v>
      </c>
      <c r="DL26" s="40" t="str">
        <f>'Steel Table'!CO24</f>
        <v>[-120x40x20x3.2 mm.</v>
      </c>
      <c r="DM26" s="40"/>
      <c r="DN26" s="40" t="str">
        <f>'Steel Table'!DG24</f>
        <v>2[]-120x40x20x3.2 mm.</v>
      </c>
      <c r="DO26" s="40"/>
      <c r="DP26" s="40"/>
      <c r="DQ26" s="40"/>
      <c r="DR26" s="40"/>
      <c r="DS26" s="40"/>
      <c r="DT26" s="40"/>
      <c r="DU26" s="40"/>
      <c r="DV26" s="40"/>
      <c r="DW26" s="40"/>
      <c r="DX26" s="40"/>
    </row>
    <row r="27" spans="1:128" s="35" customFormat="1" ht="15.75" customHeight="1">
      <c r="A27" s="52"/>
      <c r="B27" s="31" t="s">
        <v>521</v>
      </c>
      <c r="M27" s="36" t="s">
        <v>0</v>
      </c>
      <c r="N27" s="433"/>
      <c r="O27" s="433"/>
      <c r="P27" s="433"/>
      <c r="S27" s="70"/>
      <c r="T27" s="70"/>
      <c r="U27" s="71" t="str">
        <f>IF(N23="","a1",IF(N23&lt;&gt;"","a1 = "&amp;ROUND(N23,2)&amp;" m."))</f>
        <v>a1</v>
      </c>
      <c r="V27" s="70"/>
      <c r="W27" s="418" t="str">
        <f>IF(N23="","b1",IF(N23&lt;&gt;"","b1 = "&amp;ROUND(CI18,2)&amp;" m."))</f>
        <v>b1</v>
      </c>
      <c r="X27" s="418"/>
      <c r="Y27" s="418"/>
      <c r="Z27" s="418"/>
      <c r="AA27" s="80"/>
      <c r="AB27" s="99"/>
      <c r="AC27" s="152"/>
      <c r="AD27" s="152"/>
      <c r="AE27" s="152"/>
      <c r="AF27" s="152"/>
      <c r="AG27" s="152"/>
      <c r="AH27" s="152"/>
      <c r="AI27" s="152"/>
      <c r="AJ27" s="152"/>
      <c r="AK27" s="153"/>
      <c r="AL27" s="153"/>
      <c r="AM27" s="153"/>
      <c r="AN27" s="153"/>
      <c r="AO27" s="40"/>
      <c r="AP27" s="40"/>
      <c r="AQ27" s="40"/>
      <c r="AR27" s="40"/>
      <c r="AX27" s="40"/>
      <c r="BW27" s="114"/>
      <c r="BX27" s="114"/>
      <c r="BY27" s="114"/>
      <c r="BZ27" s="114"/>
      <c r="CA27" s="114"/>
      <c r="CB27" s="114"/>
      <c r="CC27" s="40"/>
      <c r="CD27" s="40"/>
      <c r="CE27" s="40"/>
      <c r="CF27" s="39"/>
      <c r="CG27" s="39"/>
      <c r="CH27" s="40"/>
      <c r="CI27" s="39"/>
      <c r="CJ27" s="39"/>
      <c r="CK27" s="40"/>
      <c r="CL27" s="40"/>
      <c r="CM27" s="39"/>
      <c r="CN27" s="39"/>
      <c r="CO27" s="40"/>
      <c r="CP27" s="40" t="s">
        <v>328</v>
      </c>
      <c r="CQ27" s="75">
        <f>CQ16/10</f>
        <v>12.5</v>
      </c>
      <c r="CR27" s="40"/>
      <c r="CS27" s="40"/>
      <c r="CT27" s="52">
        <v>9</v>
      </c>
      <c r="CU27" s="52" t="str">
        <f>VLOOKUP(9,$DE$8:$DN$78,CV$8,TRUE)</f>
        <v>2[]-90x45x20x1.6 mm.</v>
      </c>
      <c r="CV27" s="40"/>
      <c r="CW27" s="40"/>
      <c r="CX27" s="40"/>
      <c r="CY27" s="40"/>
      <c r="CZ27" s="40"/>
      <c r="DA27" s="40"/>
      <c r="DB27" s="40"/>
      <c r="DC27" s="40"/>
      <c r="DD27" s="40"/>
      <c r="DE27" s="40">
        <v>20</v>
      </c>
      <c r="DF27" s="40" t="str">
        <f>'Steel Table'!C25</f>
        <v>WF-300X150x6.5x9 mm.</v>
      </c>
      <c r="DG27" s="40" t="str">
        <f>'Steel Table'!S25</f>
        <v>I-600x190x16x35 mm.</v>
      </c>
      <c r="DH27" s="40"/>
      <c r="DI27" s="40" t="str">
        <f>'Steel Table'!BC25</f>
        <v>Tube-100x100x2.3 mm.</v>
      </c>
      <c r="DJ27" s="40" t="str">
        <f>'Steel Table'!BO25</f>
        <v>Tube-125x75x6 mm.</v>
      </c>
      <c r="DK27" s="40" t="str">
        <f>'Steel Table'!CD25</f>
        <v>Pipe-D101.6x4 mm.</v>
      </c>
      <c r="DL27" s="40" t="str">
        <f>'Steel Table'!CO25</f>
        <v>[-120x60x25x2.3 mm.</v>
      </c>
      <c r="DM27" s="40"/>
      <c r="DN27" s="40" t="str">
        <f>'Steel Table'!DG25</f>
        <v>2[]-120x60x25x2.3 mm.</v>
      </c>
      <c r="DO27" s="40"/>
      <c r="DP27" s="40"/>
      <c r="DQ27" s="40"/>
      <c r="DR27" s="40"/>
      <c r="DS27" s="40"/>
      <c r="DT27" s="40"/>
      <c r="DU27" s="40"/>
      <c r="DV27" s="40"/>
      <c r="DW27" s="40"/>
      <c r="DX27" s="40"/>
    </row>
    <row r="28" spans="1:128" s="35" customFormat="1" ht="15.75" customHeight="1">
      <c r="A28" s="52"/>
      <c r="R28" s="331"/>
      <c r="S28" s="40"/>
      <c r="U28" s="40"/>
      <c r="V28" s="40"/>
      <c r="W28" s="40"/>
      <c r="X28" s="40"/>
      <c r="Y28" s="40"/>
      <c r="Z28" s="40"/>
      <c r="AB28" s="99"/>
      <c r="AC28" s="152"/>
      <c r="AD28" s="152"/>
      <c r="AE28" s="152"/>
      <c r="AF28" s="152"/>
      <c r="AG28" s="152"/>
      <c r="AH28" s="152"/>
      <c r="AI28" s="152"/>
      <c r="AJ28" s="152"/>
      <c r="AK28" s="153"/>
      <c r="AL28" s="153"/>
      <c r="AM28" s="153"/>
      <c r="AN28" s="153"/>
      <c r="AO28" s="40"/>
      <c r="AP28" s="40"/>
      <c r="AQ28" s="40"/>
      <c r="AR28" s="40"/>
      <c r="BY28" s="40"/>
      <c r="BZ28" s="40" t="s">
        <v>91</v>
      </c>
      <c r="CA28" s="40"/>
      <c r="CB28" s="40">
        <f>CQ9</f>
        <v>9.02</v>
      </c>
      <c r="CC28" s="40"/>
      <c r="CD28" s="40"/>
      <c r="CE28" s="40"/>
      <c r="CF28" s="39"/>
      <c r="CG28" s="39"/>
      <c r="CH28" s="40"/>
      <c r="CI28" s="40"/>
      <c r="CJ28" s="40"/>
      <c r="CK28" s="40"/>
      <c r="CL28" s="40"/>
      <c r="CM28" s="40"/>
      <c r="CN28" s="40"/>
      <c r="CO28" s="40"/>
      <c r="CP28" s="40" t="s">
        <v>444</v>
      </c>
      <c r="CQ28" s="75">
        <f>CQ19/10</f>
        <v>0.22999999999999998</v>
      </c>
      <c r="CR28" s="40"/>
      <c r="CS28" s="40"/>
      <c r="CT28" s="52">
        <v>10</v>
      </c>
      <c r="CU28" s="52" t="str">
        <f>VLOOKUP(10,$DE$8:$DN$78,CV$8,TRUE)</f>
        <v>2[]-90x45x20x2.3 mm.</v>
      </c>
      <c r="CV28" s="40"/>
      <c r="CW28" s="40"/>
      <c r="CX28" s="40"/>
      <c r="CY28" s="40"/>
      <c r="CZ28" s="40"/>
      <c r="DA28" s="40"/>
      <c r="DB28" s="40"/>
      <c r="DC28" s="40"/>
      <c r="DD28" s="40"/>
      <c r="DE28" s="40">
        <v>21</v>
      </c>
      <c r="DF28" s="40" t="str">
        <f>'Steel Table'!C26</f>
        <v>WF-300x200x8x12 mm.</v>
      </c>
      <c r="DG28" s="40"/>
      <c r="DH28" s="40"/>
      <c r="DI28" s="40" t="str">
        <f>'Steel Table'!BC26</f>
        <v>Tube-100x100x3.2 mm.</v>
      </c>
      <c r="DJ28" s="40" t="str">
        <f>'Steel Table'!BO26</f>
        <v>Tube-150x50x3.2 mm.</v>
      </c>
      <c r="DK28" s="40" t="str">
        <f>'Steel Table'!CD26</f>
        <v>Pipe-D114.3x3.2 mm.</v>
      </c>
      <c r="DL28" s="40" t="str">
        <f>'Steel Table'!CO26</f>
        <v>[-120x60x25x3.2 mm.</v>
      </c>
      <c r="DM28" s="40"/>
      <c r="DN28" s="40" t="str">
        <f>'Steel Table'!DG26</f>
        <v>2[]-120x60x25x3.2 mm.</v>
      </c>
      <c r="DO28" s="40"/>
      <c r="DP28" s="40"/>
      <c r="DQ28" s="40"/>
      <c r="DR28" s="40"/>
      <c r="DS28" s="40"/>
      <c r="DT28" s="40"/>
      <c r="DU28" s="40"/>
      <c r="DV28" s="40"/>
      <c r="DW28" s="40"/>
      <c r="DX28" s="40"/>
    </row>
    <row r="29" spans="1:128" s="35" customFormat="1" ht="15.75" customHeight="1">
      <c r="A29" s="52"/>
      <c r="B29" s="57" t="str">
        <f>"หาโมเมนต์ที่กระทำกับ"&amp;CI33&amp;"เหล็ก"</f>
        <v>หาโมเมนต์ที่กระทำกับอะเสเหล็ก</v>
      </c>
      <c r="T29" s="40"/>
      <c r="U29" s="40"/>
      <c r="V29" s="341" t="str">
        <f>IF(N25="","P2",IF(N25&lt;&gt;"","P2 = "&amp;ROUND(N25,2)&amp;" kg."))</f>
        <v>P2</v>
      </c>
      <c r="X29" s="40"/>
      <c r="Y29" s="40"/>
      <c r="Z29" s="40"/>
      <c r="AB29" s="99"/>
      <c r="AC29" s="152"/>
      <c r="AD29" s="152"/>
      <c r="AE29" s="152"/>
      <c r="AF29" s="152"/>
      <c r="AG29" s="152"/>
      <c r="AH29" s="152"/>
      <c r="AI29" s="152"/>
      <c r="AJ29" s="152"/>
      <c r="AK29" s="153"/>
      <c r="AL29" s="153"/>
      <c r="AM29" s="153"/>
      <c r="AN29" s="153"/>
      <c r="AO29" s="40"/>
      <c r="AP29" s="40"/>
      <c r="AQ29" s="40"/>
      <c r="AR29" s="40"/>
      <c r="BY29" s="40"/>
      <c r="BZ29" s="40"/>
      <c r="CA29" s="40"/>
      <c r="CB29" s="40"/>
      <c r="CC29" s="40"/>
      <c r="CD29" s="40"/>
      <c r="CE29" s="40">
        <f>VLOOKUP(N14,CE30:CF32,2,FALSE)</f>
        <v>1</v>
      </c>
      <c r="CF29" s="39"/>
      <c r="CG29" s="39"/>
      <c r="CH29" s="40"/>
      <c r="CI29" s="40">
        <f>VLOOKUP(AC10,CI30:CJ32,2,FALSE)</f>
        <v>3</v>
      </c>
      <c r="CJ29" s="40"/>
      <c r="CK29" s="40"/>
      <c r="CL29" s="39" t="s">
        <v>503</v>
      </c>
      <c r="CM29" s="40" t="s">
        <v>504</v>
      </c>
      <c r="CN29" s="40" t="s">
        <v>531</v>
      </c>
      <c r="CO29" s="40"/>
      <c r="CP29" s="40"/>
      <c r="CQ29" s="40"/>
      <c r="CR29" s="40"/>
      <c r="CS29" s="40"/>
      <c r="CT29" s="52">
        <v>11</v>
      </c>
      <c r="CU29" s="52" t="str">
        <f>VLOOKUP(11,$DE$8:$DN$78,CV$8,TRUE)</f>
        <v>2[]-90x45x20x3.2 mm.</v>
      </c>
      <c r="CV29" s="40"/>
      <c r="CW29" s="40"/>
      <c r="CX29" s="40"/>
      <c r="CY29" s="40"/>
      <c r="CZ29" s="40"/>
      <c r="DA29" s="40"/>
      <c r="DB29" s="40"/>
      <c r="DC29" s="40"/>
      <c r="DD29" s="40"/>
      <c r="DE29" s="40">
        <v>22</v>
      </c>
      <c r="DF29" s="40" t="str">
        <f>'Steel Table'!C27</f>
        <v>WF-300x200x9x14 mm.</v>
      </c>
      <c r="DG29" s="40"/>
      <c r="DH29" s="40"/>
      <c r="DI29" s="40" t="str">
        <f>'Steel Table'!BC27</f>
        <v>Tube-100x100x4 mm.</v>
      </c>
      <c r="DJ29" s="40" t="str">
        <f>'Steel Table'!BO27</f>
        <v>Tube-150x50x4.5 mm.</v>
      </c>
      <c r="DK29" s="40" t="str">
        <f>'Steel Table'!CD27</f>
        <v>Pipe-D114.3x3.5 mm.</v>
      </c>
      <c r="DL29" s="40" t="str">
        <f>'Steel Table'!CO27</f>
        <v>[-120x60x25x4.5 mm.</v>
      </c>
      <c r="DM29" s="40"/>
      <c r="DN29" s="40" t="str">
        <f>'Steel Table'!DG27</f>
        <v>2[]-120x60x25x4.5 mm.</v>
      </c>
      <c r="DO29" s="40"/>
      <c r="DP29" s="40"/>
      <c r="DQ29" s="40"/>
      <c r="DR29" s="40"/>
      <c r="DS29" s="40"/>
      <c r="DT29" s="40"/>
      <c r="DU29" s="40"/>
      <c r="DV29" s="40"/>
      <c r="DW29" s="40"/>
      <c r="DX29" s="40"/>
    </row>
    <row r="30" spans="1:128" s="35" customFormat="1" ht="15.75" customHeight="1">
      <c r="A30" s="40"/>
      <c r="B30" s="31" t="s">
        <v>509</v>
      </c>
      <c r="M30" s="36" t="s">
        <v>0</v>
      </c>
      <c r="N30" s="423">
        <f>CE15</f>
        <v>308.1181156875</v>
      </c>
      <c r="O30" s="423"/>
      <c r="P30" s="423"/>
      <c r="S30" s="40"/>
      <c r="T30" s="440" t="s">
        <v>510</v>
      </c>
      <c r="U30" s="440"/>
      <c r="V30" s="440"/>
      <c r="W30" s="440"/>
      <c r="X30" s="440"/>
      <c r="Y30" s="440"/>
      <c r="Z30" s="440"/>
      <c r="AA30" s="137" t="s">
        <v>514</v>
      </c>
      <c r="AB30" s="99"/>
      <c r="AC30" s="152"/>
      <c r="AD30" s="152"/>
      <c r="AE30" s="152"/>
      <c r="AF30" s="152"/>
      <c r="AG30" s="152"/>
      <c r="AH30" s="152"/>
      <c r="AI30" s="152"/>
      <c r="AJ30" s="152"/>
      <c r="AK30" s="153"/>
      <c r="AL30" s="153"/>
      <c r="AM30" s="153"/>
      <c r="AN30" s="153"/>
      <c r="AO30" s="40"/>
      <c r="AP30" s="40"/>
      <c r="AQ30" s="40"/>
      <c r="AR30" s="40"/>
      <c r="BY30" s="117"/>
      <c r="BZ30" s="40"/>
      <c r="CA30" s="40"/>
      <c r="CB30" s="40"/>
      <c r="CC30" s="40"/>
      <c r="CD30" s="40"/>
      <c r="CE30" s="40" t="s">
        <v>357</v>
      </c>
      <c r="CF30" s="39">
        <v>1</v>
      </c>
      <c r="CG30" s="39"/>
      <c r="CH30" s="40"/>
      <c r="CI30" s="40" t="s">
        <v>505</v>
      </c>
      <c r="CJ30" s="40">
        <v>1</v>
      </c>
      <c r="CK30" s="40"/>
      <c r="CL30" s="39">
        <f>IF(N32&lt;H36,1,IF(N32&gt;H36,2))</f>
        <v>1</v>
      </c>
      <c r="CM30" s="40">
        <f>IF(N45&gt;N44,1,IF(N45&lt;N44,2))</f>
        <v>1</v>
      </c>
      <c r="CN30" s="40">
        <f>IF(N40&lt;N39,1,IF(N40&gt;N39,2))</f>
        <v>1</v>
      </c>
      <c r="CO30" s="40"/>
      <c r="CP30" s="40"/>
      <c r="CQ30" s="40"/>
      <c r="CR30" s="40"/>
      <c r="CS30" s="40"/>
      <c r="CT30" s="52">
        <v>12</v>
      </c>
      <c r="CU30" s="52" t="str">
        <f>VLOOKUP(12,$DE$8:$DN$78,CV$8,TRUE)</f>
        <v>2[]-100x50x20x1.6 mm.</v>
      </c>
      <c r="CV30" s="52"/>
      <c r="CW30" s="52"/>
      <c r="CX30" s="52"/>
      <c r="CY30" s="52"/>
      <c r="CZ30" s="40"/>
      <c r="DA30" s="40"/>
      <c r="DB30" s="40"/>
      <c r="DC30" s="40"/>
      <c r="DD30" s="40"/>
      <c r="DE30" s="40">
        <v>23</v>
      </c>
      <c r="DF30" s="40" t="str">
        <f>'Steel Table'!C28</f>
        <v>WF-300X300x12x12 mm.</v>
      </c>
      <c r="DG30" s="40"/>
      <c r="DH30" s="40"/>
      <c r="DI30" s="40" t="str">
        <f>'Steel Table'!BC28</f>
        <v>Tube-100x100x4.5 mm.</v>
      </c>
      <c r="DJ30" s="40" t="str">
        <f>'Steel Table'!BO28</f>
        <v>Tube-150x50x6.3 mm.</v>
      </c>
      <c r="DK30" s="40" t="str">
        <f>'Steel Table'!CD28</f>
        <v>Pipe-D114.3x4.5 mm.</v>
      </c>
      <c r="DL30" s="40" t="str">
        <f>'Steel Table'!CO28</f>
        <v>[-125x50x20x2.3 mm.</v>
      </c>
      <c r="DM30" s="40"/>
      <c r="DN30" s="40" t="str">
        <f>'Steel Table'!DG28</f>
        <v>2[]-125x50x20x2.3 mm.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0"/>
    </row>
    <row r="31" spans="1:128" s="35" customFormat="1" ht="15.75" customHeight="1">
      <c r="A31" s="40"/>
      <c r="B31" s="31" t="s">
        <v>528</v>
      </c>
      <c r="M31" s="36" t="s">
        <v>0</v>
      </c>
      <c r="N31" s="442">
        <f>CF16</f>
        <v>388.792575</v>
      </c>
      <c r="O31" s="426"/>
      <c r="P31" s="426"/>
      <c r="Q31" s="114"/>
      <c r="R31" s="52"/>
      <c r="S31" s="40"/>
      <c r="T31" s="40"/>
      <c r="U31" s="40"/>
      <c r="V31" s="40"/>
      <c r="W31" s="40"/>
      <c r="X31" s="40"/>
      <c r="Y31" s="40"/>
      <c r="Z31" s="40"/>
      <c r="AA31" s="40"/>
      <c r="AB31" s="99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40"/>
      <c r="AP31" s="40"/>
      <c r="AQ31" s="40"/>
      <c r="AR31" s="40"/>
      <c r="BY31" s="40"/>
      <c r="BZ31" s="40"/>
      <c r="CA31" s="40"/>
      <c r="CB31" s="101"/>
      <c r="CC31" s="40"/>
      <c r="CD31" s="40"/>
      <c r="CE31" s="40" t="s">
        <v>508</v>
      </c>
      <c r="CF31" s="39">
        <v>2</v>
      </c>
      <c r="CG31" s="39"/>
      <c r="CH31" s="63"/>
      <c r="CI31" s="63" t="s">
        <v>506</v>
      </c>
      <c r="CJ31" s="40">
        <v>2</v>
      </c>
      <c r="CK31" s="40"/>
      <c r="CL31" s="39">
        <f>IF(AND(CL30=1,CM30=1,CN30=1),1,IF(OR(CL30=2,CM30=2,CN30=2),2,2))</f>
        <v>1</v>
      </c>
      <c r="CM31" s="40" t="str">
        <f>IF(CL31=1,CL33,IF(CL31=2,CL34))</f>
        <v>สามารถรองรับน้ำหนักบรรทุกได้อย่างปลอดภัย</v>
      </c>
      <c r="CN31" s="40"/>
      <c r="CO31" s="40"/>
      <c r="CP31" s="40"/>
      <c r="CQ31" s="40"/>
      <c r="CR31" s="40"/>
      <c r="CS31" s="40"/>
      <c r="CT31" s="52">
        <v>13</v>
      </c>
      <c r="CU31" s="52" t="str">
        <f>VLOOKUP(13,$DE$8:$DN$78,CV$8,TRUE)</f>
        <v>2[]-100x50x20x2 mm.</v>
      </c>
      <c r="CV31" s="52"/>
      <c r="CW31" s="40"/>
      <c r="CX31" s="40"/>
      <c r="CY31" s="40"/>
      <c r="CZ31" s="40"/>
      <c r="DA31" s="40"/>
      <c r="DB31" s="40"/>
      <c r="DC31" s="40"/>
      <c r="DD31" s="40"/>
      <c r="DE31" s="40">
        <v>24</v>
      </c>
      <c r="DF31" s="40" t="str">
        <f>'Steel Table'!C29</f>
        <v>WF-300X300x9x14 mm.</v>
      </c>
      <c r="DG31" s="40"/>
      <c r="DH31" s="40"/>
      <c r="DI31" s="40" t="str">
        <f>'Steel Table'!BC29</f>
        <v>Tube-100x100x6 mm.</v>
      </c>
      <c r="DJ31" s="40" t="str">
        <f>'Steel Table'!BO29</f>
        <v>Tube-200x100x4.5 mm.</v>
      </c>
      <c r="DK31" s="40" t="str">
        <f>'Steel Table'!CD29</f>
        <v>Pipe-D139.8x3.6 mm.</v>
      </c>
      <c r="DL31" s="40" t="str">
        <f>'Steel Table'!CO29</f>
        <v>[-125x50x20x3.2 mm.</v>
      </c>
      <c r="DM31" s="40"/>
      <c r="DN31" s="40" t="str">
        <f>'Steel Table'!DG29</f>
        <v>2[]-125x50x20x3.2 mm.</v>
      </c>
      <c r="DO31" s="40"/>
      <c r="DP31" s="40"/>
      <c r="DQ31" s="40"/>
      <c r="DR31" s="40"/>
      <c r="DS31" s="40"/>
      <c r="DT31" s="40"/>
      <c r="DU31" s="40"/>
      <c r="DV31" s="40"/>
      <c r="DW31" s="40"/>
      <c r="DX31" s="40"/>
    </row>
    <row r="32" spans="1:128" s="35" customFormat="1" ht="15.75" customHeight="1">
      <c r="A32" s="40"/>
      <c r="B32" s="31" t="str">
        <f>BU18</f>
        <v>ค่าโมดูลัสหน้าตัดที่ต้องการได้ S=Mmax/Fb , cm.³</v>
      </c>
      <c r="M32" s="36" t="s">
        <v>0</v>
      </c>
      <c r="N32" s="441">
        <f>(N30*100)/Fb</f>
        <v>21.3970913671875</v>
      </c>
      <c r="O32" s="441"/>
      <c r="P32" s="441"/>
      <c r="Q32" s="114"/>
      <c r="R32" s="52"/>
      <c r="S32" s="70"/>
      <c r="T32" s="70"/>
      <c r="U32" s="71" t="str">
        <f>IF(N25="","a2",IF(N25&lt;&gt;"","a2 = "&amp;ROUND(N25,2)&amp;" m."))</f>
        <v>a2</v>
      </c>
      <c r="V32" s="70"/>
      <c r="W32" s="418" t="str">
        <f>IF(N25="","b2",IF(N25&lt;&gt;"","b2 = "&amp;ROUND(CI19,2)&amp;" m."))</f>
        <v>b2</v>
      </c>
      <c r="X32" s="418"/>
      <c r="Y32" s="418"/>
      <c r="Z32" s="418"/>
      <c r="AA32" s="80"/>
      <c r="AB32" s="99"/>
      <c r="AC32" s="405" t="s">
        <v>113</v>
      </c>
      <c r="AD32" s="406"/>
      <c r="AE32" s="406"/>
      <c r="AF32" s="406"/>
      <c r="AG32" s="406"/>
      <c r="AH32" s="407"/>
      <c r="AI32" s="153"/>
      <c r="AJ32" s="153"/>
      <c r="AK32" s="153"/>
      <c r="AL32" s="153"/>
      <c r="AM32" s="153"/>
      <c r="AN32" s="153"/>
      <c r="AO32" s="40"/>
      <c r="AP32" s="40"/>
      <c r="AQ32" s="40"/>
      <c r="AR32" s="40"/>
      <c r="BY32" s="40"/>
      <c r="BZ32" s="40"/>
      <c r="CA32" s="40"/>
      <c r="CB32" s="40"/>
      <c r="CC32" s="40"/>
      <c r="CD32" s="40"/>
      <c r="CE32" s="40" t="s">
        <v>358</v>
      </c>
      <c r="CF32" s="39">
        <v>3</v>
      </c>
      <c r="CG32" s="39"/>
      <c r="CH32" s="63"/>
      <c r="CI32" s="63" t="s">
        <v>507</v>
      </c>
      <c r="CJ32" s="161">
        <v>3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52">
        <v>14</v>
      </c>
      <c r="CU32" s="52" t="str">
        <f>VLOOKUP(14,$DE$8:$DN$78,CV$8,TRUE)</f>
        <v>2[]-100x50x20x2.3 mm.</v>
      </c>
      <c r="CV32" s="52"/>
      <c r="CW32" s="40"/>
      <c r="CX32" s="40"/>
      <c r="CY32" s="40"/>
      <c r="CZ32" s="40"/>
      <c r="DA32" s="40"/>
      <c r="DB32" s="40"/>
      <c r="DC32" s="40"/>
      <c r="DD32" s="40"/>
      <c r="DE32" s="40">
        <v>25</v>
      </c>
      <c r="DF32" s="40" t="str">
        <f>'Steel Table'!C30</f>
        <v>WF-300X300x10x15 mm.</v>
      </c>
      <c r="DG32" s="40"/>
      <c r="DH32" s="40"/>
      <c r="DI32" s="40" t="str">
        <f>'Steel Table'!BC30</f>
        <v>Tube-125x125x3.2 mm.</v>
      </c>
      <c r="DJ32" s="40" t="str">
        <f>'Steel Table'!BO30</f>
        <v>Tube-200x100x6 mm.</v>
      </c>
      <c r="DK32" s="40" t="str">
        <f>'Steel Table'!CD30</f>
        <v>Pipe-D139.8x4 mm.</v>
      </c>
      <c r="DL32" s="40" t="str">
        <f>'Steel Table'!CO30</f>
        <v>[-125x50x20x4 mm.</v>
      </c>
      <c r="DM32" s="40"/>
      <c r="DN32" s="40" t="str">
        <f>'Steel Table'!DG30</f>
        <v>2[]-125x50x20x4 mm.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</row>
    <row r="33" spans="1:128" s="35" customFormat="1" ht="15.75" customHeight="1">
      <c r="A33" s="40"/>
      <c r="S33" s="40"/>
      <c r="U33" s="40"/>
      <c r="V33" s="40"/>
      <c r="W33" s="40"/>
      <c r="X33" s="40"/>
      <c r="Y33" s="40"/>
      <c r="Z33" s="40"/>
      <c r="AB33" s="99"/>
      <c r="AC33" s="397" t="s">
        <v>310</v>
      </c>
      <c r="AD33" s="398"/>
      <c r="AE33" s="398"/>
      <c r="AF33" s="398"/>
      <c r="AG33" s="399"/>
      <c r="AH33" s="397" t="s">
        <v>318</v>
      </c>
      <c r="AI33" s="398"/>
      <c r="AJ33" s="399"/>
      <c r="AK33" s="153"/>
      <c r="AL33" s="153"/>
      <c r="AM33" s="153"/>
      <c r="AN33" s="153"/>
      <c r="AO33" s="40"/>
      <c r="AP33" s="40"/>
      <c r="AQ33" s="40"/>
      <c r="AR33" s="40"/>
      <c r="BY33" s="40"/>
      <c r="BZ33" s="40"/>
      <c r="CA33" s="40"/>
      <c r="CB33" s="40"/>
      <c r="CC33" s="40"/>
      <c r="CD33" s="40"/>
      <c r="CE33" s="40"/>
      <c r="CF33" s="39"/>
      <c r="CG33" s="39"/>
      <c r="CH33" s="63"/>
      <c r="CI33" s="63" t="str">
        <f>IF(CI29=1,CI30,IF(CI29=2,CI31,IF(CI29=3,CI32)))</f>
        <v>อะเส</v>
      </c>
      <c r="CJ33" s="40"/>
      <c r="CK33" s="40"/>
      <c r="CL33" s="40" t="s">
        <v>501</v>
      </c>
      <c r="CM33" s="40"/>
      <c r="CN33" s="40"/>
      <c r="CO33" s="40"/>
      <c r="CP33" s="40"/>
      <c r="CQ33" s="40"/>
      <c r="CR33" s="40"/>
      <c r="CS33" s="40"/>
      <c r="CT33" s="52">
        <v>15</v>
      </c>
      <c r="CU33" s="52" t="str">
        <f>VLOOKUP(15,$DE$8:$DN$78,CV$8,TRUE)</f>
        <v>2[]-100x50x20x2.8 mm.</v>
      </c>
      <c r="CV33" s="52"/>
      <c r="CW33" s="40"/>
      <c r="CX33" s="40"/>
      <c r="CY33" s="40"/>
      <c r="CZ33" s="40"/>
      <c r="DA33" s="40"/>
      <c r="DB33" s="40"/>
      <c r="DC33" s="40"/>
      <c r="DD33" s="40"/>
      <c r="DE33" s="40">
        <v>26</v>
      </c>
      <c r="DF33" s="40" t="str">
        <f>'Steel Table'!C31</f>
        <v>WF-300X300x15x15 mm.</v>
      </c>
      <c r="DG33" s="40"/>
      <c r="DH33" s="40"/>
      <c r="DI33" s="40" t="str">
        <f>'Steel Table'!BC31</f>
        <v>Tube-125x125x4.5 mm.</v>
      </c>
      <c r="DJ33" s="40" t="str">
        <f>'Steel Table'!BO31</f>
        <v>Tube-200x100x6.3 mm.</v>
      </c>
      <c r="DK33" s="40" t="str">
        <f>'Steel Table'!CD31</f>
        <v>Pipe-D139.8x4.5 mm.</v>
      </c>
      <c r="DL33" s="40" t="str">
        <f>'Steel Table'!CO31</f>
        <v>[-125x50x20x4.5 mm.</v>
      </c>
      <c r="DM33" s="40"/>
      <c r="DN33" s="40" t="str">
        <f>'Steel Table'!DG31</f>
        <v>2[]-125x50x20x4.5 mm.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</row>
    <row r="34" spans="1:128" s="35" customFormat="1" ht="15.75" customHeight="1">
      <c r="A34" s="40"/>
      <c r="B34" s="105" t="s">
        <v>500</v>
      </c>
      <c r="F34" s="401" t="str">
        <f>CW19</f>
        <v>2[]-125x50x20x2.3 mm.</v>
      </c>
      <c r="G34" s="401"/>
      <c r="H34" s="401"/>
      <c r="I34" s="401"/>
      <c r="J34" s="401"/>
      <c r="K34" s="401"/>
      <c r="L34" s="319" t="str">
        <f>IF(CU8=3,CU12,IF(CU8=7,CU16,""))</f>
        <v>Light Lip Channels</v>
      </c>
      <c r="T34" s="40"/>
      <c r="U34" s="40"/>
      <c r="V34" s="341" t="str">
        <f>IF(N27="","P3",IF(N27&lt;&gt;"","P3 = "&amp;ROUND(N27,2)&amp;" kg."))</f>
        <v>P3</v>
      </c>
      <c r="X34" s="40"/>
      <c r="Y34" s="40"/>
      <c r="Z34" s="40"/>
      <c r="AB34" s="99"/>
      <c r="AC34" s="153"/>
      <c r="AD34" s="153"/>
      <c r="AE34" s="153"/>
      <c r="AF34" s="153"/>
      <c r="AG34" s="153"/>
      <c r="AH34" s="153"/>
      <c r="AI34" s="153"/>
      <c r="AJ34" s="153"/>
      <c r="AK34" s="156"/>
      <c r="AL34" s="156"/>
      <c r="AM34" s="156"/>
      <c r="AN34" s="156"/>
      <c r="AO34" s="123"/>
      <c r="AP34" s="123"/>
      <c r="AQ34" s="40"/>
      <c r="AR34" s="40"/>
      <c r="BY34" s="40"/>
      <c r="BZ34" s="40"/>
      <c r="CA34" s="40"/>
      <c r="CB34" s="40"/>
      <c r="CC34" s="40"/>
      <c r="CD34" s="40"/>
      <c r="CE34" s="40"/>
      <c r="CF34" s="39"/>
      <c r="CG34" s="39"/>
      <c r="CH34" s="101"/>
      <c r="CI34" s="40" t="s">
        <v>498</v>
      </c>
      <c r="CJ34" s="40"/>
      <c r="CK34" s="40"/>
      <c r="CL34" s="40" t="s">
        <v>502</v>
      </c>
      <c r="CM34" s="40"/>
      <c r="CN34" s="40"/>
      <c r="CO34" s="40"/>
      <c r="CP34" s="40"/>
      <c r="CQ34" s="40"/>
      <c r="CR34" s="40"/>
      <c r="CS34" s="40"/>
      <c r="CT34" s="52">
        <v>16</v>
      </c>
      <c r="CU34" s="52" t="str">
        <f>VLOOKUP(16,$DE$8:$DN$78,CV$8,TRUE)</f>
        <v>2[]-100x50x20x3.2 mm.</v>
      </c>
      <c r="CV34" s="52"/>
      <c r="CW34" s="40"/>
      <c r="CX34" s="40"/>
      <c r="CY34" s="40"/>
      <c r="CZ34" s="40"/>
      <c r="DA34" s="40"/>
      <c r="DB34" s="40"/>
      <c r="DC34" s="40"/>
      <c r="DD34" s="40"/>
      <c r="DE34" s="40">
        <v>27</v>
      </c>
      <c r="DF34" s="40" t="str">
        <f>'Steel Table'!C32</f>
        <v>WF-300X300x11x17 mm.</v>
      </c>
      <c r="DG34" s="40"/>
      <c r="DH34" s="40"/>
      <c r="DI34" s="40" t="str">
        <f>'Steel Table'!BC32</f>
        <v>Tube-125x125x5 mm.</v>
      </c>
      <c r="DJ34" s="40"/>
      <c r="DK34" s="40" t="str">
        <f>'Steel Table'!CD32</f>
        <v>Pipe-D139.8x6 mm.</v>
      </c>
      <c r="DL34" s="40" t="str">
        <f>'Steel Table'!CO32</f>
        <v>[-150x50x20x2.3 mm.</v>
      </c>
      <c r="DM34" s="40"/>
      <c r="DN34" s="40" t="str">
        <f>'Steel Table'!DG32</f>
        <v>2[]-150x50x20x2.3 mm.</v>
      </c>
      <c r="DO34" s="40"/>
      <c r="DP34" s="40"/>
      <c r="DQ34" s="40"/>
      <c r="DR34" s="40"/>
      <c r="DS34" s="40"/>
      <c r="DT34" s="40"/>
      <c r="DU34" s="40"/>
      <c r="DV34" s="40"/>
      <c r="DW34" s="40"/>
      <c r="DX34" s="40"/>
    </row>
    <row r="35" spans="1:128" s="35" customFormat="1" ht="15.75" customHeight="1">
      <c r="A35" s="40"/>
      <c r="C35" s="52"/>
      <c r="D35" s="52"/>
      <c r="E35" s="52"/>
      <c r="F35" s="39" t="s">
        <v>87</v>
      </c>
      <c r="G35" s="50" t="s">
        <v>0</v>
      </c>
      <c r="H35" s="369">
        <f>CR10</f>
        <v>274</v>
      </c>
      <c r="I35" s="369"/>
      <c r="J35" s="369"/>
      <c r="K35" s="52" t="s">
        <v>267</v>
      </c>
      <c r="L35" s="39" t="s">
        <v>88</v>
      </c>
      <c r="M35" s="39" t="s">
        <v>0</v>
      </c>
      <c r="N35" s="369">
        <f>CR11</f>
        <v>41.2</v>
      </c>
      <c r="O35" s="369"/>
      <c r="P35" s="409" t="s">
        <v>267</v>
      </c>
      <c r="Q35" s="409"/>
      <c r="S35" s="52"/>
      <c r="T35" s="440" t="s">
        <v>510</v>
      </c>
      <c r="U35" s="440"/>
      <c r="V35" s="440"/>
      <c r="W35" s="440"/>
      <c r="X35" s="440"/>
      <c r="Y35" s="440"/>
      <c r="Z35" s="440"/>
      <c r="AA35" s="137" t="s">
        <v>515</v>
      </c>
      <c r="AB35" s="99"/>
      <c r="AC35" s="397" t="s">
        <v>463</v>
      </c>
      <c r="AD35" s="398"/>
      <c r="AE35" s="398"/>
      <c r="AF35" s="398"/>
      <c r="AG35" s="399"/>
      <c r="AH35" s="152"/>
      <c r="AI35" s="153"/>
      <c r="AJ35" s="153"/>
      <c r="AK35" s="155"/>
      <c r="AL35" s="155"/>
      <c r="AM35" s="155"/>
      <c r="AN35" s="155"/>
      <c r="AO35" s="52"/>
      <c r="AP35" s="52"/>
      <c r="AQ35" s="40"/>
      <c r="AR35" s="40"/>
      <c r="BY35" s="40"/>
      <c r="BZ35" s="40"/>
      <c r="CA35" s="40"/>
      <c r="CB35" s="40"/>
      <c r="CC35" s="40"/>
      <c r="CD35" s="40"/>
      <c r="CE35" s="40"/>
      <c r="CF35" s="39"/>
      <c r="CG35" s="39"/>
      <c r="CH35" s="40"/>
      <c r="CI35" s="40" t="s">
        <v>499</v>
      </c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52">
        <v>17</v>
      </c>
      <c r="CU35" s="52" t="str">
        <f>VLOOKUP(17,$DE$8:$DN$78,CV$8,TRUE)</f>
        <v>2[]-100x50x20x4 mm.</v>
      </c>
      <c r="CV35" s="52"/>
      <c r="CW35" s="40"/>
      <c r="CX35" s="40"/>
      <c r="CY35" s="40"/>
      <c r="CZ35" s="40"/>
      <c r="DA35" s="40"/>
      <c r="DB35" s="40"/>
      <c r="DC35" s="40"/>
      <c r="DD35" s="40"/>
      <c r="DE35" s="40">
        <v>28</v>
      </c>
      <c r="DF35" s="40" t="str">
        <f>'Steel Table'!C33</f>
        <v>WF-350X175x6x9 mm.</v>
      </c>
      <c r="DG35" s="40"/>
      <c r="DH35" s="40"/>
      <c r="DI35" s="40" t="str">
        <f>'Steel Table'!BC33</f>
        <v>Tube-125x125x6 mm.</v>
      </c>
      <c r="DJ35" s="40"/>
      <c r="DK35" s="40" t="str">
        <f>'Steel Table'!CD33</f>
        <v>Pipe-D165.2x4.5 mm.</v>
      </c>
      <c r="DL35" s="40" t="str">
        <f>'Steel Table'!CO33</f>
        <v>[-150x50x20x3.2 mm.</v>
      </c>
      <c r="DM35" s="40"/>
      <c r="DN35" s="40" t="str">
        <f>'Steel Table'!DG33</f>
        <v>2[]-150x50x20x3.2 mm.</v>
      </c>
      <c r="DO35" s="40"/>
      <c r="DP35" s="40"/>
      <c r="DQ35" s="40"/>
      <c r="DR35" s="40"/>
      <c r="DS35" s="40"/>
      <c r="DT35" s="40"/>
      <c r="DU35" s="40"/>
      <c r="DV35" s="40"/>
      <c r="DW35" s="40"/>
      <c r="DX35" s="40"/>
    </row>
    <row r="36" spans="1:128" s="35" customFormat="1" ht="15.75" customHeight="1">
      <c r="A36" s="40"/>
      <c r="B36" s="342"/>
      <c r="C36" s="342"/>
      <c r="D36" s="342"/>
      <c r="E36" s="39"/>
      <c r="F36" s="36" t="s">
        <v>89</v>
      </c>
      <c r="G36" s="36" t="s">
        <v>0</v>
      </c>
      <c r="H36" s="437">
        <f>CR12</f>
        <v>43.8</v>
      </c>
      <c r="I36" s="437"/>
      <c r="J36" s="437"/>
      <c r="K36" s="114" t="s">
        <v>93</v>
      </c>
      <c r="L36" s="36" t="s">
        <v>90</v>
      </c>
      <c r="M36" s="36" t="s">
        <v>0</v>
      </c>
      <c r="N36" s="437">
        <f>CR13</f>
        <v>12.44</v>
      </c>
      <c r="O36" s="437"/>
      <c r="P36" s="400" t="s">
        <v>93</v>
      </c>
      <c r="Q36" s="400"/>
      <c r="S36" s="40"/>
      <c r="T36" s="40"/>
      <c r="U36" s="40"/>
      <c r="V36" s="40"/>
      <c r="W36" s="40"/>
      <c r="X36" s="40"/>
      <c r="Y36" s="40"/>
      <c r="Z36" s="40"/>
      <c r="AA36" s="40"/>
      <c r="AB36" s="99"/>
      <c r="AC36" s="152"/>
      <c r="AD36" s="152"/>
      <c r="AE36" s="152"/>
      <c r="AF36" s="152"/>
      <c r="AG36" s="152"/>
      <c r="AH36" s="152"/>
      <c r="AI36" s="152"/>
      <c r="AJ36" s="152"/>
      <c r="AK36" s="153"/>
      <c r="AL36" s="153"/>
      <c r="AM36" s="153"/>
      <c r="AN36" s="153"/>
      <c r="AO36" s="40"/>
      <c r="AP36" s="40"/>
      <c r="AQ36" s="40"/>
      <c r="AR36" s="40"/>
      <c r="BY36" s="40"/>
      <c r="BZ36" s="40"/>
      <c r="CA36" s="40"/>
      <c r="CB36" s="40"/>
      <c r="CC36" s="40"/>
      <c r="CD36" s="40"/>
      <c r="CE36" s="40"/>
      <c r="CF36" s="39"/>
      <c r="CG36" s="39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52">
        <v>18</v>
      </c>
      <c r="CU36" s="52" t="str">
        <f>VLOOKUP(18,$DE$8:$DN$78,CV$8,TRUE)</f>
        <v>2[]-100x50x20x4.5 mm.</v>
      </c>
      <c r="CV36" s="52"/>
      <c r="CW36" s="40"/>
      <c r="CX36" s="40"/>
      <c r="CY36" s="40"/>
      <c r="CZ36" s="40"/>
      <c r="DA36" s="40"/>
      <c r="DB36" s="40"/>
      <c r="DC36" s="40"/>
      <c r="DD36" s="40"/>
      <c r="DE36" s="40">
        <v>29</v>
      </c>
      <c r="DF36" s="40" t="str">
        <f>'Steel Table'!C34</f>
        <v>WF-350X175x7x11 mm.</v>
      </c>
      <c r="DG36" s="40"/>
      <c r="DH36" s="40"/>
      <c r="DI36" s="40" t="str">
        <f>'Steel Table'!BC34</f>
        <v>Tube-150x150x4.5 mm.</v>
      </c>
      <c r="DJ36" s="40"/>
      <c r="DK36" s="40" t="str">
        <f>'Steel Table'!CD34</f>
        <v>Pipe-D165.2x5 mm.</v>
      </c>
      <c r="DL36" s="40" t="str">
        <f>'Steel Table'!CO34</f>
        <v>[-150x50x20x4.5 mm.</v>
      </c>
      <c r="DM36" s="40"/>
      <c r="DN36" s="40" t="str">
        <f>'Steel Table'!DG34</f>
        <v>2[]-150x50x20x4.5 mm.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</row>
    <row r="37" spans="1:128" s="35" customFormat="1" ht="15.75" customHeight="1">
      <c r="A37" s="40"/>
      <c r="B37" s="342"/>
      <c r="C37" s="342"/>
      <c r="D37" s="342"/>
      <c r="E37" s="36"/>
      <c r="F37" s="343"/>
      <c r="G37" s="343"/>
      <c r="H37" s="343"/>
      <c r="I37" s="114"/>
      <c r="J37" s="114"/>
      <c r="S37" s="70"/>
      <c r="T37" s="70"/>
      <c r="U37" s="71" t="str">
        <f>IF(N27="","a3",IF(N27&lt;&gt;"","a3 = "&amp;ROUND(N27,2)&amp;" m."))</f>
        <v>a3</v>
      </c>
      <c r="V37" s="70"/>
      <c r="W37" s="418" t="str">
        <f>IF(N27="","b3",IF(N27&lt;&gt;"","b3 = "&amp;ROUND(CI20,2)&amp;" m."))</f>
        <v>b3</v>
      </c>
      <c r="X37" s="418"/>
      <c r="Y37" s="418"/>
      <c r="Z37" s="418"/>
      <c r="AA37" s="80"/>
      <c r="AB37" s="99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40"/>
      <c r="AP37" s="40"/>
      <c r="AQ37" s="40"/>
      <c r="AR37" s="40"/>
      <c r="BY37" s="40"/>
      <c r="BZ37" s="40"/>
      <c r="CA37" s="40"/>
      <c r="CB37" s="40"/>
      <c r="CC37" s="40"/>
      <c r="CD37" s="40"/>
      <c r="CE37" s="40"/>
      <c r="CF37" s="39"/>
      <c r="CG37" s="39"/>
      <c r="CH37" s="40"/>
      <c r="CI37" s="40" t="str">
        <f>CI33&amp;"เหล็ก "&amp;CW19&amp;" @ "&amp;ROUND(E40,2)&amp;" m. "&amp;CM31</f>
        <v>อะเสเหล็ก 2[]-125x50x20x2.3 mm. @ 0 m. สามารถรองรับน้ำหนักบรรทุกได้อย่างปลอดภัย</v>
      </c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52">
        <v>19</v>
      </c>
      <c r="CU37" s="52" t="str">
        <f>VLOOKUP(19,$DE$8:$DN$78,CV$8,TRUE)</f>
        <v>2[]-120x40x20x3.2 mm.</v>
      </c>
      <c r="CV37" s="52"/>
      <c r="CW37" s="40"/>
      <c r="CX37" s="40"/>
      <c r="CY37" s="40"/>
      <c r="CZ37" s="40"/>
      <c r="DA37" s="40"/>
      <c r="DB37" s="40"/>
      <c r="DC37" s="40"/>
      <c r="DD37" s="40"/>
      <c r="DE37" s="40">
        <v>30</v>
      </c>
      <c r="DF37" s="40" t="str">
        <f>'Steel Table'!C35</f>
        <v>WF-350X175x8x13 mm.</v>
      </c>
      <c r="DG37" s="40"/>
      <c r="DH37" s="40"/>
      <c r="DI37" s="40" t="str">
        <f>'Steel Table'!BC35</f>
        <v>Tube-150x150x5 mm.</v>
      </c>
      <c r="DJ37" s="40"/>
      <c r="DK37" s="40" t="str">
        <f>'Steel Table'!CD35</f>
        <v>Pipe-D165.2x6 mm.</v>
      </c>
      <c r="DL37" s="40" t="str">
        <f>'Steel Table'!CO35</f>
        <v>[-150x65x20x2.3 mm.</v>
      </c>
      <c r="DM37" s="40"/>
      <c r="DN37" s="40" t="str">
        <f>'Steel Table'!DG35</f>
        <v>2[]-150x65x20x2.3 mm.</v>
      </c>
      <c r="DO37" s="40"/>
      <c r="DP37" s="40"/>
      <c r="DQ37" s="40"/>
      <c r="DR37" s="40"/>
      <c r="DS37" s="40"/>
      <c r="DT37" s="40"/>
      <c r="DU37" s="40"/>
      <c r="DV37" s="40"/>
      <c r="DW37" s="40"/>
      <c r="DX37" s="40"/>
    </row>
    <row r="38" spans="1:128" s="35" customFormat="1" ht="15.75" customHeight="1">
      <c r="A38" s="40"/>
      <c r="B38" s="57" t="s">
        <v>385</v>
      </c>
      <c r="J38" s="52"/>
      <c r="S38" s="40"/>
      <c r="U38" s="40"/>
      <c r="V38" s="40"/>
      <c r="W38" s="40"/>
      <c r="X38" s="40"/>
      <c r="Y38" s="40"/>
      <c r="Z38" s="40"/>
      <c r="AB38" s="99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40"/>
      <c r="AP38" s="40"/>
      <c r="AQ38" s="40"/>
      <c r="AR38" s="40"/>
      <c r="BY38" s="40"/>
      <c r="BZ38" s="40"/>
      <c r="CA38" s="40"/>
      <c r="CB38" s="40"/>
      <c r="CC38" s="40"/>
      <c r="CD38" s="40"/>
      <c r="CE38" s="101">
        <f>CB31-CB38</f>
        <v>0</v>
      </c>
      <c r="CF38" s="39"/>
      <c r="CG38" s="39"/>
      <c r="CH38" s="40"/>
      <c r="CI38" s="40" t="str">
        <f>CI33&amp;"เหล็ก "&amp;CW19&amp;" "&amp;CM31</f>
        <v>อะเสเหล็ก 2[]-125x50x20x2.3 mm. สามารถรองรับน้ำหนักบรรทุกได้อย่างปลอดภัย</v>
      </c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52">
        <v>20</v>
      </c>
      <c r="CU38" s="52" t="str">
        <f>VLOOKUP(20,$DE$8:$DN$78,CV$8,TRUE)</f>
        <v>2[]-120x60x25x2.3 mm.</v>
      </c>
      <c r="CV38" s="40"/>
      <c r="CW38" s="40"/>
      <c r="CX38" s="40"/>
      <c r="CY38" s="40"/>
      <c r="CZ38" s="40"/>
      <c r="DA38" s="40"/>
      <c r="DB38" s="40"/>
      <c r="DC38" s="40"/>
      <c r="DD38" s="40"/>
      <c r="DE38" s="40">
        <v>31</v>
      </c>
      <c r="DF38" s="40" t="str">
        <f>'Steel Table'!C36</f>
        <v>WF-350x250x8x12 mm.</v>
      </c>
      <c r="DG38" s="40"/>
      <c r="DH38" s="40"/>
      <c r="DI38" s="40" t="str">
        <f>'Steel Table'!BC36</f>
        <v>Tube-150x150x6 mm.</v>
      </c>
      <c r="DJ38" s="40"/>
      <c r="DK38" s="40" t="str">
        <f>'Steel Table'!CD36</f>
        <v>Pipe-D165.2x7.1 mm.</v>
      </c>
      <c r="DL38" s="40" t="str">
        <f>'Steel Table'!CO36</f>
        <v>[-150x65x20x3.2 mm.</v>
      </c>
      <c r="DM38" s="40"/>
      <c r="DN38" s="40" t="str">
        <f>'Steel Table'!DG36</f>
        <v>2[]-150x65x20x3.2 mm.</v>
      </c>
      <c r="DO38" s="40"/>
      <c r="DP38" s="40"/>
      <c r="DQ38" s="40"/>
      <c r="DR38" s="40"/>
      <c r="DS38" s="40"/>
      <c r="DT38" s="40"/>
      <c r="DU38" s="40"/>
      <c r="DV38" s="40"/>
      <c r="DW38" s="40"/>
      <c r="DX38" s="40"/>
    </row>
    <row r="39" spans="1:128" s="35" customFormat="1" ht="15.75" customHeight="1">
      <c r="A39" s="40"/>
      <c r="C39" s="114"/>
      <c r="F39" s="344" t="s">
        <v>389</v>
      </c>
      <c r="G39" s="343"/>
      <c r="J39" s="40"/>
      <c r="M39" s="36" t="s">
        <v>0</v>
      </c>
      <c r="N39" s="373">
        <f>0.4*fy</f>
        <v>960</v>
      </c>
      <c r="O39" s="373"/>
      <c r="P39" s="373"/>
      <c r="AB39" s="40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40"/>
      <c r="AP39" s="40"/>
      <c r="AQ39" s="40"/>
      <c r="AR39" s="40"/>
      <c r="BY39" s="40"/>
      <c r="BZ39" s="40"/>
      <c r="CA39" s="40"/>
      <c r="CB39" s="40"/>
      <c r="CC39" s="40"/>
      <c r="CD39" s="101"/>
      <c r="CE39" s="40"/>
      <c r="CF39" s="39"/>
      <c r="CG39" s="39"/>
      <c r="CH39" s="40"/>
      <c r="CI39" s="39"/>
      <c r="CJ39" s="135"/>
      <c r="CK39" s="40"/>
      <c r="CL39" s="40"/>
      <c r="CM39" s="40"/>
      <c r="CN39" s="40"/>
      <c r="CO39" s="40"/>
      <c r="CP39" s="40"/>
      <c r="CQ39" s="40"/>
      <c r="CR39" s="40"/>
      <c r="CS39" s="40"/>
      <c r="CT39" s="52">
        <v>21</v>
      </c>
      <c r="CU39" s="52" t="str">
        <f>VLOOKUP(21,$DE$8:$DN$78,CV$8,TRUE)</f>
        <v>2[]-120x60x25x3.2 mm.</v>
      </c>
      <c r="CV39" s="40"/>
      <c r="CW39" s="40"/>
      <c r="CX39" s="40"/>
      <c r="CY39" s="40"/>
      <c r="CZ39" s="40"/>
      <c r="DA39" s="40"/>
      <c r="DB39" s="40"/>
      <c r="DC39" s="40"/>
      <c r="DD39" s="40"/>
      <c r="DE39" s="40">
        <v>32</v>
      </c>
      <c r="DF39" s="40" t="str">
        <f>'Steel Table'!C37</f>
        <v>WF-350x250x9x14 mm.</v>
      </c>
      <c r="DG39" s="40"/>
      <c r="DH39" s="40"/>
      <c r="DI39" s="40" t="str">
        <f>'Steel Table'!BC37</f>
        <v>Tube-150x150x6.3 mm.</v>
      </c>
      <c r="DJ39" s="40"/>
      <c r="DK39" s="40" t="str">
        <f>'Steel Table'!CD37</f>
        <v>Pipe-D216.3x4.5 mm.</v>
      </c>
      <c r="DL39" s="40" t="str">
        <f>'Steel Table'!CO37</f>
        <v>[-150x65x20x4 mm.</v>
      </c>
      <c r="DM39" s="40"/>
      <c r="DN39" s="40" t="str">
        <f>'Steel Table'!DG37</f>
        <v>2[]-150x65x20x4 mm.</v>
      </c>
      <c r="DO39" s="40"/>
      <c r="DP39" s="40"/>
      <c r="DQ39" s="40"/>
      <c r="DR39" s="40"/>
      <c r="DS39" s="40"/>
      <c r="DT39" s="40"/>
      <c r="DU39" s="40"/>
      <c r="DV39" s="40"/>
      <c r="DW39" s="40"/>
      <c r="DX39" s="40"/>
    </row>
    <row r="40" spans="1:128" s="35" customFormat="1" ht="15.75" customHeight="1">
      <c r="A40" s="40"/>
      <c r="B40" s="52"/>
      <c r="C40" s="52"/>
      <c r="D40" s="50"/>
      <c r="E40" s="131"/>
      <c r="F40" s="52" t="s">
        <v>390</v>
      </c>
      <c r="G40" s="131"/>
      <c r="H40" s="52"/>
      <c r="I40" s="52"/>
      <c r="M40" s="36" t="s">
        <v>0</v>
      </c>
      <c r="N40" s="423">
        <f>CQ26</f>
        <v>135.2322</v>
      </c>
      <c r="O40" s="423"/>
      <c r="P40" s="423"/>
      <c r="Q40" s="36" t="str">
        <f>IF(N40&lt;=N39,"&lt;",IF(N40&gt;N39,"&gt;"))</f>
        <v>&lt;</v>
      </c>
      <c r="R40" s="373" t="s">
        <v>388</v>
      </c>
      <c r="S40" s="373"/>
      <c r="T40" s="373"/>
      <c r="U40" s="373" t="str">
        <f>IF(N40&lt;=N39,"Ok.",IF(N40&gt;N39,"Not Ok."))</f>
        <v>Ok.</v>
      </c>
      <c r="V40" s="373"/>
      <c r="AB40" s="40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40"/>
      <c r="AP40" s="40"/>
      <c r="AQ40" s="40"/>
      <c r="AR40" s="40"/>
      <c r="BY40" s="40"/>
      <c r="BZ40" s="40"/>
      <c r="CA40" s="40"/>
      <c r="CB40" s="88"/>
      <c r="CC40" s="40"/>
      <c r="CD40" s="117"/>
      <c r="CE40" s="40"/>
      <c r="CF40" s="39"/>
      <c r="CG40" s="39"/>
      <c r="CH40" s="40"/>
      <c r="CI40" s="39"/>
      <c r="CJ40" s="135"/>
      <c r="CK40" s="40"/>
      <c r="CL40" s="40"/>
      <c r="CM40" s="40"/>
      <c r="CN40" s="40"/>
      <c r="CO40" s="40"/>
      <c r="CP40" s="92"/>
      <c r="CQ40" s="40"/>
      <c r="CR40" s="40"/>
      <c r="CS40" s="40"/>
      <c r="CT40" s="52">
        <v>22</v>
      </c>
      <c r="CU40" s="52" t="str">
        <f>VLOOKUP(22,$DE$8:$DN$78,CV$8,TRUE)</f>
        <v>2[]-120x60x25x4.5 mm.</v>
      </c>
      <c r="CV40" s="40"/>
      <c r="CW40" s="40"/>
      <c r="CX40" s="40"/>
      <c r="CY40" s="40"/>
      <c r="CZ40" s="40"/>
      <c r="DA40" s="40"/>
      <c r="DB40" s="40"/>
      <c r="DC40" s="40"/>
      <c r="DD40" s="40"/>
      <c r="DE40" s="40">
        <v>33</v>
      </c>
      <c r="DF40" s="40" t="str">
        <f>'Steel Table'!C38</f>
        <v>WF-350X350x13x13 mm.</v>
      </c>
      <c r="DG40" s="40"/>
      <c r="DH40" s="40"/>
      <c r="DI40" s="40"/>
      <c r="DJ40" s="40"/>
      <c r="DK40" s="40" t="str">
        <f>'Steel Table'!CD38</f>
        <v>Pipe-D216.3x5.8 mm.</v>
      </c>
      <c r="DL40" s="40" t="str">
        <f>'Steel Table'!CO38</f>
        <v>[-150x75x20x3.2 mm.</v>
      </c>
      <c r="DM40" s="40"/>
      <c r="DN40" s="40" t="str">
        <f>'Steel Table'!DG38</f>
        <v>2[]-150x75x20x3.2 mm.</v>
      </c>
      <c r="DO40" s="40"/>
      <c r="DP40" s="40"/>
      <c r="DQ40" s="40"/>
      <c r="DR40" s="40"/>
      <c r="DS40" s="40"/>
      <c r="DT40" s="40"/>
      <c r="DU40" s="40"/>
      <c r="DV40" s="40"/>
      <c r="DW40" s="40"/>
      <c r="DX40" s="40"/>
    </row>
    <row r="41" spans="1:128" s="35" customFormat="1" ht="15.75" customHeight="1">
      <c r="A41" s="40"/>
      <c r="J41" s="345"/>
      <c r="V41" s="40"/>
      <c r="W41" s="40"/>
      <c r="X41" s="40"/>
      <c r="Y41" s="40"/>
      <c r="Z41" s="40"/>
      <c r="AA41" s="40"/>
      <c r="AB41" s="40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40"/>
      <c r="AP41" s="40"/>
      <c r="AQ41" s="40"/>
      <c r="AR41" s="40"/>
      <c r="BY41" s="40"/>
      <c r="BZ41" s="40"/>
      <c r="CA41" s="40"/>
      <c r="CB41" s="40"/>
      <c r="CC41" s="40"/>
      <c r="CD41" s="101"/>
      <c r="CE41" s="40"/>
      <c r="CF41" s="39"/>
      <c r="CG41" s="39"/>
      <c r="CH41" s="40"/>
      <c r="CI41" s="39"/>
      <c r="CJ41" s="135"/>
      <c r="CK41" s="40"/>
      <c r="CL41" s="40"/>
      <c r="CM41" s="40"/>
      <c r="CN41" s="40"/>
      <c r="CO41" s="40"/>
      <c r="CP41" s="40"/>
      <c r="CQ41" s="40"/>
      <c r="CR41" s="40"/>
      <c r="CS41" s="40"/>
      <c r="CT41" s="52">
        <v>23</v>
      </c>
      <c r="CU41" s="52" t="str">
        <f>VLOOKUP(23,$DE$8:$DN$78,CV$8,TRUE)</f>
        <v>2[]-125x50x20x2.3 mm.</v>
      </c>
      <c r="CV41" s="40"/>
      <c r="CW41" s="40"/>
      <c r="CX41" s="40"/>
      <c r="CY41" s="40"/>
      <c r="CZ41" s="40"/>
      <c r="DA41" s="40"/>
      <c r="DB41" s="40"/>
      <c r="DC41" s="40"/>
      <c r="DD41" s="40"/>
      <c r="DE41" s="40">
        <v>34</v>
      </c>
      <c r="DF41" s="40" t="str">
        <f>'Steel Table'!C39</f>
        <v>WF-350X350x10x16 mm.</v>
      </c>
      <c r="DG41" s="40"/>
      <c r="DH41" s="40"/>
      <c r="DI41" s="40"/>
      <c r="DJ41" s="40"/>
      <c r="DK41" s="40" t="str">
        <f>'Steel Table'!CD39</f>
        <v>Pipe-D216.3x7 mm.</v>
      </c>
      <c r="DL41" s="40" t="str">
        <f>'Steel Table'!CO39</f>
        <v>[-150x75x20x4 mm.</v>
      </c>
      <c r="DM41" s="40"/>
      <c r="DN41" s="40" t="str">
        <f>'Steel Table'!DG39</f>
        <v>2[]-150x75x20x4 mm.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0"/>
    </row>
    <row r="42" spans="1:128" s="35" customFormat="1" ht="15.75" customHeight="1">
      <c r="A42" s="40"/>
      <c r="B42" s="57" t="s">
        <v>405</v>
      </c>
      <c r="C42" s="114"/>
      <c r="F42" s="343"/>
      <c r="G42" s="343"/>
      <c r="J42" s="114"/>
      <c r="K42" s="114"/>
      <c r="L42" s="52"/>
      <c r="M42" s="39"/>
      <c r="N42" s="131"/>
      <c r="O42" s="131"/>
      <c r="P42" s="114"/>
      <c r="V42" s="95"/>
      <c r="W42" s="95"/>
      <c r="X42" s="95"/>
      <c r="Y42" s="95"/>
      <c r="Z42" s="95"/>
      <c r="AA42" s="40"/>
      <c r="AB42" s="40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40"/>
      <c r="AP42" s="40"/>
      <c r="AQ42" s="40"/>
      <c r="AR42" s="40"/>
      <c r="BY42" s="40"/>
      <c r="BZ42" s="40"/>
      <c r="CA42" s="40"/>
      <c r="CB42" s="40"/>
      <c r="CC42" s="40"/>
      <c r="CD42" s="117"/>
      <c r="CE42" s="40"/>
      <c r="CF42" s="39"/>
      <c r="CG42" s="39"/>
      <c r="CH42" s="40"/>
      <c r="CI42" s="39"/>
      <c r="CJ42" s="84"/>
      <c r="CK42" s="40"/>
      <c r="CL42" s="40"/>
      <c r="CM42" s="40"/>
      <c r="CN42" s="40"/>
      <c r="CO42" s="40"/>
      <c r="CP42" s="40"/>
      <c r="CQ42" s="40"/>
      <c r="CR42" s="40"/>
      <c r="CS42" s="40"/>
      <c r="CT42" s="52">
        <v>24</v>
      </c>
      <c r="CU42" s="52" t="str">
        <f>VLOOKUP(24,$DE$8:$DN$78,CV$8,TRUE)</f>
        <v>2[]-125x50x20x3.2 mm.</v>
      </c>
      <c r="CV42" s="40"/>
      <c r="CW42" s="40"/>
      <c r="CX42" s="40"/>
      <c r="CY42" s="40"/>
      <c r="CZ42" s="40"/>
      <c r="DA42" s="40"/>
      <c r="DB42" s="40"/>
      <c r="DC42" s="40"/>
      <c r="DD42" s="40"/>
      <c r="DE42" s="40">
        <v>35</v>
      </c>
      <c r="DF42" s="40" t="str">
        <f>'Steel Table'!C40</f>
        <v>WF-350X350x16x16 mm.</v>
      </c>
      <c r="DG42" s="40"/>
      <c r="DH42" s="40"/>
      <c r="DI42" s="40"/>
      <c r="DJ42" s="40"/>
      <c r="DK42" s="40" t="str">
        <f>'Steel Table'!CD40</f>
        <v>Pipe-D216.3x8.2 mm.</v>
      </c>
      <c r="DL42" s="40" t="str">
        <f>'Steel Table'!CO40</f>
        <v>[-150x75x20x4.5 mm.</v>
      </c>
      <c r="DM42" s="40"/>
      <c r="DN42" s="40" t="str">
        <f>'Steel Table'!DG40</f>
        <v>2[]-150x75x20x4.5 mm.</v>
      </c>
      <c r="DO42" s="40"/>
      <c r="DP42" s="40"/>
      <c r="DQ42" s="40"/>
      <c r="DR42" s="40"/>
      <c r="DS42" s="40"/>
      <c r="DT42" s="40"/>
      <c r="DU42" s="40"/>
      <c r="DV42" s="40"/>
      <c r="DW42" s="40"/>
      <c r="DX42" s="40"/>
    </row>
    <row r="43" spans="1:128" s="35" customFormat="1" ht="15.75" customHeight="1">
      <c r="A43" s="40"/>
      <c r="B43" s="95" t="s">
        <v>529</v>
      </c>
      <c r="C43" s="52"/>
      <c r="D43" s="39"/>
      <c r="E43" s="131"/>
      <c r="F43" s="131"/>
      <c r="G43" s="131"/>
      <c r="H43" s="39" t="s">
        <v>0</v>
      </c>
      <c r="I43" s="52" t="str">
        <f>CI13</f>
        <v>(5WL^4/384EI)</v>
      </c>
      <c r="J43" s="114"/>
      <c r="K43" s="114"/>
      <c r="L43" s="52"/>
      <c r="M43" s="39"/>
      <c r="N43" s="131"/>
      <c r="O43" s="131"/>
      <c r="P43" s="114"/>
      <c r="S43" s="34"/>
      <c r="T43" s="323"/>
      <c r="U43" s="95"/>
      <c r="V43" s="95"/>
      <c r="W43" s="95"/>
      <c r="X43" s="95"/>
      <c r="Y43" s="95"/>
      <c r="Z43" s="95"/>
      <c r="AA43" s="40"/>
      <c r="AB43" s="40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40"/>
      <c r="AP43" s="40"/>
      <c r="AQ43" s="40"/>
      <c r="AR43" s="40"/>
      <c r="BY43" s="132"/>
      <c r="BZ43" s="40"/>
      <c r="CA43" s="40"/>
      <c r="CB43" s="40"/>
      <c r="CC43" s="40"/>
      <c r="CD43" s="101"/>
      <c r="CE43" s="40"/>
      <c r="CF43" s="39"/>
      <c r="CG43" s="39"/>
      <c r="CH43" s="40"/>
      <c r="CI43" s="40"/>
      <c r="CJ43" s="39"/>
      <c r="CK43" s="40"/>
      <c r="CL43" s="40"/>
      <c r="CM43" s="40"/>
      <c r="CN43" s="40"/>
      <c r="CO43" s="40"/>
      <c r="CP43" s="40"/>
      <c r="CQ43" s="40"/>
      <c r="CR43" s="40"/>
      <c r="CS43" s="40"/>
      <c r="CT43" s="52">
        <v>25</v>
      </c>
      <c r="CU43" s="52" t="str">
        <f>VLOOKUP(25,$DE$8:$DN$78,CV$8,TRUE)</f>
        <v>2[]-125x50x20x4 mm.</v>
      </c>
      <c r="CV43" s="40"/>
      <c r="CW43" s="40"/>
      <c r="CX43" s="40"/>
      <c r="CY43" s="40"/>
      <c r="CZ43" s="40"/>
      <c r="DA43" s="40"/>
      <c r="DB43" s="40"/>
      <c r="DC43" s="40"/>
      <c r="DD43" s="40"/>
      <c r="DE43" s="40">
        <v>36</v>
      </c>
      <c r="DF43" s="40" t="str">
        <f>'Steel Table'!C41</f>
        <v>WF-350X350x12x19 mm.</v>
      </c>
      <c r="DG43" s="40"/>
      <c r="DH43" s="40"/>
      <c r="DI43" s="40"/>
      <c r="DJ43" s="40"/>
      <c r="DK43" s="40"/>
      <c r="DL43" s="40" t="str">
        <f>'Steel Table'!CO41</f>
        <v>[-150x75x25x3.2 mm.</v>
      </c>
      <c r="DM43" s="40"/>
      <c r="DN43" s="40" t="str">
        <f>'Steel Table'!DG41</f>
        <v>2[]-150x75x25x3.2 mm.</v>
      </c>
      <c r="DO43" s="40"/>
      <c r="DP43" s="40"/>
      <c r="DQ43" s="40"/>
      <c r="DR43" s="40"/>
      <c r="DS43" s="40"/>
      <c r="DT43" s="40"/>
      <c r="DU43" s="40"/>
      <c r="DV43" s="40"/>
      <c r="DW43" s="40"/>
      <c r="DX43" s="40"/>
    </row>
    <row r="44" spans="1:128" s="35" customFormat="1" ht="15.75" customHeight="1">
      <c r="A44" s="40"/>
      <c r="I44" s="133" t="s">
        <v>432</v>
      </c>
      <c r="M44" s="36" t="s">
        <v>0</v>
      </c>
      <c r="N44" s="439">
        <f>CH15</f>
        <v>0.5605245866520606</v>
      </c>
      <c r="O44" s="439"/>
      <c r="P44" s="439"/>
      <c r="Q44" s="373" t="s">
        <v>104</v>
      </c>
      <c r="R44" s="373"/>
      <c r="U44" s="40"/>
      <c r="V44" s="40"/>
      <c r="W44" s="40"/>
      <c r="X44" s="40"/>
      <c r="Y44" s="39"/>
      <c r="Z44" s="40"/>
      <c r="AA44" s="40"/>
      <c r="AB44" s="40"/>
      <c r="AC44" s="155"/>
      <c r="AD44" s="155"/>
      <c r="AE44" s="155"/>
      <c r="AF44" s="155"/>
      <c r="AG44" s="155"/>
      <c r="AH44" s="155"/>
      <c r="AI44" s="153"/>
      <c r="AJ44" s="153"/>
      <c r="AK44" s="153"/>
      <c r="AL44" s="153"/>
      <c r="AM44" s="153"/>
      <c r="AN44" s="153"/>
      <c r="AO44" s="40"/>
      <c r="AP44" s="40"/>
      <c r="AQ44" s="40"/>
      <c r="AR44" s="40"/>
      <c r="BY44" s="40"/>
      <c r="BZ44" s="40"/>
      <c r="CA44" s="40"/>
      <c r="CB44" s="40"/>
      <c r="CC44" s="40"/>
      <c r="CD44" s="117"/>
      <c r="CE44" s="40"/>
      <c r="CF44" s="39"/>
      <c r="CG44" s="39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52">
        <v>26</v>
      </c>
      <c r="CU44" s="52" t="str">
        <f>VLOOKUP(26,$DE$8:$DN$78,CV$8,TRUE)</f>
        <v>2[]-125x50x20x4.5 mm.</v>
      </c>
      <c r="CV44" s="40"/>
      <c r="CW44" s="40"/>
      <c r="CX44" s="40"/>
      <c r="CY44" s="40"/>
      <c r="CZ44" s="40"/>
      <c r="DA44" s="40"/>
      <c r="DB44" s="40"/>
      <c r="DC44" s="40"/>
      <c r="DD44" s="40"/>
      <c r="DE44" s="40">
        <v>37</v>
      </c>
      <c r="DF44" s="40" t="str">
        <f>'Steel Table'!C42</f>
        <v>WF-350X350x19x19 mm.</v>
      </c>
      <c r="DG44" s="40"/>
      <c r="DH44" s="40"/>
      <c r="DI44" s="40"/>
      <c r="DJ44" s="40"/>
      <c r="DK44" s="40"/>
      <c r="DL44" s="40" t="str">
        <f>'Steel Table'!CO42</f>
        <v>[-150x75x25x4 mm.</v>
      </c>
      <c r="DM44" s="40"/>
      <c r="DN44" s="40" t="str">
        <f>'Steel Table'!DG42</f>
        <v>2[]-150x75x25x4 mm.</v>
      </c>
      <c r="DO44" s="40"/>
      <c r="DP44" s="40"/>
      <c r="DQ44" s="40"/>
      <c r="DR44" s="40"/>
      <c r="DS44" s="40"/>
      <c r="DT44" s="40"/>
      <c r="DU44" s="40"/>
      <c r="DV44" s="40"/>
      <c r="DW44" s="40"/>
      <c r="DX44" s="40"/>
    </row>
    <row r="45" spans="1:128" s="35" customFormat="1" ht="15.75" customHeight="1">
      <c r="A45" s="40"/>
      <c r="B45" s="95" t="s">
        <v>530</v>
      </c>
      <c r="C45" s="40"/>
      <c r="D45" s="40"/>
      <c r="E45" s="40"/>
      <c r="F45" s="40"/>
      <c r="G45" s="40"/>
      <c r="H45" s="40"/>
      <c r="I45" s="40"/>
      <c r="J45" s="39"/>
      <c r="K45" s="69"/>
      <c r="L45" s="69"/>
      <c r="M45" s="36" t="s">
        <v>0</v>
      </c>
      <c r="N45" s="439">
        <f>CE17/360</f>
        <v>0.8805555555555555</v>
      </c>
      <c r="O45" s="439"/>
      <c r="P45" s="439"/>
      <c r="Q45" s="373" t="s">
        <v>104</v>
      </c>
      <c r="R45" s="373"/>
      <c r="S45" s="36" t="str">
        <f>IF(N45&gt;N44,"&gt;",IF(N45&lt;N44,"&lt;"))</f>
        <v>&gt;</v>
      </c>
      <c r="T45" s="373" t="s">
        <v>420</v>
      </c>
      <c r="U45" s="373"/>
      <c r="V45" s="373"/>
      <c r="W45" s="396" t="str">
        <f>IF(N45&gt;N44,"Ok.",IF(N45&lt;N44,"Not Ok."))</f>
        <v>Ok.</v>
      </c>
      <c r="X45" s="396"/>
      <c r="Y45" s="69"/>
      <c r="Z45" s="69"/>
      <c r="AA45" s="69"/>
      <c r="AB45" s="40"/>
      <c r="AC45" s="155"/>
      <c r="AD45" s="155"/>
      <c r="AE45" s="155"/>
      <c r="AF45" s="155"/>
      <c r="AG45" s="155"/>
      <c r="AH45" s="155"/>
      <c r="AI45" s="153"/>
      <c r="AJ45" s="153"/>
      <c r="AK45" s="153"/>
      <c r="AL45" s="153"/>
      <c r="AM45" s="153"/>
      <c r="AN45" s="153"/>
      <c r="AO45" s="40"/>
      <c r="AP45" s="40"/>
      <c r="AQ45" s="40"/>
      <c r="AR45" s="40"/>
      <c r="BY45" s="40"/>
      <c r="BZ45" s="40"/>
      <c r="CA45" s="40"/>
      <c r="CB45" s="40"/>
      <c r="CC45" s="40"/>
      <c r="CD45" s="101"/>
      <c r="CE45" s="40"/>
      <c r="CF45" s="39"/>
      <c r="CG45" s="39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52">
        <v>27</v>
      </c>
      <c r="CU45" s="52" t="str">
        <f>VLOOKUP(27,$DE$8:$DN$78,CV$8,TRUE)</f>
        <v>2[]-150x50x20x2.3 mm.</v>
      </c>
      <c r="CV45" s="40"/>
      <c r="CW45" s="40"/>
      <c r="CX45" s="40"/>
      <c r="CY45" s="40"/>
      <c r="CZ45" s="40"/>
      <c r="DA45" s="40"/>
      <c r="DB45" s="40"/>
      <c r="DC45" s="40"/>
      <c r="DD45" s="40"/>
      <c r="DE45" s="40">
        <v>38</v>
      </c>
      <c r="DF45" s="40" t="str">
        <f>'Steel Table'!C43</f>
        <v>WF-400X200x7x11 mm.</v>
      </c>
      <c r="DG45" s="40"/>
      <c r="DH45" s="40"/>
      <c r="DI45" s="40"/>
      <c r="DJ45" s="40"/>
      <c r="DK45" s="40"/>
      <c r="DL45" s="40" t="str">
        <f>'Steel Table'!CO43</f>
        <v>[-150x75x25x4.5 mm.</v>
      </c>
      <c r="DM45" s="40"/>
      <c r="DN45" s="40" t="str">
        <f>'Steel Table'!DG43</f>
        <v>2[]-150x75x25x4.5 mm.</v>
      </c>
      <c r="DO45" s="40"/>
      <c r="DP45" s="40"/>
      <c r="DQ45" s="40"/>
      <c r="DR45" s="40"/>
      <c r="DS45" s="40"/>
      <c r="DT45" s="40"/>
      <c r="DU45" s="40"/>
      <c r="DV45" s="40"/>
      <c r="DW45" s="40"/>
      <c r="DX45" s="40"/>
    </row>
    <row r="46" spans="1:128" s="35" customFormat="1" ht="15.75" customHeight="1">
      <c r="A46" s="40"/>
      <c r="D46" s="40"/>
      <c r="E46" s="40"/>
      <c r="F46" s="40"/>
      <c r="G46" s="40"/>
      <c r="H46" s="40"/>
      <c r="I46" s="40"/>
      <c r="J46" s="39"/>
      <c r="K46" s="52"/>
      <c r="L46" s="52"/>
      <c r="M46" s="52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39"/>
      <c r="Y46" s="69"/>
      <c r="Z46" s="69"/>
      <c r="AA46" s="69"/>
      <c r="AB46" s="40"/>
      <c r="AC46" s="155"/>
      <c r="AD46" s="155"/>
      <c r="AE46" s="155"/>
      <c r="AF46" s="155"/>
      <c r="AG46" s="155"/>
      <c r="AH46" s="155"/>
      <c r="AI46" s="153"/>
      <c r="AJ46" s="153"/>
      <c r="AK46" s="153"/>
      <c r="AL46" s="153"/>
      <c r="AM46" s="153"/>
      <c r="AN46" s="153"/>
      <c r="AO46" s="40"/>
      <c r="AP46" s="40"/>
      <c r="AQ46" s="40"/>
      <c r="AR46" s="40"/>
      <c r="BY46" s="132"/>
      <c r="BZ46" s="40"/>
      <c r="CA46" s="40"/>
      <c r="CB46" s="40"/>
      <c r="CC46" s="40"/>
      <c r="CD46" s="117"/>
      <c r="CE46" s="40"/>
      <c r="CF46" s="39"/>
      <c r="CG46" s="39"/>
      <c r="CH46" s="40"/>
      <c r="CI46" s="39"/>
      <c r="CJ46" s="75"/>
      <c r="CK46" s="40"/>
      <c r="CL46" s="40"/>
      <c r="CM46" s="40"/>
      <c r="CN46" s="40"/>
      <c r="CO46" s="40"/>
      <c r="CP46" s="40"/>
      <c r="CQ46" s="40"/>
      <c r="CR46" s="40"/>
      <c r="CS46" s="40"/>
      <c r="CT46" s="52">
        <v>28</v>
      </c>
      <c r="CU46" s="52" t="str">
        <f>VLOOKUP(28,$DE$8:$DN$78,CV$8,TRUE)</f>
        <v>2[]-150x50x20x3.2 mm.</v>
      </c>
      <c r="CV46" s="40"/>
      <c r="CW46" s="40"/>
      <c r="CX46" s="40"/>
      <c r="CY46" s="40"/>
      <c r="CZ46" s="40"/>
      <c r="DA46" s="40"/>
      <c r="DB46" s="40"/>
      <c r="DC46" s="40"/>
      <c r="DD46" s="40"/>
      <c r="DE46" s="40">
        <v>39</v>
      </c>
      <c r="DF46" s="40" t="str">
        <f>'Steel Table'!C44</f>
        <v>WF-400X200x8x13 mm.</v>
      </c>
      <c r="DG46" s="40"/>
      <c r="DH46" s="40"/>
      <c r="DI46" s="40"/>
      <c r="DJ46" s="40"/>
      <c r="DK46" s="40"/>
      <c r="DL46" s="40" t="str">
        <f>'Steel Table'!CO44</f>
        <v>[-200x75x20x3.2 mm.</v>
      </c>
      <c r="DM46" s="40"/>
      <c r="DN46" s="40" t="str">
        <f>'Steel Table'!DG44</f>
        <v>2[]-200x75x20x3.2 mm.</v>
      </c>
      <c r="DO46" s="40"/>
      <c r="DP46" s="40"/>
      <c r="DQ46" s="40"/>
      <c r="DR46" s="40"/>
      <c r="DS46" s="40"/>
      <c r="DT46" s="40"/>
      <c r="DU46" s="40"/>
      <c r="DV46" s="40"/>
      <c r="DW46" s="40"/>
      <c r="DX46" s="40"/>
    </row>
    <row r="47" spans="1:128" s="35" customFormat="1" ht="15.75" customHeight="1">
      <c r="A47" s="40"/>
      <c r="B47" s="322" t="s">
        <v>380</v>
      </c>
      <c r="C47" s="31" t="str">
        <f>CI38</f>
        <v>อะเสเหล็ก 2[]-125x50x20x2.3 mm. สามารถรองรับน้ำหนักบรรทุกได้อย่างปลอดภัย</v>
      </c>
      <c r="D47" s="40"/>
      <c r="E47" s="40"/>
      <c r="F47" s="40"/>
      <c r="G47" s="40"/>
      <c r="H47" s="40"/>
      <c r="I47" s="40"/>
      <c r="J47" s="39"/>
      <c r="K47" s="74"/>
      <c r="L47" s="74"/>
      <c r="M47" s="74"/>
      <c r="N47" s="131"/>
      <c r="O47" s="131"/>
      <c r="P47" s="40"/>
      <c r="Q47" s="40"/>
      <c r="R47" s="40"/>
      <c r="S47" s="40"/>
      <c r="T47" s="40"/>
      <c r="U47" s="40"/>
      <c r="V47" s="40"/>
      <c r="W47" s="40"/>
      <c r="X47" s="39"/>
      <c r="Y47" s="69"/>
      <c r="Z47" s="69"/>
      <c r="AA47" s="69"/>
      <c r="AB47" s="40"/>
      <c r="AC47" s="155"/>
      <c r="AD47" s="155"/>
      <c r="AE47" s="155"/>
      <c r="AF47" s="155"/>
      <c r="AG47" s="155"/>
      <c r="AH47" s="155"/>
      <c r="AI47" s="155"/>
      <c r="AJ47" s="155"/>
      <c r="AK47" s="155"/>
      <c r="AL47" s="153"/>
      <c r="AM47" s="153"/>
      <c r="AN47" s="153"/>
      <c r="AO47" s="40"/>
      <c r="AP47" s="40"/>
      <c r="AQ47" s="40"/>
      <c r="AR47" s="40"/>
      <c r="BY47" s="40"/>
      <c r="BZ47" s="40"/>
      <c r="CA47" s="40"/>
      <c r="CB47" s="40"/>
      <c r="CC47" s="40"/>
      <c r="CD47" s="101"/>
      <c r="CE47" s="40"/>
      <c r="CF47" s="39"/>
      <c r="CG47" s="39"/>
      <c r="CH47" s="40"/>
      <c r="CI47" s="39"/>
      <c r="CJ47" s="40"/>
      <c r="CK47" s="40"/>
      <c r="CL47" s="40"/>
      <c r="CM47" s="39"/>
      <c r="CN47" s="140"/>
      <c r="CO47" s="40"/>
      <c r="CP47" s="40"/>
      <c r="CQ47" s="40"/>
      <c r="CR47" s="40"/>
      <c r="CS47" s="40"/>
      <c r="CT47" s="52">
        <v>29</v>
      </c>
      <c r="CU47" s="52" t="str">
        <f>VLOOKUP(29,$DE$8:$DN$78,CV$8,TRUE)</f>
        <v>2[]-150x50x20x4.5 mm.</v>
      </c>
      <c r="CV47" s="40"/>
      <c r="CW47" s="40"/>
      <c r="CX47" s="40"/>
      <c r="CY47" s="40"/>
      <c r="CZ47" s="40"/>
      <c r="DA47" s="40"/>
      <c r="DB47" s="40"/>
      <c r="DC47" s="40"/>
      <c r="DD47" s="40"/>
      <c r="DE47" s="40">
        <v>40</v>
      </c>
      <c r="DF47" s="40" t="str">
        <f>'Steel Table'!C45</f>
        <v>WF-400X200x9x15 mm.</v>
      </c>
      <c r="DG47" s="40"/>
      <c r="DH47" s="40"/>
      <c r="DI47" s="40"/>
      <c r="DJ47" s="40"/>
      <c r="DK47" s="40"/>
      <c r="DL47" s="40" t="str">
        <f>'Steel Table'!CO45</f>
        <v>[-200x75x20x4 mm.</v>
      </c>
      <c r="DM47" s="40"/>
      <c r="DN47" s="40" t="str">
        <f>'Steel Table'!DG45</f>
        <v>2[]-200x75x20x4 mm.</v>
      </c>
      <c r="DO47" s="40"/>
      <c r="DP47" s="40"/>
      <c r="DQ47" s="40"/>
      <c r="DR47" s="40"/>
      <c r="DS47" s="40"/>
      <c r="DT47" s="40"/>
      <c r="DU47" s="40"/>
      <c r="DV47" s="40"/>
      <c r="DW47" s="40"/>
      <c r="DX47" s="40"/>
    </row>
    <row r="48" spans="1:128" s="35" customFormat="1" ht="15.75" customHeight="1" thickBo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39"/>
      <c r="M48" s="40"/>
      <c r="N48" s="40"/>
      <c r="O48" s="40"/>
      <c r="P48" s="40"/>
      <c r="Q48" s="40"/>
      <c r="R48" s="40"/>
      <c r="S48" s="31"/>
      <c r="T48" s="31"/>
      <c r="U48" s="31"/>
      <c r="V48" s="32"/>
      <c r="W48" s="32"/>
      <c r="X48" s="32"/>
      <c r="Y48" s="32"/>
      <c r="Z48" s="32"/>
      <c r="AA48" s="32"/>
      <c r="AB48" s="40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40"/>
      <c r="AP48" s="40"/>
      <c r="AQ48" s="40"/>
      <c r="AR48" s="40"/>
      <c r="BY48" s="40"/>
      <c r="BZ48" s="40"/>
      <c r="CA48" s="40"/>
      <c r="CB48" s="40"/>
      <c r="CC48" s="40"/>
      <c r="CD48" s="40"/>
      <c r="CE48" s="40"/>
      <c r="CF48" s="39"/>
      <c r="CG48" s="39"/>
      <c r="CH48" s="40"/>
      <c r="CI48" s="39"/>
      <c r="CJ48" s="75"/>
      <c r="CK48" s="40"/>
      <c r="CL48" s="40"/>
      <c r="CM48" s="101"/>
      <c r="CN48" s="40"/>
      <c r="CO48" s="40"/>
      <c r="CP48" s="40"/>
      <c r="CQ48" s="40"/>
      <c r="CR48" s="40"/>
      <c r="CS48" s="40"/>
      <c r="CT48" s="52">
        <v>30</v>
      </c>
      <c r="CU48" s="52" t="str">
        <f>VLOOKUP(30,$DE$8:$DN$78,CV$8,TRUE)</f>
        <v>2[]-150x65x20x2.3 mm.</v>
      </c>
      <c r="CV48" s="40"/>
      <c r="CW48" s="40"/>
      <c r="CX48" s="40"/>
      <c r="CY48" s="40"/>
      <c r="CZ48" s="40"/>
      <c r="DA48" s="40"/>
      <c r="DB48" s="40"/>
      <c r="DC48" s="40"/>
      <c r="DD48" s="40"/>
      <c r="DE48" s="40">
        <v>41</v>
      </c>
      <c r="DF48" s="40" t="str">
        <f>'Steel Table'!C46</f>
        <v>WF-400X300x9x14 mm.</v>
      </c>
      <c r="DG48" s="40"/>
      <c r="DH48" s="40"/>
      <c r="DI48" s="40"/>
      <c r="DJ48" s="40"/>
      <c r="DK48" s="40"/>
      <c r="DL48" s="40" t="str">
        <f>'Steel Table'!CO46</f>
        <v>[-200x75x20x4.5 mm.</v>
      </c>
      <c r="DM48" s="40"/>
      <c r="DN48" s="40" t="str">
        <f>'Steel Table'!DG46</f>
        <v>2[]-200x75x20x4.5 mm.</v>
      </c>
      <c r="DO48" s="40"/>
      <c r="DP48" s="40"/>
      <c r="DQ48" s="40"/>
      <c r="DR48" s="40"/>
      <c r="DS48" s="40"/>
      <c r="DT48" s="40"/>
      <c r="DU48" s="40"/>
      <c r="DV48" s="40"/>
      <c r="DW48" s="40"/>
      <c r="DX48" s="40"/>
    </row>
    <row r="49" spans="1:128" s="35" customFormat="1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40"/>
      <c r="N49" s="40"/>
      <c r="O49" s="40"/>
      <c r="P49" s="40"/>
      <c r="Q49" s="40"/>
      <c r="R49" s="40"/>
      <c r="S49" s="31"/>
      <c r="T49" s="31"/>
      <c r="U49" s="142" t="s">
        <v>114</v>
      </c>
      <c r="V49" s="394" t="str">
        <f>Cover!D10</f>
        <v>สมมุติ</v>
      </c>
      <c r="W49" s="394"/>
      <c r="X49" s="394"/>
      <c r="Y49" s="394"/>
      <c r="Z49" s="394"/>
      <c r="AA49" s="394"/>
      <c r="AB49" s="40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40"/>
      <c r="AP49" s="40"/>
      <c r="AQ49" s="40"/>
      <c r="AR49" s="40"/>
      <c r="BY49" s="40"/>
      <c r="BZ49" s="40"/>
      <c r="CA49" s="40"/>
      <c r="CB49" s="40"/>
      <c r="CC49" s="40"/>
      <c r="CD49" s="40"/>
      <c r="CE49" s="40"/>
      <c r="CF49" s="39"/>
      <c r="CG49" s="39"/>
      <c r="CH49" s="40"/>
      <c r="CI49" s="39"/>
      <c r="CJ49" s="39"/>
      <c r="CK49" s="40"/>
      <c r="CL49" s="40"/>
      <c r="CM49" s="39"/>
      <c r="CN49" s="141"/>
      <c r="CO49" s="40"/>
      <c r="CP49" s="40"/>
      <c r="CQ49" s="40"/>
      <c r="CR49" s="40"/>
      <c r="CS49" s="40"/>
      <c r="CT49" s="52">
        <v>31</v>
      </c>
      <c r="CU49" s="52" t="str">
        <f>VLOOKUP(31,$DE$8:$DN$78,CV$8,TRUE)</f>
        <v>2[]-150x65x20x3.2 mm.</v>
      </c>
      <c r="CV49" s="40"/>
      <c r="CW49" s="40"/>
      <c r="CX49" s="40"/>
      <c r="CY49" s="40"/>
      <c r="CZ49" s="40"/>
      <c r="DA49" s="40"/>
      <c r="DB49" s="40"/>
      <c r="DC49" s="40"/>
      <c r="DD49" s="40"/>
      <c r="DE49" s="40">
        <v>42</v>
      </c>
      <c r="DF49" s="40" t="str">
        <f>'Steel Table'!C47</f>
        <v>WF-400X300x10x16 mm.</v>
      </c>
      <c r="DG49" s="40"/>
      <c r="DH49" s="40"/>
      <c r="DI49" s="40"/>
      <c r="DJ49" s="40"/>
      <c r="DK49" s="40"/>
      <c r="DL49" s="40" t="str">
        <f>'Steel Table'!CO47</f>
        <v>[-200x75x25x3.2 mm.</v>
      </c>
      <c r="DM49" s="40"/>
      <c r="DN49" s="40" t="str">
        <f>'Steel Table'!DG47</f>
        <v>2[]-200x75x25x3.2 mm.</v>
      </c>
      <c r="DO49" s="40"/>
      <c r="DP49" s="40"/>
      <c r="DQ49" s="40"/>
      <c r="DR49" s="40"/>
      <c r="DS49" s="40"/>
      <c r="DT49" s="40"/>
      <c r="DU49" s="40"/>
      <c r="DV49" s="40"/>
      <c r="DW49" s="40"/>
      <c r="DX49" s="40"/>
    </row>
    <row r="50" spans="1:128" s="35" customFormat="1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39"/>
      <c r="M50" s="40"/>
      <c r="N50" s="40"/>
      <c r="O50" s="40"/>
      <c r="P50" s="40"/>
      <c r="Q50" s="40"/>
      <c r="R50" s="40"/>
      <c r="S50" s="31"/>
      <c r="T50" s="31"/>
      <c r="U50" s="142" t="s">
        <v>115</v>
      </c>
      <c r="V50" s="395" t="str">
        <f>Cover!H10</f>
        <v>สย.0000</v>
      </c>
      <c r="W50" s="395"/>
      <c r="X50" s="395"/>
      <c r="Y50" s="395"/>
      <c r="Z50" s="395"/>
      <c r="AA50" s="395"/>
      <c r="AB50" s="40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40"/>
      <c r="AP50" s="40"/>
      <c r="AQ50" s="40"/>
      <c r="AR50" s="40"/>
      <c r="BY50" s="40"/>
      <c r="BZ50" s="40"/>
      <c r="CA50" s="40"/>
      <c r="CB50" s="40"/>
      <c r="CC50" s="40"/>
      <c r="CD50" s="40"/>
      <c r="CE50" s="40"/>
      <c r="CF50" s="39"/>
      <c r="CG50" s="39"/>
      <c r="CH50" s="40"/>
      <c r="CI50" s="39"/>
      <c r="CJ50" s="75"/>
      <c r="CK50" s="40"/>
      <c r="CL50" s="40"/>
      <c r="CM50" s="39"/>
      <c r="CN50" s="141"/>
      <c r="CO50" s="40"/>
      <c r="CP50" s="40"/>
      <c r="CQ50" s="40"/>
      <c r="CR50" s="40"/>
      <c r="CS50" s="324"/>
      <c r="CT50" s="52">
        <v>32</v>
      </c>
      <c r="CU50" s="52" t="str">
        <f>VLOOKUP(32,$DE$8:$DN$78,CV$8,TRUE)</f>
        <v>2[]-150x65x20x4 mm.</v>
      </c>
      <c r="CV50" s="40"/>
      <c r="CW50" s="40"/>
      <c r="CX50" s="40"/>
      <c r="CY50" s="40"/>
      <c r="CZ50" s="40"/>
      <c r="DA50" s="40"/>
      <c r="DB50" s="40"/>
      <c r="DC50" s="40"/>
      <c r="DD50" s="40"/>
      <c r="DE50" s="40">
        <v>43</v>
      </c>
      <c r="DF50" s="40" t="str">
        <f>'Steel Table'!C48</f>
        <v>WF-400X400x15x15 mm.</v>
      </c>
      <c r="DG50" s="40"/>
      <c r="DH50" s="40"/>
      <c r="DI50" s="40"/>
      <c r="DJ50" s="40"/>
      <c r="DK50" s="40"/>
      <c r="DL50" s="40" t="str">
        <f>'Steel Table'!CO48</f>
        <v>[-200x75x25x4 mm.</v>
      </c>
      <c r="DM50" s="40"/>
      <c r="DN50" s="40" t="str">
        <f>'Steel Table'!DG48</f>
        <v>2[]-200x75x25x4 mm.</v>
      </c>
      <c r="DO50" s="40"/>
      <c r="DP50" s="40"/>
      <c r="DQ50" s="40"/>
      <c r="DR50" s="40"/>
      <c r="DS50" s="40"/>
      <c r="DT50" s="40"/>
      <c r="DU50" s="40"/>
      <c r="DV50" s="40"/>
      <c r="DW50" s="40"/>
      <c r="DX50" s="40"/>
    </row>
    <row r="51" spans="1:128" ht="15.75" customHeight="1">
      <c r="A51" s="34"/>
      <c r="C51" s="40"/>
      <c r="D51" s="40"/>
      <c r="E51" s="40"/>
      <c r="F51" s="40"/>
      <c r="G51" s="40"/>
      <c r="H51" s="40"/>
      <c r="I51" s="40"/>
      <c r="J51" s="40"/>
      <c r="K51" s="40"/>
      <c r="L51" s="39"/>
      <c r="M51" s="75"/>
      <c r="N51" s="94"/>
      <c r="O51" s="94"/>
      <c r="P51" s="94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BY51" s="34"/>
      <c r="BZ51" s="34"/>
      <c r="CA51" s="34"/>
      <c r="CB51" s="34"/>
      <c r="CC51" s="34"/>
      <c r="CD51" s="34"/>
      <c r="CE51" s="40"/>
      <c r="CF51" s="39"/>
      <c r="CG51" s="39"/>
      <c r="CH51" s="40"/>
      <c r="CI51" s="39"/>
      <c r="CJ51" s="40"/>
      <c r="CK51" s="40"/>
      <c r="CL51" s="40"/>
      <c r="CM51" s="39"/>
      <c r="CN51" s="39"/>
      <c r="CO51" s="40"/>
      <c r="CP51" s="40"/>
      <c r="CQ51" s="34"/>
      <c r="CR51" s="34"/>
      <c r="CS51" s="34"/>
      <c r="CT51" s="52">
        <v>33</v>
      </c>
      <c r="CU51" s="52" t="str">
        <f>VLOOKUP(33,$DE$8:$DN$78,CV$8,TRUE)</f>
        <v>2[]-150x75x20x3.2 mm.</v>
      </c>
      <c r="CV51" s="34"/>
      <c r="CW51" s="34"/>
      <c r="CX51" s="41"/>
      <c r="CY51" s="34"/>
      <c r="CZ51" s="34"/>
      <c r="DA51" s="34"/>
      <c r="DB51" s="34"/>
      <c r="DC51" s="34"/>
      <c r="DD51" s="34"/>
      <c r="DE51" s="40">
        <v>44</v>
      </c>
      <c r="DF51" s="40" t="str">
        <f>'Steel Table'!C49</f>
        <v>WF-400X400x11x18 mm.</v>
      </c>
      <c r="DG51" s="34"/>
      <c r="DH51" s="34"/>
      <c r="DI51" s="34"/>
      <c r="DJ51" s="34"/>
      <c r="DK51" s="40"/>
      <c r="DL51" s="40" t="str">
        <f>'Steel Table'!CO49</f>
        <v>[-200x75x25x4.5 mm.</v>
      </c>
      <c r="DM51" s="34"/>
      <c r="DN51" s="40" t="str">
        <f>'Steel Table'!DG49</f>
        <v>2[]-200x75x25x4.5 mm.</v>
      </c>
      <c r="DO51" s="34"/>
      <c r="DP51" s="34"/>
      <c r="DQ51" s="34"/>
      <c r="DR51" s="34"/>
      <c r="DS51" s="34"/>
      <c r="DT51" s="34"/>
      <c r="DU51" s="34"/>
      <c r="DV51" s="34"/>
      <c r="DW51" s="34"/>
      <c r="DX51" s="34"/>
    </row>
    <row r="52" spans="1:128" ht="15.75" customHeight="1">
      <c r="A52" s="34"/>
      <c r="C52" s="40"/>
      <c r="D52" s="40"/>
      <c r="E52" s="40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40"/>
      <c r="S52" s="40"/>
      <c r="T52" s="40"/>
      <c r="U52" s="40"/>
      <c r="V52" s="94"/>
      <c r="W52" s="94"/>
      <c r="X52" s="326"/>
      <c r="Y52" s="326"/>
      <c r="Z52" s="326"/>
      <c r="AA52" s="326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BY52" s="34"/>
      <c r="BZ52" s="34"/>
      <c r="CA52" s="34"/>
      <c r="CB52" s="34"/>
      <c r="CC52" s="34"/>
      <c r="CD52" s="34"/>
      <c r="CE52" s="40"/>
      <c r="CF52" s="39"/>
      <c r="CG52" s="39"/>
      <c r="CH52" s="40"/>
      <c r="CI52" s="39"/>
      <c r="CJ52" s="40"/>
      <c r="CK52" s="40"/>
      <c r="CL52" s="40"/>
      <c r="CM52" s="39"/>
      <c r="CN52" s="39"/>
      <c r="CO52" s="40"/>
      <c r="CP52" s="40"/>
      <c r="CQ52" s="34"/>
      <c r="CR52" s="34"/>
      <c r="CS52" s="34"/>
      <c r="CT52" s="52">
        <v>34</v>
      </c>
      <c r="CU52" s="52" t="str">
        <f>VLOOKUP(34,$DE$8:$DN$78,CV$8,TRUE)</f>
        <v>2[]-150x75x20x4 mm.</v>
      </c>
      <c r="CV52" s="34"/>
      <c r="CW52" s="34"/>
      <c r="CX52" s="41"/>
      <c r="CY52" s="34"/>
      <c r="CZ52" s="327"/>
      <c r="DA52" s="34"/>
      <c r="DB52" s="34"/>
      <c r="DC52" s="34"/>
      <c r="DD52" s="34"/>
      <c r="DE52" s="40">
        <v>45</v>
      </c>
      <c r="DF52" s="40" t="str">
        <f>'Steel Table'!C50</f>
        <v>WF-400X400x18x18 mm.</v>
      </c>
      <c r="DG52" s="34"/>
      <c r="DH52" s="34"/>
      <c r="DI52" s="34"/>
      <c r="DJ52" s="34"/>
      <c r="DK52" s="40"/>
      <c r="DL52" s="40" t="str">
        <f>'Steel Table'!CO50</f>
        <v>[-250x75x25x4.5 mm.</v>
      </c>
      <c r="DM52" s="34"/>
      <c r="DN52" s="40" t="str">
        <f>'Steel Table'!DG50</f>
        <v>2[]-250x75x25x4.5 mm.</v>
      </c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pans="1:128" ht="15.75" customHeight="1">
      <c r="A53" s="34"/>
      <c r="B53" s="105"/>
      <c r="C53" s="40"/>
      <c r="D53" s="40"/>
      <c r="E53" s="40"/>
      <c r="F53" s="40"/>
      <c r="G53" s="40"/>
      <c r="H53" s="40"/>
      <c r="I53" s="40"/>
      <c r="J53" s="40"/>
      <c r="K53" s="40"/>
      <c r="L53" s="35"/>
      <c r="M53" s="35"/>
      <c r="N53" s="35"/>
      <c r="O53" s="35"/>
      <c r="P53" s="35"/>
      <c r="Q53" s="35"/>
      <c r="R53" s="40"/>
      <c r="S53" s="40"/>
      <c r="T53" s="40"/>
      <c r="U53" s="40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BY53" s="34"/>
      <c r="BZ53" s="34"/>
      <c r="CA53" s="34"/>
      <c r="CB53" s="34"/>
      <c r="CC53" s="34"/>
      <c r="CD53" s="34"/>
      <c r="CE53" s="40"/>
      <c r="CF53" s="39"/>
      <c r="CG53" s="39"/>
      <c r="CH53" s="40"/>
      <c r="CI53" s="39"/>
      <c r="CJ53" s="40"/>
      <c r="CK53" s="40"/>
      <c r="CL53" s="40"/>
      <c r="CM53" s="39"/>
      <c r="CN53" s="84"/>
      <c r="CO53" s="40"/>
      <c r="CP53" s="40"/>
      <c r="CQ53" s="34"/>
      <c r="CR53" s="34"/>
      <c r="CS53" s="34"/>
      <c r="CT53" s="52">
        <v>35</v>
      </c>
      <c r="CU53" s="52" t="str">
        <f>VLOOKUP(35,$DE$8:$DN$78,CV$8,TRUE)</f>
        <v>2[]-150x75x20x4.5 mm.</v>
      </c>
      <c r="CV53" s="34"/>
      <c r="CW53" s="34"/>
      <c r="CX53" s="41"/>
      <c r="CY53" s="146"/>
      <c r="CZ53" s="327"/>
      <c r="DA53" s="34"/>
      <c r="DB53" s="34"/>
      <c r="DC53" s="34"/>
      <c r="DD53" s="34"/>
      <c r="DE53" s="40">
        <v>46</v>
      </c>
      <c r="DF53" s="40" t="str">
        <f>'Steel Table'!C51</f>
        <v>WF-400X400x13x21 mm.</v>
      </c>
      <c r="DG53" s="34"/>
      <c r="DH53" s="34"/>
      <c r="DI53" s="34"/>
      <c r="DJ53" s="34"/>
      <c r="DK53" s="40"/>
      <c r="DL53" s="40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</row>
    <row r="54" spans="1:128" ht="15.75" customHeight="1">
      <c r="A54" s="34"/>
      <c r="B54" s="95"/>
      <c r="C54" s="52"/>
      <c r="D54" s="52"/>
      <c r="E54" s="52"/>
      <c r="F54" s="128"/>
      <c r="G54" s="128"/>
      <c r="H54" s="128"/>
      <c r="I54" s="129"/>
      <c r="J54" s="129"/>
      <c r="K54" s="129"/>
      <c r="L54" s="76"/>
      <c r="M54" s="39"/>
      <c r="N54" s="403"/>
      <c r="O54" s="403"/>
      <c r="P54" s="403"/>
      <c r="Q54" s="52"/>
      <c r="R54" s="52"/>
      <c r="S54" s="52"/>
      <c r="T54" s="52"/>
      <c r="U54" s="52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BY54" s="34"/>
      <c r="BZ54" s="34"/>
      <c r="CA54" s="34"/>
      <c r="CB54" s="34"/>
      <c r="CC54" s="34"/>
      <c r="CD54" s="34"/>
      <c r="CE54" s="40"/>
      <c r="CF54" s="39"/>
      <c r="CG54" s="39"/>
      <c r="CH54" s="40"/>
      <c r="CI54" s="39"/>
      <c r="CJ54" s="75"/>
      <c r="CK54" s="40"/>
      <c r="CL54" s="40"/>
      <c r="CM54" s="39"/>
      <c r="CN54" s="39"/>
      <c r="CO54" s="40"/>
      <c r="CP54" s="40"/>
      <c r="CQ54" s="34"/>
      <c r="CR54" s="34"/>
      <c r="CS54" s="34"/>
      <c r="CT54" s="52">
        <v>36</v>
      </c>
      <c r="CU54" s="52" t="str">
        <f>VLOOKUP(36,$DE$8:$DN$78,CV$8,TRUE)</f>
        <v>2[]-150x75x25x3.2 mm.</v>
      </c>
      <c r="CV54" s="34"/>
      <c r="CW54" s="34"/>
      <c r="CX54" s="41"/>
      <c r="CY54" s="146"/>
      <c r="CZ54" s="327"/>
      <c r="DA54" s="34"/>
      <c r="DB54" s="34"/>
      <c r="DC54" s="34"/>
      <c r="DD54" s="34"/>
      <c r="DE54" s="40">
        <v>47</v>
      </c>
      <c r="DF54" s="40" t="str">
        <f>'Steel Table'!C52</f>
        <v>WF-400X400x21x21 mm.</v>
      </c>
      <c r="DG54" s="34"/>
      <c r="DH54" s="34"/>
      <c r="DI54" s="34"/>
      <c r="DJ54" s="34"/>
      <c r="DK54" s="40"/>
      <c r="DL54" s="40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15.75" customHeight="1">
      <c r="A55" s="34"/>
      <c r="B55" s="34"/>
      <c r="C55" s="40"/>
      <c r="D55" s="40"/>
      <c r="E55" s="40"/>
      <c r="F55" s="40"/>
      <c r="G55" s="40"/>
      <c r="H55" s="40"/>
      <c r="I55" s="40"/>
      <c r="J55" s="40"/>
      <c r="K55" s="40"/>
      <c r="L55" s="39"/>
      <c r="M55" s="39"/>
      <c r="N55" s="403"/>
      <c r="O55" s="403"/>
      <c r="P55" s="403"/>
      <c r="Q55" s="52"/>
      <c r="R55" s="52"/>
      <c r="S55" s="40"/>
      <c r="T55" s="40"/>
      <c r="U55" s="52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BY55" s="34"/>
      <c r="BZ55" s="34"/>
      <c r="CA55" s="34"/>
      <c r="CB55" s="34"/>
      <c r="CC55" s="34"/>
      <c r="CD55" s="34"/>
      <c r="CE55" s="40"/>
      <c r="CF55" s="39"/>
      <c r="CG55" s="39"/>
      <c r="CH55" s="40"/>
      <c r="CI55" s="40"/>
      <c r="CJ55" s="40"/>
      <c r="CK55" s="40"/>
      <c r="CL55" s="40"/>
      <c r="CM55" s="39"/>
      <c r="CN55" s="88"/>
      <c r="CO55" s="40"/>
      <c r="CP55" s="40"/>
      <c r="CQ55" s="34"/>
      <c r="CR55" s="34"/>
      <c r="CS55" s="34"/>
      <c r="CT55" s="52">
        <v>37</v>
      </c>
      <c r="CU55" s="52" t="str">
        <f>VLOOKUP(37,$DE$8:$DN$78,CV$8,TRUE)</f>
        <v>2[]-150x75x25x4 mm.</v>
      </c>
      <c r="CV55" s="34"/>
      <c r="CW55" s="34"/>
      <c r="CX55" s="41"/>
      <c r="CY55" s="41"/>
      <c r="CZ55" s="143"/>
      <c r="DA55" s="34"/>
      <c r="DB55" s="34"/>
      <c r="DC55" s="34"/>
      <c r="DD55" s="34"/>
      <c r="DE55" s="40">
        <v>48</v>
      </c>
      <c r="DF55" s="40" t="str">
        <f>'Steel Table'!C53</f>
        <v>WF-400X400x18x28 mm.</v>
      </c>
      <c r="DG55" s="34"/>
      <c r="DH55" s="34"/>
      <c r="DI55" s="41"/>
      <c r="DJ55" s="143"/>
      <c r="DK55" s="40"/>
      <c r="DL55" s="40"/>
      <c r="DM55" s="34"/>
      <c r="DN55" s="34"/>
      <c r="DO55" s="34"/>
      <c r="DP55" s="41"/>
      <c r="DQ55" s="146"/>
      <c r="DR55" s="34"/>
      <c r="DS55" s="34"/>
      <c r="DT55" s="34"/>
      <c r="DU55" s="34"/>
      <c r="DV55" s="34"/>
      <c r="DW55" s="34"/>
      <c r="DX55" s="34"/>
    </row>
    <row r="56" spans="1:128" ht="15.75" customHeight="1">
      <c r="A56" s="34"/>
      <c r="B56" s="35"/>
      <c r="C56" s="52"/>
      <c r="D56" s="52"/>
      <c r="E56" s="52"/>
      <c r="F56" s="128"/>
      <c r="G56" s="128"/>
      <c r="H56" s="128"/>
      <c r="I56" s="129"/>
      <c r="J56" s="130"/>
      <c r="K56" s="130"/>
      <c r="L56" s="76"/>
      <c r="M56" s="131"/>
      <c r="N56" s="39"/>
      <c r="O56" s="63"/>
      <c r="P56" s="39"/>
      <c r="Q56" s="52"/>
      <c r="R56" s="63"/>
      <c r="S56" s="63"/>
      <c r="T56" s="63"/>
      <c r="U56" s="52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BY56" s="34"/>
      <c r="BZ56" s="34"/>
      <c r="CA56" s="34"/>
      <c r="CB56" s="34"/>
      <c r="CC56" s="34"/>
      <c r="CD56" s="34"/>
      <c r="CE56" s="40"/>
      <c r="CF56" s="39"/>
      <c r="CG56" s="39"/>
      <c r="CH56" s="40"/>
      <c r="CI56" s="40"/>
      <c r="CJ56" s="40"/>
      <c r="CK56" s="40"/>
      <c r="CL56" s="40"/>
      <c r="CM56" s="39"/>
      <c r="CN56" s="88"/>
      <c r="CO56" s="40"/>
      <c r="CP56" s="40"/>
      <c r="CQ56" s="34"/>
      <c r="CR56" s="34"/>
      <c r="CS56" s="34"/>
      <c r="CT56" s="52">
        <v>38</v>
      </c>
      <c r="CU56" s="52" t="str">
        <f>VLOOKUP(38,$DE$8:$DN$78,CV$8,TRUE)</f>
        <v>2[]-150x75x25x4.5 mm.</v>
      </c>
      <c r="CV56" s="34"/>
      <c r="CW56" s="34"/>
      <c r="CX56" s="41"/>
      <c r="CY56" s="41"/>
      <c r="CZ56" s="143"/>
      <c r="DA56" s="34"/>
      <c r="DB56" s="34"/>
      <c r="DC56" s="34"/>
      <c r="DD56" s="34"/>
      <c r="DE56" s="40">
        <v>49</v>
      </c>
      <c r="DF56" s="40" t="str">
        <f>'Steel Table'!C54</f>
        <v>WF-450X200x8x12 mm.</v>
      </c>
      <c r="DG56" s="34"/>
      <c r="DH56" s="34"/>
      <c r="DI56" s="41"/>
      <c r="DJ56" s="34"/>
      <c r="DK56" s="40"/>
      <c r="DL56" s="40"/>
      <c r="DM56" s="34"/>
      <c r="DN56" s="34"/>
      <c r="DO56" s="34"/>
      <c r="DP56" s="41"/>
      <c r="DQ56" s="146"/>
      <c r="DR56" s="34"/>
      <c r="DS56" s="34"/>
      <c r="DT56" s="34"/>
      <c r="DU56" s="34"/>
      <c r="DV56" s="34"/>
      <c r="DW56" s="34"/>
      <c r="DX56" s="34"/>
    </row>
    <row r="57" spans="1:128" ht="15.75" customHeight="1">
      <c r="A57" s="34"/>
      <c r="B57" s="52"/>
      <c r="C57" s="35"/>
      <c r="D57" s="35"/>
      <c r="E57" s="35"/>
      <c r="F57" s="35"/>
      <c r="G57" s="35"/>
      <c r="H57" s="35"/>
      <c r="I57" s="35"/>
      <c r="J57" s="396"/>
      <c r="K57" s="396"/>
      <c r="L57" s="396"/>
      <c r="M57" s="40"/>
      <c r="N57" s="396"/>
      <c r="O57" s="396"/>
      <c r="P57" s="396"/>
      <c r="Q57" s="52"/>
      <c r="R57" s="63"/>
      <c r="S57" s="63"/>
      <c r="T57" s="63"/>
      <c r="U57" s="39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BY57" s="34"/>
      <c r="BZ57" s="34"/>
      <c r="CA57" s="34"/>
      <c r="CB57" s="34"/>
      <c r="CC57" s="34"/>
      <c r="CD57" s="34"/>
      <c r="CE57" s="40"/>
      <c r="CF57" s="39"/>
      <c r="CG57" s="39"/>
      <c r="CH57" s="40"/>
      <c r="CI57" s="40"/>
      <c r="CJ57" s="40"/>
      <c r="CK57" s="40"/>
      <c r="CL57" s="40"/>
      <c r="CM57" s="39"/>
      <c r="CN57" s="39"/>
      <c r="CO57" s="40"/>
      <c r="CP57" s="40"/>
      <c r="CQ57" s="34"/>
      <c r="CR57" s="34"/>
      <c r="CS57" s="34"/>
      <c r="CT57" s="52">
        <v>39</v>
      </c>
      <c r="CU57" s="52" t="str">
        <f>VLOOKUP(39,$DE$8:$DN$78,CV$8,TRUE)</f>
        <v>2[]-200x75x20x3.2 mm.</v>
      </c>
      <c r="CV57" s="34"/>
      <c r="CW57" s="34"/>
      <c r="CX57" s="41"/>
      <c r="CY57" s="34"/>
      <c r="CZ57" s="34"/>
      <c r="DA57" s="34"/>
      <c r="DB57" s="34"/>
      <c r="DC57" s="34"/>
      <c r="DD57" s="34"/>
      <c r="DE57" s="40">
        <v>50</v>
      </c>
      <c r="DF57" s="40" t="str">
        <f>'Steel Table'!C55</f>
        <v>WF-450X200x9x14 mm.</v>
      </c>
      <c r="DG57" s="34"/>
      <c r="DH57" s="34"/>
      <c r="DI57" s="41"/>
      <c r="DJ57" s="143"/>
      <c r="DK57" s="40"/>
      <c r="DL57" s="40"/>
      <c r="DM57" s="34"/>
      <c r="DN57" s="34"/>
      <c r="DO57" s="34"/>
      <c r="DP57" s="41"/>
      <c r="DQ57" s="146"/>
      <c r="DR57" s="34"/>
      <c r="DS57" s="34"/>
      <c r="DT57" s="34"/>
      <c r="DU57" s="34"/>
      <c r="DV57" s="34"/>
      <c r="DW57" s="34"/>
      <c r="DX57" s="34"/>
    </row>
    <row r="58" spans="1:128" ht="15.75" customHeight="1">
      <c r="A58" s="34"/>
      <c r="B58" s="34"/>
      <c r="C58" s="95"/>
      <c r="D58" s="52"/>
      <c r="E58" s="52"/>
      <c r="F58" s="128"/>
      <c r="G58" s="128"/>
      <c r="H58" s="128"/>
      <c r="I58" s="321"/>
      <c r="J58" s="401"/>
      <c r="K58" s="402"/>
      <c r="L58" s="402"/>
      <c r="M58" s="39"/>
      <c r="N58" s="403"/>
      <c r="O58" s="396"/>
      <c r="P58" s="396"/>
      <c r="Q58" s="396"/>
      <c r="R58" s="396"/>
      <c r="S58" s="134"/>
      <c r="T58" s="134"/>
      <c r="U58" s="35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BY58" s="34"/>
      <c r="BZ58" s="34"/>
      <c r="CA58" s="34"/>
      <c r="CB58" s="34"/>
      <c r="CC58" s="34"/>
      <c r="CD58" s="34"/>
      <c r="CE58" s="40"/>
      <c r="CF58" s="39"/>
      <c r="CG58" s="39"/>
      <c r="CH58" s="92"/>
      <c r="CI58" s="40"/>
      <c r="CJ58" s="40"/>
      <c r="CK58" s="40"/>
      <c r="CL58" s="40"/>
      <c r="CM58" s="40"/>
      <c r="CN58" s="40"/>
      <c r="CO58" s="40"/>
      <c r="CP58" s="40"/>
      <c r="CQ58" s="34"/>
      <c r="CR58" s="34"/>
      <c r="CS58" s="34"/>
      <c r="CT58" s="52">
        <v>40</v>
      </c>
      <c r="CU58" s="52" t="str">
        <f>VLOOKUP(40,$DE$8:$DN$78,CV$8,TRUE)</f>
        <v>2[]-200x75x20x4 mm.</v>
      </c>
      <c r="CV58" s="34"/>
      <c r="CW58" s="34"/>
      <c r="CX58" s="41"/>
      <c r="CY58" s="34"/>
      <c r="CZ58" s="34"/>
      <c r="DA58" s="34"/>
      <c r="DB58" s="34"/>
      <c r="DC58" s="34"/>
      <c r="DD58" s="34"/>
      <c r="DE58" s="40">
        <v>51</v>
      </c>
      <c r="DF58" s="40" t="str">
        <f>'Steel Table'!C56</f>
        <v>WF-450X200x10x17 mm.</v>
      </c>
      <c r="DG58" s="34"/>
      <c r="DH58" s="34"/>
      <c r="DI58" s="41"/>
      <c r="DJ58" s="328"/>
      <c r="DK58" s="40"/>
      <c r="DL58" s="40"/>
      <c r="DM58" s="34"/>
      <c r="DN58" s="34"/>
      <c r="DO58" s="34"/>
      <c r="DP58" s="41"/>
      <c r="DQ58" s="146"/>
      <c r="DR58" s="34"/>
      <c r="DS58" s="34"/>
      <c r="DT58" s="34"/>
      <c r="DU58" s="34"/>
      <c r="DV58" s="34"/>
      <c r="DW58" s="34"/>
      <c r="DX58" s="34"/>
    </row>
    <row r="59" spans="1:128" ht="15.75" customHeight="1">
      <c r="A59" s="34"/>
      <c r="B59" s="52"/>
      <c r="C59" s="52"/>
      <c r="D59" s="52"/>
      <c r="E59" s="52"/>
      <c r="F59" s="128"/>
      <c r="G59" s="128"/>
      <c r="H59" s="128"/>
      <c r="I59" s="129"/>
      <c r="J59" s="129"/>
      <c r="K59" s="129"/>
      <c r="L59" s="76"/>
      <c r="M59" s="131"/>
      <c r="N59" s="131"/>
      <c r="O59" s="131"/>
      <c r="P59" s="40"/>
      <c r="Q59" s="40"/>
      <c r="R59" s="34"/>
      <c r="S59" s="34"/>
      <c r="T59" s="34"/>
      <c r="U59" s="35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BY59" s="34"/>
      <c r="BZ59" s="34"/>
      <c r="CA59" s="34"/>
      <c r="CB59" s="34"/>
      <c r="CC59" s="34"/>
      <c r="CD59" s="34"/>
      <c r="CE59" s="40"/>
      <c r="CF59" s="39"/>
      <c r="CG59" s="39"/>
      <c r="CH59" s="92"/>
      <c r="CI59" s="40"/>
      <c r="CJ59" s="40"/>
      <c r="CK59" s="40"/>
      <c r="CL59" s="40"/>
      <c r="CM59" s="94"/>
      <c r="CN59" s="94"/>
      <c r="CO59" s="117"/>
      <c r="CP59" s="40"/>
      <c r="CQ59" s="34"/>
      <c r="CR59" s="34"/>
      <c r="CS59" s="34"/>
      <c r="CT59" s="52">
        <v>41</v>
      </c>
      <c r="CU59" s="52" t="str">
        <f>VLOOKUP(41,$DE$8:$DN$78,CV$8,TRUE)</f>
        <v>2[]-200x75x20x4.5 mm.</v>
      </c>
      <c r="CV59" s="34"/>
      <c r="CW59" s="34"/>
      <c r="CX59" s="41"/>
      <c r="CY59" s="34"/>
      <c r="CZ59" s="34"/>
      <c r="DA59" s="34"/>
      <c r="DB59" s="41"/>
      <c r="DC59" s="34"/>
      <c r="DD59" s="34"/>
      <c r="DE59" s="40">
        <v>52</v>
      </c>
      <c r="DF59" s="40" t="str">
        <f>'Steel Table'!C57</f>
        <v>WF-450X300x10x17 mm.</v>
      </c>
      <c r="DG59" s="34"/>
      <c r="DH59" s="34"/>
      <c r="DI59" s="41"/>
      <c r="DJ59" s="34"/>
      <c r="DK59" s="40"/>
      <c r="DL59" s="40"/>
      <c r="DM59" s="34"/>
      <c r="DN59" s="34"/>
      <c r="DO59" s="34"/>
      <c r="DP59" s="41"/>
      <c r="DQ59" s="147"/>
      <c r="DR59" s="34"/>
      <c r="DS59" s="34"/>
      <c r="DT59" s="34"/>
      <c r="DU59" s="34"/>
      <c r="DV59" s="34"/>
      <c r="DW59" s="34"/>
      <c r="DX59" s="34"/>
    </row>
    <row r="60" spans="1:128" ht="15.75" customHeight="1">
      <c r="A60" s="34"/>
      <c r="B60" s="35"/>
      <c r="C60" s="52"/>
      <c r="D60" s="52"/>
      <c r="E60" s="52"/>
      <c r="F60" s="128"/>
      <c r="G60" s="128"/>
      <c r="H60" s="128"/>
      <c r="I60" s="129"/>
      <c r="J60" s="129"/>
      <c r="K60" s="129"/>
      <c r="L60" s="76"/>
      <c r="M60" s="131"/>
      <c r="N60" s="131"/>
      <c r="O60" s="131"/>
      <c r="P60" s="40"/>
      <c r="Q60" s="40"/>
      <c r="R60" s="40"/>
      <c r="S60" s="40"/>
      <c r="T60" s="40"/>
      <c r="U60" s="35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BY60" s="34"/>
      <c r="BZ60" s="34"/>
      <c r="CA60" s="34"/>
      <c r="CB60" s="34"/>
      <c r="CC60" s="34"/>
      <c r="CD60" s="34"/>
      <c r="CE60" s="40"/>
      <c r="CF60" s="39"/>
      <c r="CG60" s="39"/>
      <c r="CH60" s="92"/>
      <c r="CI60" s="40"/>
      <c r="CJ60" s="40"/>
      <c r="CK60" s="40"/>
      <c r="CL60" s="40"/>
      <c r="CM60" s="94"/>
      <c r="CN60" s="94"/>
      <c r="CO60" s="40"/>
      <c r="CP60" s="101"/>
      <c r="CQ60" s="34"/>
      <c r="CR60" s="34"/>
      <c r="CS60" s="34"/>
      <c r="CT60" s="52">
        <v>42</v>
      </c>
      <c r="CU60" s="52" t="str">
        <f>VLOOKUP(42,$DE$8:$DN$78,CV$8,TRUE)</f>
        <v>2[]-200x75x25x3.2 mm.</v>
      </c>
      <c r="CV60" s="34"/>
      <c r="CW60" s="34"/>
      <c r="CX60" s="41"/>
      <c r="CY60" s="34"/>
      <c r="CZ60" s="34"/>
      <c r="DA60" s="34"/>
      <c r="DB60" s="34"/>
      <c r="DC60" s="34"/>
      <c r="DD60" s="34"/>
      <c r="DE60" s="40">
        <v>53</v>
      </c>
      <c r="DF60" s="40" t="str">
        <f>'Steel Table'!C58</f>
        <v>WF-450X300x11x18 mm.</v>
      </c>
      <c r="DG60" s="34"/>
      <c r="DH60" s="34"/>
      <c r="DI60" s="41"/>
      <c r="DJ60" s="34"/>
      <c r="DK60" s="40"/>
      <c r="DL60" s="40"/>
      <c r="DM60" s="34"/>
      <c r="DN60" s="34"/>
      <c r="DO60" s="34"/>
      <c r="DP60" s="41"/>
      <c r="DQ60" s="147"/>
      <c r="DR60" s="34"/>
      <c r="DS60" s="34"/>
      <c r="DT60" s="34"/>
      <c r="DU60" s="34"/>
      <c r="DV60" s="34"/>
      <c r="DW60" s="34"/>
      <c r="DX60" s="34"/>
    </row>
    <row r="61" spans="4:128" ht="15.75" customHeight="1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4"/>
      <c r="T61" s="323"/>
      <c r="U61" s="95"/>
      <c r="BY61" s="34"/>
      <c r="BZ61" s="34"/>
      <c r="CA61" s="34"/>
      <c r="CB61" s="34"/>
      <c r="CC61" s="34"/>
      <c r="CD61" s="34"/>
      <c r="CE61" s="40"/>
      <c r="CF61" s="39"/>
      <c r="CG61" s="39"/>
      <c r="CH61" s="92"/>
      <c r="CI61" s="40"/>
      <c r="CJ61" s="40"/>
      <c r="CK61" s="40"/>
      <c r="CL61" s="40"/>
      <c r="CM61" s="94"/>
      <c r="CN61" s="94"/>
      <c r="CO61" s="40"/>
      <c r="CP61" s="101"/>
      <c r="CQ61" s="34"/>
      <c r="CR61" s="34"/>
      <c r="CS61" s="34"/>
      <c r="CT61" s="52">
        <v>43</v>
      </c>
      <c r="CU61" s="52" t="str">
        <f>VLOOKUP(43,$DE$8:$DN$78,CV$8,TRUE)</f>
        <v>2[]-200x75x25x4 mm.</v>
      </c>
      <c r="CV61" s="34"/>
      <c r="CW61" s="34"/>
      <c r="CX61" s="41"/>
      <c r="CY61" s="34"/>
      <c r="CZ61" s="34"/>
      <c r="DA61" s="34"/>
      <c r="DB61" s="41"/>
      <c r="DC61" s="34"/>
      <c r="DD61" s="34"/>
      <c r="DE61" s="40">
        <v>54</v>
      </c>
      <c r="DF61" s="40" t="str">
        <f>'Steel Table'!C59</f>
        <v>WF-450X300x13x21 mm.</v>
      </c>
      <c r="DG61" s="34"/>
      <c r="DH61" s="34"/>
      <c r="DI61" s="41"/>
      <c r="DJ61" s="143"/>
      <c r="DK61" s="40"/>
      <c r="DL61" s="40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77:128" ht="15.75" customHeight="1">
      <c r="BY62" s="34"/>
      <c r="BZ62" s="34"/>
      <c r="CA62" s="34"/>
      <c r="CB62" s="34"/>
      <c r="CC62" s="34"/>
      <c r="CD62" s="34"/>
      <c r="CE62" s="40"/>
      <c r="CF62" s="39"/>
      <c r="CG62" s="39"/>
      <c r="CH62" s="92"/>
      <c r="CI62" s="40"/>
      <c r="CJ62" s="40"/>
      <c r="CK62" s="40"/>
      <c r="CL62" s="40"/>
      <c r="CM62" s="94"/>
      <c r="CN62" s="94"/>
      <c r="CO62" s="40"/>
      <c r="CP62" s="40"/>
      <c r="CQ62" s="34"/>
      <c r="CR62" s="34"/>
      <c r="CS62" s="34"/>
      <c r="CT62" s="52">
        <v>44</v>
      </c>
      <c r="CU62" s="52" t="str">
        <f>VLOOKUP(44,$DE$8:$DN$78,CV$8,TRUE)</f>
        <v>2[]-200x75x25x4.5 mm.</v>
      </c>
      <c r="CV62" s="34"/>
      <c r="CW62" s="34"/>
      <c r="CX62" s="41"/>
      <c r="CY62" s="34"/>
      <c r="CZ62" s="34"/>
      <c r="DA62" s="34"/>
      <c r="DB62" s="34"/>
      <c r="DC62" s="34"/>
      <c r="DD62" s="34"/>
      <c r="DE62" s="40">
        <v>55</v>
      </c>
      <c r="DF62" s="40" t="str">
        <f>'Steel Table'!C60</f>
        <v>WF-500X200x9x14 mm.</v>
      </c>
      <c r="DG62" s="34"/>
      <c r="DH62" s="34"/>
      <c r="DI62" s="41"/>
      <c r="DJ62" s="143"/>
      <c r="DK62" s="40"/>
      <c r="DL62" s="40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77:128" ht="15.75" customHeight="1">
      <c r="BY63" s="34"/>
      <c r="BZ63" s="34"/>
      <c r="CA63" s="34"/>
      <c r="CB63" s="34"/>
      <c r="CC63" s="34"/>
      <c r="CD63" s="34"/>
      <c r="CE63" s="40"/>
      <c r="CF63" s="39"/>
      <c r="CG63" s="39"/>
      <c r="CH63" s="40"/>
      <c r="CI63" s="40"/>
      <c r="CJ63" s="40"/>
      <c r="CK63" s="40"/>
      <c r="CL63" s="40"/>
      <c r="CM63" s="40"/>
      <c r="CN63" s="40"/>
      <c r="CO63" s="40"/>
      <c r="CP63" s="40"/>
      <c r="CQ63" s="34"/>
      <c r="CR63" s="34"/>
      <c r="CS63" s="34"/>
      <c r="CT63" s="52">
        <v>45</v>
      </c>
      <c r="CU63" s="52" t="str">
        <f>VLOOKUP(45,$DE$8:$DN$78,CV$8,TRUE)</f>
        <v>2[]-250x75x25x4.5 mm.</v>
      </c>
      <c r="CV63" s="34"/>
      <c r="CW63" s="34"/>
      <c r="CX63" s="41"/>
      <c r="CY63" s="34"/>
      <c r="CZ63" s="34"/>
      <c r="DA63" s="34"/>
      <c r="DB63" s="34"/>
      <c r="DC63" s="34"/>
      <c r="DD63" s="34"/>
      <c r="DE63" s="40">
        <v>56</v>
      </c>
      <c r="DF63" s="40" t="str">
        <f>'Steel Table'!C61</f>
        <v>WF-500X200x10x16 mm.</v>
      </c>
      <c r="DG63" s="34"/>
      <c r="DH63" s="34"/>
      <c r="DI63" s="41"/>
      <c r="DJ63" s="34"/>
      <c r="DK63" s="40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77:128" ht="15.75" customHeight="1">
      <c r="BY64" s="34"/>
      <c r="BZ64" s="34"/>
      <c r="CA64" s="34"/>
      <c r="CB64" s="34"/>
      <c r="CC64" s="34"/>
      <c r="CD64" s="34"/>
      <c r="CE64" s="40"/>
      <c r="CF64" s="39"/>
      <c r="CG64" s="39"/>
      <c r="CH64" s="40"/>
      <c r="CI64" s="40"/>
      <c r="CJ64" s="40"/>
      <c r="CK64" s="40"/>
      <c r="CL64" s="40"/>
      <c r="CM64" s="40"/>
      <c r="CN64" s="40"/>
      <c r="CO64" s="40"/>
      <c r="CP64" s="40"/>
      <c r="CQ64" s="34"/>
      <c r="CR64" s="34"/>
      <c r="CS64" s="34"/>
      <c r="CT64" s="52">
        <v>46</v>
      </c>
      <c r="CU64" s="52">
        <f>VLOOKUP(46,$DE$8:$DN$78,CV$8,TRUE)</f>
        <v>0</v>
      </c>
      <c r="CV64" s="34"/>
      <c r="CW64" s="34"/>
      <c r="CX64" s="41"/>
      <c r="CY64" s="34"/>
      <c r="CZ64" s="34"/>
      <c r="DA64" s="34"/>
      <c r="DB64" s="34"/>
      <c r="DC64" s="34"/>
      <c r="DD64" s="34"/>
      <c r="DE64" s="40">
        <v>57</v>
      </c>
      <c r="DF64" s="40" t="str">
        <f>'Steel Table'!C62</f>
        <v>WF-500X200x11x19 mm.</v>
      </c>
      <c r="DG64" s="34"/>
      <c r="DH64" s="34"/>
      <c r="DI64" s="41"/>
      <c r="DJ64" s="328"/>
      <c r="DK64" s="40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77:128" ht="15.75" customHeight="1">
      <c r="BY65" s="34"/>
      <c r="BZ65" s="34"/>
      <c r="CA65" s="34"/>
      <c r="CB65" s="34"/>
      <c r="CC65" s="34"/>
      <c r="CD65" s="34"/>
      <c r="CE65" s="40"/>
      <c r="CF65" s="39"/>
      <c r="CG65" s="39"/>
      <c r="CH65" s="40"/>
      <c r="CI65" s="40"/>
      <c r="CJ65" s="40"/>
      <c r="CK65" s="40"/>
      <c r="CL65" s="40"/>
      <c r="CM65" s="40"/>
      <c r="CN65" s="40"/>
      <c r="CO65" s="40"/>
      <c r="CP65" s="40"/>
      <c r="CQ65" s="34"/>
      <c r="CR65" s="34"/>
      <c r="CS65" s="34"/>
      <c r="CT65" s="52">
        <v>47</v>
      </c>
      <c r="CU65" s="52">
        <f>VLOOKUP(47,$DE$8:$DN$78,CV$8,TRUE)</f>
        <v>0</v>
      </c>
      <c r="CV65" s="34"/>
      <c r="CW65" s="34"/>
      <c r="CX65" s="41"/>
      <c r="CY65" s="34"/>
      <c r="CZ65" s="34"/>
      <c r="DA65" s="34"/>
      <c r="DB65" s="34"/>
      <c r="DC65" s="34"/>
      <c r="DD65" s="34"/>
      <c r="DE65" s="40">
        <v>58</v>
      </c>
      <c r="DF65" s="40" t="str">
        <f>'Steel Table'!C63</f>
        <v>WF-500X300x11x15 mm.</v>
      </c>
      <c r="DG65" s="34"/>
      <c r="DH65" s="34"/>
      <c r="DI65" s="41"/>
      <c r="DJ65" s="143"/>
      <c r="DK65" s="40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77:128" ht="15.75" customHeight="1">
      <c r="BY66" s="34"/>
      <c r="BZ66" s="34"/>
      <c r="CA66" s="34"/>
      <c r="CB66" s="34"/>
      <c r="CC66" s="34"/>
      <c r="CD66" s="34"/>
      <c r="CE66" s="40"/>
      <c r="CF66" s="39"/>
      <c r="CG66" s="39"/>
      <c r="CH66" s="40"/>
      <c r="CI66" s="40"/>
      <c r="CJ66" s="40"/>
      <c r="CK66" s="40"/>
      <c r="CL66" s="40"/>
      <c r="CM66" s="40"/>
      <c r="CN66" s="40"/>
      <c r="CO66" s="40"/>
      <c r="CP66" s="40"/>
      <c r="CQ66" s="34"/>
      <c r="CR66" s="34"/>
      <c r="CS66" s="34"/>
      <c r="CT66" s="52">
        <v>48</v>
      </c>
      <c r="CU66" s="52">
        <f>VLOOKUP(48,$DE$8:$DN$78,CV$8,TRUE)</f>
        <v>0</v>
      </c>
      <c r="CV66" s="34"/>
      <c r="CW66" s="34"/>
      <c r="CX66" s="34"/>
      <c r="CY66" s="34"/>
      <c r="CZ66" s="34"/>
      <c r="DA66" s="34"/>
      <c r="DB66" s="34"/>
      <c r="DC66" s="34"/>
      <c r="DD66" s="34"/>
      <c r="DE66" s="40">
        <v>59</v>
      </c>
      <c r="DF66" s="40" t="str">
        <f>'Steel Table'!C64</f>
        <v>WF-500X300x11x18 mm.</v>
      </c>
      <c r="DG66" s="34"/>
      <c r="DH66" s="34"/>
      <c r="DI66" s="41"/>
      <c r="DJ66" s="34"/>
      <c r="DK66" s="40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77:128" ht="15.75" customHeight="1">
      <c r="BY67" s="34"/>
      <c r="BZ67" s="34"/>
      <c r="CA67" s="34"/>
      <c r="CB67" s="34"/>
      <c r="CC67" s="34"/>
      <c r="CD67" s="34"/>
      <c r="CE67" s="40"/>
      <c r="CF67" s="39"/>
      <c r="CG67" s="39"/>
      <c r="CH67" s="40"/>
      <c r="CI67" s="40"/>
      <c r="CJ67" s="40"/>
      <c r="CK67" s="40"/>
      <c r="CL67" s="40"/>
      <c r="CM67" s="40"/>
      <c r="CN67" s="40"/>
      <c r="CO67" s="40"/>
      <c r="CP67" s="40"/>
      <c r="CQ67" s="34"/>
      <c r="CR67" s="34"/>
      <c r="CS67" s="34"/>
      <c r="CT67" s="52">
        <v>49</v>
      </c>
      <c r="CU67" s="52">
        <f>VLOOKUP(49,$DE$8:$DN$78,CV$8,TRUE)</f>
        <v>0</v>
      </c>
      <c r="CV67" s="34"/>
      <c r="CW67" s="34"/>
      <c r="CX67" s="34"/>
      <c r="CY67" s="34"/>
      <c r="CZ67" s="34"/>
      <c r="DA67" s="34"/>
      <c r="DB67" s="34"/>
      <c r="DC67" s="34"/>
      <c r="DD67" s="34"/>
      <c r="DE67" s="40">
        <v>60</v>
      </c>
      <c r="DF67" s="40" t="str">
        <f>'Steel Table'!C65</f>
        <v>WF-500X300x13x21 mm.</v>
      </c>
      <c r="DG67" s="34"/>
      <c r="DH67" s="34"/>
      <c r="DI67" s="41"/>
      <c r="DJ67" s="34"/>
      <c r="DK67" s="40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77:128" ht="15.75" customHeight="1">
      <c r="BY68" s="34"/>
      <c r="BZ68" s="34"/>
      <c r="CA68" s="34"/>
      <c r="CB68" s="34"/>
      <c r="CC68" s="34"/>
      <c r="CD68" s="34"/>
      <c r="CE68" s="40"/>
      <c r="CF68" s="39"/>
      <c r="CG68" s="39"/>
      <c r="CH68" s="40"/>
      <c r="CI68" s="40"/>
      <c r="CJ68" s="40"/>
      <c r="CK68" s="40"/>
      <c r="CL68" s="40"/>
      <c r="CM68" s="40"/>
      <c r="CN68" s="66"/>
      <c r="CO68" s="40"/>
      <c r="CP68" s="40"/>
      <c r="CQ68" s="34"/>
      <c r="CR68" s="34"/>
      <c r="CS68" s="34"/>
      <c r="CT68" s="52">
        <v>50</v>
      </c>
      <c r="CU68" s="52">
        <f>VLOOKUP(50,$DE$8:$DN$78,CV$8,TRUE)</f>
        <v>0</v>
      </c>
      <c r="CV68" s="34"/>
      <c r="CW68" s="34"/>
      <c r="CX68" s="34"/>
      <c r="CY68" s="34"/>
      <c r="CZ68" s="34"/>
      <c r="DA68" s="34"/>
      <c r="DB68" s="34"/>
      <c r="DC68" s="34"/>
      <c r="DD68" s="34"/>
      <c r="DE68" s="40">
        <v>61</v>
      </c>
      <c r="DF68" s="40" t="str">
        <f>'Steel Table'!C66</f>
        <v>WF-600X200x10x15 mm.</v>
      </c>
      <c r="DG68" s="34"/>
      <c r="DH68" s="34"/>
      <c r="DI68" s="41"/>
      <c r="DJ68" s="34"/>
      <c r="DK68" s="40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77:128" ht="15.75" customHeight="1">
      <c r="BY69" s="34"/>
      <c r="BZ69" s="34"/>
      <c r="CA69" s="34"/>
      <c r="CB69" s="34"/>
      <c r="CC69" s="34"/>
      <c r="CD69" s="34"/>
      <c r="CE69" s="40"/>
      <c r="CF69" s="39"/>
      <c r="CG69" s="39"/>
      <c r="CH69" s="40"/>
      <c r="CI69" s="40"/>
      <c r="CJ69" s="40"/>
      <c r="CK69" s="40"/>
      <c r="CL69" s="40"/>
      <c r="CM69" s="40"/>
      <c r="CN69" s="117"/>
      <c r="CO69" s="40"/>
      <c r="CP69" s="40"/>
      <c r="CQ69" s="34"/>
      <c r="CR69" s="34"/>
      <c r="CS69" s="34"/>
      <c r="CT69" s="52">
        <v>51</v>
      </c>
      <c r="CU69" s="52">
        <f>VLOOKUP(51,$DE$8:$DN$78,CV$8,TRUE)</f>
        <v>0</v>
      </c>
      <c r="CV69" s="34"/>
      <c r="CW69" s="34"/>
      <c r="CX69" s="34"/>
      <c r="CY69" s="34"/>
      <c r="CZ69" s="34"/>
      <c r="DA69" s="34"/>
      <c r="DB69" s="34"/>
      <c r="DC69" s="34"/>
      <c r="DD69" s="34"/>
      <c r="DE69" s="40">
        <v>62</v>
      </c>
      <c r="DF69" s="40" t="str">
        <f>'Steel Table'!C67</f>
        <v>WF-600X200x11x17 mm.</v>
      </c>
      <c r="DG69" s="34"/>
      <c r="DH69" s="34"/>
      <c r="DI69" s="41"/>
      <c r="DJ69" s="147"/>
      <c r="DK69" s="40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77:128" ht="15.75" customHeight="1">
      <c r="BY70" s="34"/>
      <c r="BZ70" s="34"/>
      <c r="CA70" s="34"/>
      <c r="CB70" s="34"/>
      <c r="CC70" s="34"/>
      <c r="CD70" s="34"/>
      <c r="CE70" s="40"/>
      <c r="CF70" s="39"/>
      <c r="CG70" s="39"/>
      <c r="CH70" s="40"/>
      <c r="CI70" s="40"/>
      <c r="CJ70" s="40"/>
      <c r="CK70" s="40"/>
      <c r="CL70" s="40"/>
      <c r="CM70" s="40"/>
      <c r="CN70" s="40"/>
      <c r="CO70" s="40"/>
      <c r="CP70" s="40"/>
      <c r="CQ70" s="34"/>
      <c r="CR70" s="34"/>
      <c r="CS70" s="34"/>
      <c r="CT70" s="52">
        <v>52</v>
      </c>
      <c r="CU70" s="52">
        <f>VLOOKUP(52,$DE$8:$DN$78,CV$8,TRUE)</f>
        <v>0</v>
      </c>
      <c r="CV70" s="34"/>
      <c r="CW70" s="34"/>
      <c r="CX70" s="34"/>
      <c r="CY70" s="34"/>
      <c r="CZ70" s="34"/>
      <c r="DA70" s="34"/>
      <c r="DB70" s="34"/>
      <c r="DC70" s="34"/>
      <c r="DD70" s="34"/>
      <c r="DE70" s="40">
        <v>63</v>
      </c>
      <c r="DF70" s="40" t="str">
        <f>'Steel Table'!C68</f>
        <v>WF-600X200x12x20 mm.</v>
      </c>
      <c r="DG70" s="34"/>
      <c r="DH70" s="34"/>
      <c r="DI70" s="41"/>
      <c r="DJ70" s="34"/>
      <c r="DK70" s="40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77:128" ht="15.75" customHeight="1">
      <c r="BY71" s="34"/>
      <c r="BZ71" s="34"/>
      <c r="CA71" s="34"/>
      <c r="CB71" s="34"/>
      <c r="CC71" s="34"/>
      <c r="CD71" s="34"/>
      <c r="CE71" s="40"/>
      <c r="CF71" s="39"/>
      <c r="CG71" s="39"/>
      <c r="CH71" s="40"/>
      <c r="CI71" s="40"/>
      <c r="CJ71" s="40"/>
      <c r="CK71" s="40"/>
      <c r="CL71" s="40"/>
      <c r="CM71" s="40"/>
      <c r="CN71" s="40"/>
      <c r="CO71" s="40"/>
      <c r="CP71" s="40"/>
      <c r="CQ71" s="34"/>
      <c r="CR71" s="34"/>
      <c r="CS71" s="34"/>
      <c r="CT71" s="52">
        <v>53</v>
      </c>
      <c r="CU71" s="52">
        <f>VLOOKUP(53,$DE$8:$DN$78,CV$8,TRUE)</f>
        <v>0</v>
      </c>
      <c r="CV71" s="34"/>
      <c r="CW71" s="34"/>
      <c r="CX71" s="34"/>
      <c r="CY71" s="34"/>
      <c r="CZ71" s="34"/>
      <c r="DA71" s="34"/>
      <c r="DB71" s="34"/>
      <c r="DC71" s="34"/>
      <c r="DD71" s="34"/>
      <c r="DE71" s="40">
        <v>64</v>
      </c>
      <c r="DF71" s="40" t="str">
        <f>'Steel Table'!C69</f>
        <v>WF-600X200x13x23 mm.</v>
      </c>
      <c r="DG71" s="34"/>
      <c r="DH71" s="34"/>
      <c r="DI71" s="41"/>
      <c r="DJ71" s="328"/>
      <c r="DK71" s="40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</row>
    <row r="72" spans="77:128" ht="15.75" customHeight="1">
      <c r="BY72" s="34"/>
      <c r="BZ72" s="34"/>
      <c r="CA72" s="34"/>
      <c r="CB72" s="34"/>
      <c r="CC72" s="34"/>
      <c r="CD72" s="34"/>
      <c r="CE72" s="40"/>
      <c r="CF72" s="39"/>
      <c r="CG72" s="39"/>
      <c r="CH72" s="40"/>
      <c r="CI72" s="40"/>
      <c r="CJ72" s="40"/>
      <c r="CK72" s="40"/>
      <c r="CL72" s="40"/>
      <c r="CM72" s="40"/>
      <c r="CN72" s="40"/>
      <c r="CO72" s="40"/>
      <c r="CP72" s="40"/>
      <c r="CQ72" s="34"/>
      <c r="CR72" s="34"/>
      <c r="CS72" s="34"/>
      <c r="CT72" s="52">
        <v>54</v>
      </c>
      <c r="CU72" s="52">
        <f>VLOOKUP(54,$DE$8:$DN$78,CV$8,TRUE)</f>
        <v>0</v>
      </c>
      <c r="CV72" s="34"/>
      <c r="CW72" s="34"/>
      <c r="CX72" s="34"/>
      <c r="CY72" s="34"/>
      <c r="CZ72" s="34"/>
      <c r="DA72" s="34"/>
      <c r="DB72" s="34"/>
      <c r="DC72" s="34"/>
      <c r="DD72" s="34"/>
      <c r="DE72" s="40">
        <v>65</v>
      </c>
      <c r="DF72" s="40" t="str">
        <f>'Steel Table'!C70</f>
        <v>WF-600X300x12x17 mm.</v>
      </c>
      <c r="DG72" s="34"/>
      <c r="DH72" s="34"/>
      <c r="DI72" s="41"/>
      <c r="DJ72" s="329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</row>
    <row r="73" spans="77:128" ht="15.75" customHeight="1">
      <c r="BY73" s="34"/>
      <c r="BZ73" s="34"/>
      <c r="CA73" s="34"/>
      <c r="CB73" s="34"/>
      <c r="CC73" s="34"/>
      <c r="CD73" s="34"/>
      <c r="CE73" s="40"/>
      <c r="CF73" s="39"/>
      <c r="CG73" s="39"/>
      <c r="CH73" s="40"/>
      <c r="CI73" s="40"/>
      <c r="CJ73" s="40"/>
      <c r="CK73" s="40"/>
      <c r="CL73" s="40"/>
      <c r="CM73" s="40"/>
      <c r="CN73" s="40"/>
      <c r="CO73" s="40"/>
      <c r="CP73" s="40"/>
      <c r="CQ73" s="34"/>
      <c r="CR73" s="34"/>
      <c r="CS73" s="34"/>
      <c r="CT73" s="52">
        <v>55</v>
      </c>
      <c r="CU73" s="52">
        <f>VLOOKUP(55,$DE$8:$DN$78,CV$8,TRUE)</f>
        <v>0</v>
      </c>
      <c r="CV73" s="34"/>
      <c r="CW73" s="34"/>
      <c r="CX73" s="34"/>
      <c r="CY73" s="34"/>
      <c r="CZ73" s="34"/>
      <c r="DA73" s="34"/>
      <c r="DB73" s="34"/>
      <c r="DC73" s="34"/>
      <c r="DD73" s="34"/>
      <c r="DE73" s="40">
        <v>66</v>
      </c>
      <c r="DF73" s="40" t="str">
        <f>'Steel Table'!C71</f>
        <v>WF-600X300x12x20 mm.</v>
      </c>
      <c r="DG73" s="34"/>
      <c r="DH73" s="34"/>
      <c r="DI73" s="41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</row>
    <row r="74" spans="77:128" ht="15.75" customHeight="1">
      <c r="BY74" s="34"/>
      <c r="BZ74" s="34"/>
      <c r="CA74" s="34"/>
      <c r="CB74" s="34"/>
      <c r="CC74" s="34"/>
      <c r="CD74" s="34"/>
      <c r="CE74" s="40"/>
      <c r="CF74" s="39"/>
      <c r="CG74" s="39"/>
      <c r="CH74" s="40"/>
      <c r="CI74" s="40"/>
      <c r="CJ74" s="40"/>
      <c r="CK74" s="40"/>
      <c r="CL74" s="40"/>
      <c r="CM74" s="40"/>
      <c r="CN74" s="40"/>
      <c r="CO74" s="40"/>
      <c r="CP74" s="40"/>
      <c r="CQ74" s="34"/>
      <c r="CR74" s="34"/>
      <c r="CS74" s="34"/>
      <c r="CT74" s="52">
        <v>56</v>
      </c>
      <c r="CU74" s="52">
        <f>VLOOKUP(56,$DE$8:$DN$78,CV$8,TRUE)</f>
        <v>0</v>
      </c>
      <c r="CV74" s="34"/>
      <c r="CW74" s="34"/>
      <c r="CX74" s="34"/>
      <c r="CY74" s="34"/>
      <c r="CZ74" s="34"/>
      <c r="DA74" s="34"/>
      <c r="DB74" s="34"/>
      <c r="DC74" s="34"/>
      <c r="DD74" s="34"/>
      <c r="DE74" s="40">
        <v>67</v>
      </c>
      <c r="DF74" s="40" t="str">
        <f>'Steel Table'!C72</f>
        <v>WF-600X300x14x23 mm.</v>
      </c>
      <c r="DG74" s="34"/>
      <c r="DH74" s="34"/>
      <c r="DI74" s="41"/>
      <c r="DJ74" s="328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</row>
    <row r="75" spans="77:128" ht="15.75" customHeight="1">
      <c r="BY75" s="34"/>
      <c r="BZ75" s="34"/>
      <c r="CA75" s="34"/>
      <c r="CB75" s="34"/>
      <c r="CC75" s="34"/>
      <c r="CD75" s="34"/>
      <c r="CE75" s="40"/>
      <c r="CF75" s="39"/>
      <c r="CG75" s="39"/>
      <c r="CH75" s="40"/>
      <c r="CI75" s="40"/>
      <c r="CJ75" s="40"/>
      <c r="CK75" s="40"/>
      <c r="CL75" s="40"/>
      <c r="CM75" s="40"/>
      <c r="CN75" s="40"/>
      <c r="CO75" s="40"/>
      <c r="CP75" s="40"/>
      <c r="CQ75" s="34"/>
      <c r="CR75" s="34"/>
      <c r="CS75" s="34"/>
      <c r="CT75" s="52">
        <v>57</v>
      </c>
      <c r="CU75" s="52">
        <f>VLOOKUP(57,$DE$8:$DN$78,CV$8,TRUE)</f>
        <v>0</v>
      </c>
      <c r="CV75" s="34"/>
      <c r="CW75" s="34"/>
      <c r="CX75" s="34"/>
      <c r="CY75" s="34"/>
      <c r="CZ75" s="34"/>
      <c r="DA75" s="34"/>
      <c r="DB75" s="34"/>
      <c r="DC75" s="34"/>
      <c r="DD75" s="34"/>
      <c r="DE75" s="40">
        <v>68</v>
      </c>
      <c r="DF75" s="40" t="str">
        <f>'Steel Table'!C73</f>
        <v>WF-700x300x13x20 mm.</v>
      </c>
      <c r="DG75" s="34"/>
      <c r="DH75" s="34"/>
      <c r="DI75" s="41"/>
      <c r="DJ75" s="328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</row>
    <row r="76" spans="77:128" ht="15.75" customHeight="1">
      <c r="BY76" s="34"/>
      <c r="BZ76" s="34"/>
      <c r="CA76" s="34"/>
      <c r="CB76" s="34"/>
      <c r="CC76" s="34"/>
      <c r="CD76" s="34"/>
      <c r="CE76" s="40"/>
      <c r="CF76" s="39"/>
      <c r="CG76" s="39"/>
      <c r="CH76" s="40"/>
      <c r="CI76" s="40"/>
      <c r="CJ76" s="40"/>
      <c r="CK76" s="40"/>
      <c r="CL76" s="40"/>
      <c r="CM76" s="40"/>
      <c r="CN76" s="40"/>
      <c r="CO76" s="40"/>
      <c r="CP76" s="40"/>
      <c r="CQ76" s="34"/>
      <c r="CR76" s="34"/>
      <c r="CS76" s="34"/>
      <c r="CT76" s="52">
        <v>58</v>
      </c>
      <c r="CU76" s="52">
        <f>VLOOKUP(58,$DE$8:$DN$78,CV$8,TRUE)</f>
        <v>0</v>
      </c>
      <c r="CV76" s="34"/>
      <c r="CW76" s="34"/>
      <c r="CX76" s="34"/>
      <c r="CY76" s="34"/>
      <c r="CZ76" s="34"/>
      <c r="DA76" s="34"/>
      <c r="DB76" s="34"/>
      <c r="DC76" s="34"/>
      <c r="DD76" s="34"/>
      <c r="DE76" s="40">
        <v>69</v>
      </c>
      <c r="DF76" s="40" t="str">
        <f>'Steel Table'!C74</f>
        <v>WF-700x300x13x24 mm.</v>
      </c>
      <c r="DG76" s="34"/>
      <c r="DH76" s="34"/>
      <c r="DI76" s="41"/>
      <c r="DJ76" s="147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</row>
    <row r="77" spans="77:128" ht="15.75" customHeight="1">
      <c r="BY77" s="34"/>
      <c r="BZ77" s="34"/>
      <c r="CA77" s="34"/>
      <c r="CB77" s="34"/>
      <c r="CC77" s="34"/>
      <c r="CD77" s="34"/>
      <c r="CE77" s="40"/>
      <c r="CF77" s="39"/>
      <c r="CG77" s="39"/>
      <c r="CH77" s="40"/>
      <c r="CI77" s="40"/>
      <c r="CJ77" s="40"/>
      <c r="CK77" s="40"/>
      <c r="CL77" s="40"/>
      <c r="CM77" s="40"/>
      <c r="CN77" s="40"/>
      <c r="CO77" s="40"/>
      <c r="CP77" s="40"/>
      <c r="CQ77" s="34"/>
      <c r="CR77" s="34"/>
      <c r="CS77" s="34"/>
      <c r="CT77" s="52">
        <v>59</v>
      </c>
      <c r="CU77" s="52">
        <f>VLOOKUP(59,$DE$8:$DN$78,CV$8,TRUE)</f>
        <v>0</v>
      </c>
      <c r="CV77" s="34"/>
      <c r="CW77" s="34"/>
      <c r="CX77" s="34"/>
      <c r="CY77" s="34"/>
      <c r="CZ77" s="34"/>
      <c r="DA77" s="34"/>
      <c r="DB77" s="34"/>
      <c r="DC77" s="34"/>
      <c r="DD77" s="34"/>
      <c r="DE77" s="40">
        <v>70</v>
      </c>
      <c r="DF77" s="40" t="str">
        <f>'Steel Table'!C75</f>
        <v>WF-800x300x14x22 mm.</v>
      </c>
      <c r="DG77" s="34"/>
      <c r="DH77" s="34"/>
      <c r="DI77" s="41"/>
      <c r="DJ77" s="147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</row>
    <row r="78" spans="77:128" ht="15.75" customHeight="1">
      <c r="BY78" s="34"/>
      <c r="BZ78" s="34"/>
      <c r="CA78" s="34"/>
      <c r="CB78" s="34"/>
      <c r="CC78" s="34"/>
      <c r="CD78" s="34"/>
      <c r="CE78" s="40"/>
      <c r="CF78" s="39"/>
      <c r="CG78" s="39"/>
      <c r="CH78" s="40"/>
      <c r="CI78" s="40"/>
      <c r="CJ78" s="40"/>
      <c r="CK78" s="40"/>
      <c r="CL78" s="40"/>
      <c r="CM78" s="40"/>
      <c r="CN78" s="40"/>
      <c r="CO78" s="40"/>
      <c r="CP78" s="40"/>
      <c r="CQ78" s="34"/>
      <c r="CR78" s="34"/>
      <c r="CS78" s="34"/>
      <c r="CT78" s="52">
        <v>60</v>
      </c>
      <c r="CU78" s="52">
        <f>VLOOKUP(60,$DE$8:$DN$78,CV$8,TRUE)</f>
        <v>0</v>
      </c>
      <c r="CV78" s="34"/>
      <c r="CW78" s="34"/>
      <c r="CX78" s="34"/>
      <c r="CY78" s="34"/>
      <c r="CZ78" s="34"/>
      <c r="DA78" s="34"/>
      <c r="DB78" s="34"/>
      <c r="DC78" s="34"/>
      <c r="DD78" s="34"/>
      <c r="DE78" s="40">
        <v>71</v>
      </c>
      <c r="DF78" s="40" t="str">
        <f>'Steel Table'!C76</f>
        <v>WF-800x300x14x26 mm.</v>
      </c>
      <c r="DG78" s="34"/>
      <c r="DH78" s="34"/>
      <c r="DI78" s="41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</row>
    <row r="79" spans="77:128" ht="15.75" customHeight="1">
      <c r="BY79" s="34"/>
      <c r="BZ79" s="34"/>
      <c r="CA79" s="34"/>
      <c r="CB79" s="34"/>
      <c r="CC79" s="34"/>
      <c r="CD79" s="34"/>
      <c r="CE79" s="40"/>
      <c r="CF79" s="39"/>
      <c r="CG79" s="39"/>
      <c r="CH79" s="40"/>
      <c r="CI79" s="40"/>
      <c r="CJ79" s="40"/>
      <c r="CK79" s="40"/>
      <c r="CL79" s="40"/>
      <c r="CM79" s="40"/>
      <c r="CN79" s="40"/>
      <c r="CO79" s="40"/>
      <c r="CP79" s="40"/>
      <c r="CQ79" s="34"/>
      <c r="CR79" s="34"/>
      <c r="CS79" s="34"/>
      <c r="CT79" s="52">
        <v>61</v>
      </c>
      <c r="CU79" s="52">
        <f>VLOOKUP(61,$DE$8:$DN$78,CV$8,TRUE)</f>
        <v>0</v>
      </c>
      <c r="CV79" s="34"/>
      <c r="CW79" s="34"/>
      <c r="CX79" s="34"/>
      <c r="CY79" s="34"/>
      <c r="CZ79" s="34"/>
      <c r="DA79" s="34"/>
      <c r="DB79" s="34"/>
      <c r="DC79" s="34"/>
      <c r="DD79" s="34"/>
      <c r="DE79" s="40">
        <v>72</v>
      </c>
      <c r="DF79" s="40" t="str">
        <f>'Steel Table'!C77</f>
        <v>WF-900x300x16x28 mm.</v>
      </c>
      <c r="DG79" s="34"/>
      <c r="DH79" s="34"/>
      <c r="DI79" s="41"/>
      <c r="DJ79" s="147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</row>
    <row r="80" spans="77:128" ht="15.75" customHeight="1">
      <c r="BY80" s="34"/>
      <c r="BZ80" s="34"/>
      <c r="CA80" s="34"/>
      <c r="CB80" s="34"/>
      <c r="CC80" s="34"/>
      <c r="CD80" s="34"/>
      <c r="CE80" s="40"/>
      <c r="CF80" s="39"/>
      <c r="CG80" s="39"/>
      <c r="CH80" s="40"/>
      <c r="CI80" s="40"/>
      <c r="CJ80" s="40"/>
      <c r="CK80" s="40"/>
      <c r="CL80" s="40"/>
      <c r="CM80" s="40"/>
      <c r="CN80" s="40"/>
      <c r="CO80" s="40"/>
      <c r="CP80" s="40"/>
      <c r="CQ80" s="34"/>
      <c r="CR80" s="34"/>
      <c r="CS80" s="34"/>
      <c r="CT80" s="52">
        <v>62</v>
      </c>
      <c r="CU80" s="52">
        <f>VLOOKUP(62,$DE$8:$DN$78,CV$8,TRUE)</f>
        <v>0</v>
      </c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40"/>
      <c r="DG80" s="34"/>
      <c r="DH80" s="34"/>
      <c r="DI80" s="34"/>
      <c r="DJ80" s="147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</row>
    <row r="81" spans="77:128" ht="15.75" customHeight="1">
      <c r="BY81" s="34"/>
      <c r="BZ81" s="34"/>
      <c r="CA81" s="34"/>
      <c r="CB81" s="34"/>
      <c r="CC81" s="34"/>
      <c r="CD81" s="34"/>
      <c r="CE81" s="40"/>
      <c r="CF81" s="39"/>
      <c r="CG81" s="39"/>
      <c r="CH81" s="40"/>
      <c r="CI81" s="40"/>
      <c r="CJ81" s="40"/>
      <c r="CK81" s="40"/>
      <c r="CL81" s="40"/>
      <c r="CM81" s="40"/>
      <c r="CN81" s="40"/>
      <c r="CO81" s="40"/>
      <c r="CP81" s="40"/>
      <c r="CQ81" s="34"/>
      <c r="CR81" s="34"/>
      <c r="CS81" s="34"/>
      <c r="CT81" s="52">
        <v>63</v>
      </c>
      <c r="CU81" s="52">
        <f>VLOOKUP(63,$DE$8:$DN$78,CV$8,TRUE)</f>
        <v>0</v>
      </c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40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</row>
    <row r="82" spans="77:128" ht="15.75" customHeight="1">
      <c r="BY82" s="34"/>
      <c r="BZ82" s="34"/>
      <c r="CA82" s="34"/>
      <c r="CB82" s="34"/>
      <c r="CC82" s="34"/>
      <c r="CD82" s="34"/>
      <c r="CE82" s="40"/>
      <c r="CF82" s="39"/>
      <c r="CG82" s="39"/>
      <c r="CH82" s="40"/>
      <c r="CI82" s="40"/>
      <c r="CJ82" s="40"/>
      <c r="CK82" s="40"/>
      <c r="CL82" s="40"/>
      <c r="CM82" s="40"/>
      <c r="CN82" s="40"/>
      <c r="CO82" s="40"/>
      <c r="CP82" s="40"/>
      <c r="CQ82" s="34"/>
      <c r="CR82" s="34"/>
      <c r="CS82" s="34"/>
      <c r="CT82" s="52">
        <v>64</v>
      </c>
      <c r="CU82" s="52">
        <f>VLOOKUP(64,$DE$8:$DN$78,CV$8,TRUE)</f>
        <v>0</v>
      </c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40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</row>
    <row r="83" spans="77:128" ht="15.75" customHeight="1">
      <c r="BY83" s="34"/>
      <c r="BZ83" s="34"/>
      <c r="CA83" s="34"/>
      <c r="CB83" s="34"/>
      <c r="CC83" s="34"/>
      <c r="CD83" s="34"/>
      <c r="CE83" s="40"/>
      <c r="CF83" s="39"/>
      <c r="CG83" s="39"/>
      <c r="CH83" s="40"/>
      <c r="CI83" s="40"/>
      <c r="CJ83" s="40"/>
      <c r="CK83" s="40"/>
      <c r="CL83" s="40"/>
      <c r="CM83" s="40"/>
      <c r="CN83" s="40"/>
      <c r="CO83" s="40"/>
      <c r="CP83" s="40"/>
      <c r="CQ83" s="34"/>
      <c r="CR83" s="34"/>
      <c r="CS83" s="34"/>
      <c r="CT83" s="52">
        <v>65</v>
      </c>
      <c r="CU83" s="52">
        <f>VLOOKUP(65,$DE$8:$DN$78,CV$8,TRUE)</f>
        <v>0</v>
      </c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</row>
    <row r="84" spans="77:128" ht="15.75" customHeight="1">
      <c r="BY84" s="34"/>
      <c r="BZ84" s="34"/>
      <c r="CA84" s="34"/>
      <c r="CB84" s="34"/>
      <c r="CC84" s="34"/>
      <c r="CD84" s="34"/>
      <c r="CE84" s="40"/>
      <c r="CF84" s="39"/>
      <c r="CG84" s="39"/>
      <c r="CH84" s="40"/>
      <c r="CI84" s="40"/>
      <c r="CJ84" s="40"/>
      <c r="CK84" s="40"/>
      <c r="CL84" s="40"/>
      <c r="CM84" s="40"/>
      <c r="CN84" s="40"/>
      <c r="CO84" s="40"/>
      <c r="CP84" s="40"/>
      <c r="CQ84" s="34"/>
      <c r="CR84" s="34"/>
      <c r="CS84" s="34"/>
      <c r="CT84" s="52">
        <v>66</v>
      </c>
      <c r="CU84" s="52">
        <f>VLOOKUP(66,$DE$8:$DN$78,CV$8,TRUE)</f>
        <v>0</v>
      </c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</row>
    <row r="85" spans="77:128" ht="15.75" customHeight="1">
      <c r="BY85" s="34"/>
      <c r="BZ85" s="34"/>
      <c r="CA85" s="34"/>
      <c r="CB85" s="34"/>
      <c r="CC85" s="34"/>
      <c r="CD85" s="34"/>
      <c r="CE85" s="40"/>
      <c r="CF85" s="39"/>
      <c r="CG85" s="39"/>
      <c r="CH85" s="40"/>
      <c r="CI85" s="40"/>
      <c r="CJ85" s="40"/>
      <c r="CK85" s="40"/>
      <c r="CL85" s="40"/>
      <c r="CM85" s="40"/>
      <c r="CN85" s="40"/>
      <c r="CO85" s="40"/>
      <c r="CP85" s="40"/>
      <c r="CQ85" s="34"/>
      <c r="CR85" s="34"/>
      <c r="CS85" s="34"/>
      <c r="CT85" s="52">
        <v>67</v>
      </c>
      <c r="CU85" s="52">
        <f>VLOOKUP(67,$DE$8:$DN$78,CV$8,TRUE)</f>
        <v>0</v>
      </c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</row>
    <row r="86" spans="77:128" ht="15.75" customHeight="1">
      <c r="BY86" s="34"/>
      <c r="BZ86" s="34"/>
      <c r="CA86" s="34"/>
      <c r="CB86" s="34"/>
      <c r="CC86" s="34"/>
      <c r="CD86" s="34"/>
      <c r="CE86" s="40"/>
      <c r="CF86" s="39"/>
      <c r="CG86" s="39"/>
      <c r="CH86" s="40"/>
      <c r="CI86" s="40"/>
      <c r="CJ86" s="40"/>
      <c r="CK86" s="40"/>
      <c r="CL86" s="40"/>
      <c r="CM86" s="40"/>
      <c r="CN86" s="40"/>
      <c r="CO86" s="40"/>
      <c r="CP86" s="40"/>
      <c r="CQ86" s="34"/>
      <c r="CR86" s="34"/>
      <c r="CS86" s="34"/>
      <c r="CT86" s="52">
        <v>68</v>
      </c>
      <c r="CU86" s="52">
        <f>VLOOKUP(68,$DE$8:$DN$78,CV$8,TRUE)</f>
        <v>0</v>
      </c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</row>
    <row r="87" spans="77:128" ht="15.75" customHeight="1">
      <c r="BY87" s="34"/>
      <c r="BZ87" s="34"/>
      <c r="CA87" s="34"/>
      <c r="CB87" s="34"/>
      <c r="CC87" s="34"/>
      <c r="CD87" s="34"/>
      <c r="CE87" s="40"/>
      <c r="CF87" s="39"/>
      <c r="CG87" s="39"/>
      <c r="CH87" s="40"/>
      <c r="CI87" s="40"/>
      <c r="CJ87" s="40"/>
      <c r="CK87" s="40"/>
      <c r="CL87" s="40"/>
      <c r="CM87" s="40"/>
      <c r="CN87" s="40"/>
      <c r="CO87" s="40"/>
      <c r="CP87" s="40"/>
      <c r="CQ87" s="34"/>
      <c r="CR87" s="34"/>
      <c r="CS87" s="34"/>
      <c r="CT87" s="52">
        <v>69</v>
      </c>
      <c r="CU87" s="52">
        <f>VLOOKUP(69,$DE$8:$DN$78,CV$8,TRUE)</f>
        <v>0</v>
      </c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</row>
    <row r="88" spans="77:128" ht="15.75" customHeight="1">
      <c r="BY88" s="34"/>
      <c r="BZ88" s="34"/>
      <c r="CA88" s="34"/>
      <c r="CB88" s="34"/>
      <c r="CC88" s="34"/>
      <c r="CD88" s="34"/>
      <c r="CE88" s="40"/>
      <c r="CF88" s="39"/>
      <c r="CG88" s="39"/>
      <c r="CH88" s="40"/>
      <c r="CI88" s="40"/>
      <c r="CJ88" s="40"/>
      <c r="CK88" s="40"/>
      <c r="CL88" s="40"/>
      <c r="CM88" s="40"/>
      <c r="CN88" s="40"/>
      <c r="CO88" s="40"/>
      <c r="CP88" s="40"/>
      <c r="CQ88" s="34"/>
      <c r="CR88" s="34"/>
      <c r="CS88" s="34"/>
      <c r="CT88" s="52">
        <v>70</v>
      </c>
      <c r="CU88" s="52">
        <f>VLOOKUP(70,$DE$8:$DN$78,CV$8,TRUE)</f>
        <v>0</v>
      </c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</row>
    <row r="89" spans="77:128" ht="15.75" customHeight="1">
      <c r="BY89" s="34"/>
      <c r="BZ89" s="34"/>
      <c r="CA89" s="34"/>
      <c r="CB89" s="34"/>
      <c r="CC89" s="34"/>
      <c r="CD89" s="34"/>
      <c r="CE89" s="40"/>
      <c r="CF89" s="39"/>
      <c r="CG89" s="39"/>
      <c r="CH89" s="40"/>
      <c r="CI89" s="40"/>
      <c r="CJ89" s="40"/>
      <c r="CK89" s="40"/>
      <c r="CL89" s="40"/>
      <c r="CM89" s="40"/>
      <c r="CN89" s="40"/>
      <c r="CO89" s="40"/>
      <c r="CP89" s="40"/>
      <c r="CQ89" s="34"/>
      <c r="CR89" s="34"/>
      <c r="CS89" s="34"/>
      <c r="CT89" s="52">
        <v>71</v>
      </c>
      <c r="CU89" s="52">
        <f>VLOOKUP(71,$DE$8:$DN$78,CV$8,TRUE)</f>
        <v>0</v>
      </c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</row>
    <row r="90" spans="98:99" ht="15.75" customHeight="1">
      <c r="CT90" s="52">
        <v>72</v>
      </c>
      <c r="CU90" s="52">
        <f>VLOOKUP(72,$DE$8:$DN$78,CV$8,TRUE)</f>
        <v>0</v>
      </c>
    </row>
    <row r="91" spans="98:99" ht="15.75" customHeight="1">
      <c r="CT91" s="52"/>
      <c r="CU91" s="52"/>
    </row>
    <row r="92" spans="98:99" ht="15.75" customHeight="1">
      <c r="CT92" s="52"/>
      <c r="CU92" s="52"/>
    </row>
    <row r="93" spans="98:99" ht="15.75" customHeight="1">
      <c r="CT93" s="52"/>
      <c r="CU93" s="52"/>
    </row>
    <row r="94" spans="98:99" ht="15.75" customHeight="1">
      <c r="CT94" s="52"/>
      <c r="CU94" s="52"/>
    </row>
  </sheetData>
  <sheetProtection password="DA3E" sheet="1"/>
  <mergeCells count="77">
    <mergeCell ref="T35:Z35"/>
    <mergeCell ref="AG9:AI9"/>
    <mergeCell ref="AG10:AI10"/>
    <mergeCell ref="Q20:R20"/>
    <mergeCell ref="T25:Z25"/>
    <mergeCell ref="T20:Z20"/>
    <mergeCell ref="N32:P32"/>
    <mergeCell ref="N30:P30"/>
    <mergeCell ref="N31:P31"/>
    <mergeCell ref="N36:O36"/>
    <mergeCell ref="Q58:R58"/>
    <mergeCell ref="W27:Z27"/>
    <mergeCell ref="W32:Z32"/>
    <mergeCell ref="W37:Z37"/>
    <mergeCell ref="Q45:R45"/>
    <mergeCell ref="T45:V45"/>
    <mergeCell ref="T30:Z30"/>
    <mergeCell ref="P35:Q35"/>
    <mergeCell ref="P36:Q36"/>
    <mergeCell ref="N55:P55"/>
    <mergeCell ref="V49:AA49"/>
    <mergeCell ref="V50:AA50"/>
    <mergeCell ref="N45:P45"/>
    <mergeCell ref="U40:V40"/>
    <mergeCell ref="W45:X45"/>
    <mergeCell ref="N44:P44"/>
    <mergeCell ref="Q44:R44"/>
    <mergeCell ref="N54:P54"/>
    <mergeCell ref="N40:P40"/>
    <mergeCell ref="N39:P39"/>
    <mergeCell ref="R40:T40"/>
    <mergeCell ref="J58:L58"/>
    <mergeCell ref="N58:P58"/>
    <mergeCell ref="J57:L57"/>
    <mergeCell ref="N57:P57"/>
    <mergeCell ref="H36:J36"/>
    <mergeCell ref="H35:J35"/>
    <mergeCell ref="T12:Z12"/>
    <mergeCell ref="N25:P25"/>
    <mergeCell ref="N26:P26"/>
    <mergeCell ref="N27:P27"/>
    <mergeCell ref="Q19:R19"/>
    <mergeCell ref="N21:P21"/>
    <mergeCell ref="N22:P22"/>
    <mergeCell ref="N23:P23"/>
    <mergeCell ref="E3:U3"/>
    <mergeCell ref="E4:U4"/>
    <mergeCell ref="E5:U5"/>
    <mergeCell ref="B7:AA7"/>
    <mergeCell ref="V4:X4"/>
    <mergeCell ref="V3:X3"/>
    <mergeCell ref="Y3:AA3"/>
    <mergeCell ref="Y4:AA4"/>
    <mergeCell ref="Y5:AA5"/>
    <mergeCell ref="V5:X5"/>
    <mergeCell ref="AC9:AF9"/>
    <mergeCell ref="AC10:AF10"/>
    <mergeCell ref="N12:P12"/>
    <mergeCell ref="N13:P13"/>
    <mergeCell ref="N9:P9"/>
    <mergeCell ref="N10:P10"/>
    <mergeCell ref="N11:P11"/>
    <mergeCell ref="N19:P19"/>
    <mergeCell ref="N14:P14"/>
    <mergeCell ref="N18:P18"/>
    <mergeCell ref="N16:P16"/>
    <mergeCell ref="N17:P17"/>
    <mergeCell ref="F34:K34"/>
    <mergeCell ref="AC35:AG35"/>
    <mergeCell ref="AC32:AH32"/>
    <mergeCell ref="N15:P15"/>
    <mergeCell ref="N20:P20"/>
    <mergeCell ref="N35:O35"/>
    <mergeCell ref="AH33:AJ33"/>
    <mergeCell ref="AC33:AG33"/>
    <mergeCell ref="N24:P24"/>
    <mergeCell ref="T15:Z15"/>
  </mergeCells>
  <conditionalFormatting sqref="N47:O47">
    <cfRule type="expression" priority="1" dxfId="0" stopIfTrue="1">
      <formula>IF(K47&lt;27,"Ok.")</formula>
    </cfRule>
    <cfRule type="expression" priority="2" dxfId="1" stopIfTrue="1">
      <formula>IF(K47&gt;27,"Not Ok.")</formula>
    </cfRule>
  </conditionalFormatting>
  <conditionalFormatting sqref="E40:G40 F42:G43 E43 F37:H37">
    <cfRule type="expression" priority="3" dxfId="1" stopIfTrue="1">
      <formula>IF($F$34&lt;$N$19,1)</formula>
    </cfRule>
  </conditionalFormatting>
  <conditionalFormatting sqref="F39:G39">
    <cfRule type="cellIs" priority="4" dxfId="1" operator="lessThan" stopIfTrue="1">
      <formula>$N$19</formula>
    </cfRule>
  </conditionalFormatting>
  <conditionalFormatting sqref="J41 N42:O43">
    <cfRule type="expression" priority="5" dxfId="1" stopIfTrue="1">
      <formula>IF(#REF!&lt;#REF!,1)</formula>
    </cfRule>
  </conditionalFormatting>
  <conditionalFormatting sqref="Q58:R58">
    <cfRule type="expression" priority="6" dxfId="1" stopIfTrue="1">
      <formula>IF($J$58&gt;$N$58,1)</formula>
    </cfRule>
  </conditionalFormatting>
  <conditionalFormatting sqref="J58:L58">
    <cfRule type="cellIs" priority="7" dxfId="1" operator="greaterThan" stopIfTrue="1">
      <formula>$N$58</formula>
    </cfRule>
  </conditionalFormatting>
  <conditionalFormatting sqref="M55 L56:O56 L54:M54 L59:O60">
    <cfRule type="cellIs" priority="8" dxfId="1" operator="lessThan" stopIfTrue="1">
      <formula>#REF!</formula>
    </cfRule>
  </conditionalFormatting>
  <conditionalFormatting sqref="I56:K56">
    <cfRule type="cellIs" priority="9" dxfId="0" operator="greaterThan" stopIfTrue="1">
      <formula>$F$56</formula>
    </cfRule>
  </conditionalFormatting>
  <conditionalFormatting sqref="I59:K60 I54:K54">
    <cfRule type="cellIs" priority="10" dxfId="0" operator="greaterThan" stopIfTrue="1">
      <formula>$F$59</formula>
    </cfRule>
  </conditionalFormatting>
  <conditionalFormatting sqref="AB10 Y14:AA14 AA20 AA25 AA30 AA35">
    <cfRule type="expression" priority="11" dxfId="1" stopIfTrue="1">
      <formula>IF($V$14&lt;$Y$14,1)</formula>
    </cfRule>
  </conditionalFormatting>
  <conditionalFormatting sqref="AB12">
    <cfRule type="expression" priority="12" dxfId="1" stopIfTrue="1">
      <formula>IF(#REF!&lt;#REF!,1)</formula>
    </cfRule>
  </conditionalFormatting>
  <conditionalFormatting sqref="AB14">
    <cfRule type="expression" priority="13" dxfId="1" stopIfTrue="1">
      <formula>IF($Y$15&gt;$V$15,1)</formula>
    </cfRule>
  </conditionalFormatting>
  <conditionalFormatting sqref="F34:L34 N35:O36 H35:H36">
    <cfRule type="expression" priority="14" dxfId="1" stopIfTrue="1">
      <formula>IF($H$36&lt;$N$32,1)</formula>
    </cfRule>
  </conditionalFormatting>
  <conditionalFormatting sqref="N40:P40 U40:V40">
    <cfRule type="expression" priority="15" dxfId="1" stopIfTrue="1">
      <formula>IF($N$40&gt;$N$39,1)</formula>
    </cfRule>
  </conditionalFormatting>
  <conditionalFormatting sqref="N44:P44 W45:X45">
    <cfRule type="expression" priority="16" dxfId="1" stopIfTrue="1">
      <formula>IF($N$44&gt;$N$45,1)</formula>
    </cfRule>
  </conditionalFormatting>
  <conditionalFormatting sqref="C47">
    <cfRule type="expression" priority="17" dxfId="1" stopIfTrue="1">
      <formula>IF($CL$31=2,1)</formula>
    </cfRule>
  </conditionalFormatting>
  <dataValidations count="8">
    <dataValidation type="list" allowBlank="1" showInputMessage="1" showErrorMessage="1" sqref="AC35">
      <formula1>"One Channel,Two Channels"</formula1>
    </dataValidation>
    <dataValidation type="list" allowBlank="1" showInputMessage="1" showErrorMessage="1" sqref="AC33">
      <formula1>"Wide Flange,I-Beam,C-Channels,Square Tube,Rectangular Tube,Steel Pipe,Light Lip Channels"</formula1>
    </dataValidation>
    <dataValidation type="list" allowBlank="1" showInputMessage="1" showErrorMessage="1" sqref="AH33:AJ33">
      <formula1>"Vertical,Horizontal"</formula1>
    </dataValidation>
    <dataValidation type="list" allowBlank="1" showInputMessage="1" sqref="N17:P17">
      <formula1>"5,12,14,17,50"</formula1>
    </dataValidation>
    <dataValidation type="list" allowBlank="1" showInputMessage="1" sqref="N16:P16">
      <formula1>"30,40,50"</formula1>
    </dataValidation>
    <dataValidation operator="equal" allowBlank="1" showErrorMessage="1" errorTitle="Chang Beam Section" error="หน่วยแรงเฉือนมากเกินกว่าหน่วยแรงที่ยอมให้&#10;ท่านควรแก้ไขหน้าตัดคานใหม่" sqref="CX57"/>
    <dataValidation type="list" allowBlank="1" showInputMessage="1" showErrorMessage="1" sqref="N9:P9">
      <formula1>"2400,3000,4000,5000"</formula1>
    </dataValidation>
    <dataValidation type="list" allowBlank="1" showInputMessage="1" showErrorMessage="1" sqref="AC10:AF10">
      <formula1>"อกไก่,สะพานรับจันทัน,อะเส"</formula1>
    </dataValidation>
  </dataValidations>
  <printOptions/>
  <pageMargins left="0.35433070866141736" right="0.1968503937007874" top="0.3937007874015748" bottom="0.5905511811023623" header="0.9055118110236221" footer="0.5118110236220472"/>
  <pageSetup horizontalDpi="300" verticalDpi="300" orientation="portrait" paperSize="9" scale="9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V144"/>
  <sheetViews>
    <sheetView workbookViewId="0" topLeftCell="A1">
      <selection activeCell="AC10" sqref="AC10:AE10"/>
    </sheetView>
  </sheetViews>
  <sheetFormatPr defaultColWidth="3.57421875" defaultRowHeight="15.75" customHeight="1"/>
  <cols>
    <col min="1" max="11" width="3.57421875" style="31" customWidth="1"/>
    <col min="12" max="12" width="3.57421875" style="37" customWidth="1"/>
    <col min="13" max="76" width="3.57421875" style="31" customWidth="1"/>
    <col min="77" max="77" width="8.140625" style="31" bestFit="1" customWidth="1"/>
    <col min="78" max="79" width="3.57421875" style="31" customWidth="1"/>
    <col min="80" max="80" width="8.421875" style="31" bestFit="1" customWidth="1"/>
    <col min="81" max="81" width="3.7109375" style="31" bestFit="1" customWidth="1"/>
    <col min="82" max="82" width="4.7109375" style="31" customWidth="1"/>
    <col min="83" max="83" width="25.140625" style="35" bestFit="1" customWidth="1"/>
    <col min="84" max="84" width="12.140625" style="36" bestFit="1" customWidth="1"/>
    <col min="85" max="85" width="21.7109375" style="36" bestFit="1" customWidth="1"/>
    <col min="86" max="88" width="9.7109375" style="35" customWidth="1"/>
    <col min="89" max="89" width="20.7109375" style="35" bestFit="1" customWidth="1"/>
    <col min="90" max="93" width="9.7109375" style="35" customWidth="1"/>
    <col min="94" max="94" width="26.7109375" style="35" bestFit="1" customWidth="1"/>
    <col min="95" max="95" width="13.00390625" style="31" customWidth="1"/>
    <col min="96" max="96" width="10.7109375" style="31" customWidth="1"/>
    <col min="97" max="97" width="15.00390625" style="31" bestFit="1" customWidth="1"/>
    <col min="98" max="98" width="15.00390625" style="31" customWidth="1"/>
    <col min="99" max="99" width="10.7109375" style="31" customWidth="1"/>
    <col min="100" max="100" width="17.7109375" style="31" bestFit="1" customWidth="1"/>
    <col min="101" max="101" width="10.7109375" style="31" customWidth="1"/>
    <col min="102" max="102" width="15.57421875" style="31" bestFit="1" customWidth="1"/>
    <col min="103" max="106" width="10.7109375" style="31" customWidth="1"/>
    <col min="107" max="107" width="17.7109375" style="31" bestFit="1" customWidth="1"/>
    <col min="108" max="108" width="17.28125" style="31" bestFit="1" customWidth="1"/>
    <col min="109" max="109" width="16.140625" style="31" bestFit="1" customWidth="1"/>
    <col min="110" max="110" width="15.421875" style="31" bestFit="1" customWidth="1"/>
    <col min="111" max="111" width="16.421875" style="31" bestFit="1" customWidth="1"/>
    <col min="112" max="112" width="18.7109375" style="31" bestFit="1" customWidth="1"/>
    <col min="113" max="113" width="18.421875" style="31" bestFit="1" customWidth="1"/>
    <col min="114" max="114" width="21.421875" style="31" bestFit="1" customWidth="1"/>
    <col min="115" max="115" width="20.140625" style="31" bestFit="1" customWidth="1"/>
    <col min="116" max="156" width="10.7109375" style="31" customWidth="1"/>
    <col min="157" max="16384" width="3.57421875" style="31" customWidth="1"/>
  </cols>
  <sheetData>
    <row r="1" spans="2:56" ht="15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49">
        <f>IF(AC10="","",AC10)</f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50"/>
      <c r="AX1" s="150"/>
      <c r="AY1" s="148"/>
      <c r="AZ1" s="148"/>
      <c r="BA1" s="148"/>
      <c r="BB1" s="148"/>
      <c r="BC1" s="148"/>
      <c r="BD1" s="148"/>
    </row>
    <row r="2" spans="29:56" ht="9.75" customHeight="1"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50"/>
      <c r="AX2" s="150"/>
      <c r="AY2" s="148"/>
      <c r="AZ2" s="148"/>
      <c r="BA2" s="148"/>
      <c r="BB2" s="148"/>
      <c r="BC2" s="148"/>
      <c r="BD2" s="148"/>
    </row>
    <row r="3" spans="2:126" ht="15.75" customHeight="1" thickBot="1">
      <c r="B3" s="38" t="s">
        <v>109</v>
      </c>
      <c r="E3" s="375" t="str">
        <f>Cover!A6</f>
        <v>อาคารพาณิชย์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7"/>
      <c r="V3" s="380" t="s">
        <v>112</v>
      </c>
      <c r="W3" s="380"/>
      <c r="X3" s="381"/>
      <c r="Y3" s="382">
        <v>40222</v>
      </c>
      <c r="Z3" s="364"/>
      <c r="AA3" s="365"/>
      <c r="AC3" s="149" t="s">
        <v>2</v>
      </c>
      <c r="AD3" s="150"/>
      <c r="AE3" s="150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50"/>
      <c r="AX3" s="150"/>
      <c r="AY3" s="148"/>
      <c r="AZ3" s="148"/>
      <c r="BA3" s="148"/>
      <c r="BB3" s="148"/>
      <c r="BC3" s="148"/>
      <c r="BD3" s="148"/>
      <c r="BY3" s="34"/>
      <c r="BZ3" s="34"/>
      <c r="CA3" s="34"/>
      <c r="CB3" s="34" t="s">
        <v>328</v>
      </c>
      <c r="CC3" s="34" t="s">
        <v>0</v>
      </c>
      <c r="CD3" s="34"/>
      <c r="CE3" s="39">
        <f>CG23/10</f>
        <v>19.4</v>
      </c>
      <c r="CF3" s="39"/>
      <c r="CG3" s="39"/>
      <c r="CH3" s="40"/>
      <c r="CI3" s="40"/>
      <c r="CJ3" s="40"/>
      <c r="CK3" s="40"/>
      <c r="CL3" s="40"/>
      <c r="CM3" s="40"/>
      <c r="CN3" s="40"/>
      <c r="CO3" s="40"/>
      <c r="CP3" s="40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</row>
    <row r="4" spans="2:126" ht="15.75" customHeight="1" thickBot="1">
      <c r="B4" s="38" t="s">
        <v>110</v>
      </c>
      <c r="E4" s="375" t="str">
        <f>Cover!D8</f>
        <v>คุณทดลอง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7"/>
      <c r="V4" s="379" t="s">
        <v>448</v>
      </c>
      <c r="W4" s="380"/>
      <c r="X4" s="380"/>
      <c r="Y4" s="461"/>
      <c r="Z4" s="462"/>
      <c r="AA4" s="463"/>
      <c r="AC4" s="151" t="s">
        <v>3</v>
      </c>
      <c r="AD4" s="150"/>
      <c r="AE4" s="150"/>
      <c r="AF4" s="148"/>
      <c r="AG4" s="148"/>
      <c r="AH4" s="148"/>
      <c r="AI4" s="148"/>
      <c r="AJ4" s="148"/>
      <c r="AK4" s="456" t="s">
        <v>424</v>
      </c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8"/>
      <c r="AX4" s="150"/>
      <c r="AY4" s="148"/>
      <c r="AZ4" s="148"/>
      <c r="BA4" s="148"/>
      <c r="BB4" s="148"/>
      <c r="BC4" s="148"/>
      <c r="BD4" s="148"/>
      <c r="BY4" s="34"/>
      <c r="BZ4" s="34"/>
      <c r="CA4" s="34"/>
      <c r="CB4" s="34" t="s">
        <v>444</v>
      </c>
      <c r="CC4" s="34" t="s">
        <v>0</v>
      </c>
      <c r="CD4" s="34"/>
      <c r="CE4" s="39">
        <f>CG26/10</f>
        <v>0.6</v>
      </c>
      <c r="CF4" s="39"/>
      <c r="CG4" s="39"/>
      <c r="CH4" s="40"/>
      <c r="CI4" s="40"/>
      <c r="CJ4" s="40"/>
      <c r="CK4" s="40"/>
      <c r="CL4" s="40"/>
      <c r="CM4" s="40"/>
      <c r="CN4" s="40"/>
      <c r="CO4" s="40"/>
      <c r="CP4" s="40"/>
      <c r="CQ4" s="34"/>
      <c r="CR4" s="34"/>
      <c r="CS4" s="34"/>
      <c r="CT4" s="34"/>
      <c r="CU4" s="34"/>
      <c r="CV4" s="34"/>
      <c r="CW4" s="34"/>
      <c r="CX4" s="34">
        <f>IF(AND(OR(CX5=1,CX5=2,CX5=3,CX5=4,CX5=5,CX5=6,CX5=7),DA5=1),CX5,IF(AND(OR(CX5=1,CX5=2,CX5=4,CX5=5,CX5=6),DA5=2),CX5,IF(AND(CX5=3,DA5=2),8,IF(AND(CX5=7,DA5=2),9))))</f>
        <v>1</v>
      </c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</row>
    <row r="5" spans="2:126" ht="15.75" customHeight="1">
      <c r="B5" s="38" t="s">
        <v>111</v>
      </c>
      <c r="E5" s="375" t="str">
        <f>Cover!D9</f>
        <v>กทม.</v>
      </c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7"/>
      <c r="V5" s="380"/>
      <c r="W5" s="380"/>
      <c r="X5" s="380"/>
      <c r="Y5" s="363"/>
      <c r="Z5" s="363"/>
      <c r="AA5" s="363"/>
      <c r="AC5" s="148"/>
      <c r="AD5" s="148"/>
      <c r="AE5" s="148"/>
      <c r="AF5" s="148"/>
      <c r="AG5" s="148"/>
      <c r="AH5" s="150"/>
      <c r="AI5" s="148"/>
      <c r="AJ5" s="148"/>
      <c r="AK5" s="42"/>
      <c r="AL5" s="43"/>
      <c r="AM5" s="43"/>
      <c r="AN5" s="43"/>
      <c r="AO5" s="43"/>
      <c r="AP5" s="43"/>
      <c r="AQ5" s="44" t="s">
        <v>91</v>
      </c>
      <c r="AR5" s="43"/>
      <c r="AS5" s="43"/>
      <c r="AT5" s="43"/>
      <c r="AU5" s="43"/>
      <c r="AV5" s="43"/>
      <c r="AW5" s="45"/>
      <c r="AX5" s="150"/>
      <c r="AY5" s="148"/>
      <c r="AZ5" s="148"/>
      <c r="BA5" s="148"/>
      <c r="BB5" s="148"/>
      <c r="BC5" s="148"/>
      <c r="BD5" s="148"/>
      <c r="BY5" s="34"/>
      <c r="BZ5" s="34"/>
      <c r="CA5" s="34"/>
      <c r="CB5" s="34" t="s">
        <v>445</v>
      </c>
      <c r="CC5" s="34" t="s">
        <v>0</v>
      </c>
      <c r="CD5" s="34"/>
      <c r="CE5" s="39">
        <f>CG27/10</f>
        <v>0.9</v>
      </c>
      <c r="CF5" s="39"/>
      <c r="CG5" s="39"/>
      <c r="CH5" s="40"/>
      <c r="CI5" s="40"/>
      <c r="CJ5" s="40"/>
      <c r="CK5" s="40"/>
      <c r="CL5" s="40"/>
      <c r="CM5" s="40"/>
      <c r="CN5" s="40"/>
      <c r="CO5" s="40"/>
      <c r="CP5" s="40">
        <f>VLOOKUP(AG17,CP7:CQ8,2,FALSE)</f>
        <v>1</v>
      </c>
      <c r="CQ5" s="34"/>
      <c r="CR5" s="34"/>
      <c r="CS5" s="34"/>
      <c r="CT5" s="34"/>
      <c r="CU5" s="34">
        <f>VLOOKUP(N10,CU7:CV13,2,FALSE)</f>
        <v>2498</v>
      </c>
      <c r="CV5" s="34"/>
      <c r="CW5" s="34"/>
      <c r="CX5" s="34">
        <f>VLOOKUP(AC17,CX7:CY13,2,FALSE)</f>
        <v>1</v>
      </c>
      <c r="CY5" s="34">
        <f>IF(AND(OR(CX5=1,CX5=2,CX5=3,CX5=4,CX5=5,CX5=6,CX5=7),DA5=1),CX5+1,IF(AND(OR(CX5=1,CX5=2,CX5=4,CX5=5,CX5=6),DA5=2),CX5+1,IF(AND(CX5=3,DA5=2),9,IF(AND(CX5=7,DA5=2),10))))</f>
        <v>2</v>
      </c>
      <c r="CZ5" s="34"/>
      <c r="DA5" s="34">
        <f>VLOOKUP(AC19,CZ7:DA8,2,FALSE)</f>
        <v>1</v>
      </c>
      <c r="DB5" s="34"/>
      <c r="DC5" s="41" t="s">
        <v>305</v>
      </c>
      <c r="DD5" s="41" t="s">
        <v>307</v>
      </c>
      <c r="DE5" s="34" t="s">
        <v>308</v>
      </c>
      <c r="DF5" s="41" t="s">
        <v>311</v>
      </c>
      <c r="DG5" s="41" t="s">
        <v>312</v>
      </c>
      <c r="DH5" s="41" t="s">
        <v>278</v>
      </c>
      <c r="DI5" s="41" t="s">
        <v>310</v>
      </c>
      <c r="DJ5" s="41" t="s">
        <v>461</v>
      </c>
      <c r="DK5" s="41" t="s">
        <v>464</v>
      </c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</row>
    <row r="6" spans="2:126" ht="9.7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C6" s="148"/>
      <c r="AD6" s="148"/>
      <c r="AE6" s="148"/>
      <c r="AF6" s="148"/>
      <c r="AG6" s="148"/>
      <c r="AH6" s="148"/>
      <c r="AI6" s="148"/>
      <c r="AJ6" s="148"/>
      <c r="AK6" s="46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47"/>
      <c r="AX6" s="150"/>
      <c r="AY6" s="148"/>
      <c r="AZ6" s="148"/>
      <c r="BA6" s="148"/>
      <c r="BB6" s="148"/>
      <c r="BC6" s="148"/>
      <c r="BD6" s="148"/>
      <c r="BY6" s="34"/>
      <c r="BZ6" s="34"/>
      <c r="CA6" s="34"/>
      <c r="CB6" s="34"/>
      <c r="CC6" s="34"/>
      <c r="CD6" s="34"/>
      <c r="CE6" s="40"/>
      <c r="CF6" s="39"/>
      <c r="CG6" s="39"/>
      <c r="CH6" s="40"/>
      <c r="CI6" s="40"/>
      <c r="CJ6" s="40"/>
      <c r="CK6" s="40"/>
      <c r="CL6" s="40"/>
      <c r="CM6" s="40"/>
      <c r="CN6" s="40"/>
      <c r="CO6" s="40"/>
      <c r="CP6" s="40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</row>
    <row r="7" spans="2:126" s="35" customFormat="1" ht="15.75" customHeight="1">
      <c r="B7" s="464" t="s">
        <v>376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C7" s="148" t="s">
        <v>125</v>
      </c>
      <c r="AD7" s="152"/>
      <c r="AE7" s="152"/>
      <c r="AF7" s="152"/>
      <c r="AG7" s="152"/>
      <c r="AH7" s="152"/>
      <c r="AI7" s="152"/>
      <c r="AJ7" s="153"/>
      <c r="AK7" s="48"/>
      <c r="AL7" s="40"/>
      <c r="AM7" s="419" t="s">
        <v>392</v>
      </c>
      <c r="AN7" s="459"/>
      <c r="AO7" s="459"/>
      <c r="AP7" s="459"/>
      <c r="AQ7" s="459"/>
      <c r="AR7" s="459"/>
      <c r="AS7" s="459"/>
      <c r="AT7" s="459"/>
      <c r="AU7" s="460"/>
      <c r="AV7" s="40"/>
      <c r="AW7" s="49"/>
      <c r="AX7" s="153"/>
      <c r="AY7" s="152"/>
      <c r="AZ7" s="152"/>
      <c r="BA7" s="152"/>
      <c r="BB7" s="152"/>
      <c r="BC7" s="152"/>
      <c r="BD7" s="152"/>
      <c r="BY7" s="40"/>
      <c r="BZ7" s="40"/>
      <c r="CA7" s="40"/>
      <c r="CB7" s="40" t="s">
        <v>442</v>
      </c>
      <c r="CC7" s="40"/>
      <c r="CD7" s="40"/>
      <c r="CE7" s="39">
        <f>0.66*CG7</f>
        <v>1584</v>
      </c>
      <c r="CF7" s="39" t="s">
        <v>314</v>
      </c>
      <c r="CG7" s="50">
        <f>N11</f>
        <v>2400</v>
      </c>
      <c r="CH7" s="40"/>
      <c r="CI7" s="40"/>
      <c r="CJ7" s="40"/>
      <c r="CK7" s="51" t="s">
        <v>320</v>
      </c>
      <c r="CL7" s="52"/>
      <c r="CM7" s="52"/>
      <c r="CN7" s="40"/>
      <c r="CO7" s="40"/>
      <c r="CP7" s="53" t="s">
        <v>318</v>
      </c>
      <c r="CQ7" s="54">
        <v>1</v>
      </c>
      <c r="CR7" s="40"/>
      <c r="CS7" s="40"/>
      <c r="CT7" s="40"/>
      <c r="CU7" s="53" t="s">
        <v>127</v>
      </c>
      <c r="CV7" s="54">
        <v>2498</v>
      </c>
      <c r="CW7" s="161">
        <v>1</v>
      </c>
      <c r="CX7" s="55" t="s">
        <v>306</v>
      </c>
      <c r="CY7" s="56">
        <v>1</v>
      </c>
      <c r="CZ7" s="40" t="s">
        <v>462</v>
      </c>
      <c r="DA7" s="40">
        <v>1</v>
      </c>
      <c r="DB7" s="34"/>
      <c r="DC7" s="41">
        <v>1</v>
      </c>
      <c r="DD7" s="41">
        <v>2</v>
      </c>
      <c r="DE7" s="41">
        <v>3</v>
      </c>
      <c r="DF7" s="41">
        <v>4</v>
      </c>
      <c r="DG7" s="41">
        <v>5</v>
      </c>
      <c r="DH7" s="41">
        <v>6</v>
      </c>
      <c r="DI7" s="41">
        <v>7</v>
      </c>
      <c r="DJ7" s="39">
        <v>8</v>
      </c>
      <c r="DK7" s="39">
        <v>9</v>
      </c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</row>
    <row r="8" spans="1:126" s="35" customFormat="1" ht="15.75" customHeight="1" thickBot="1">
      <c r="A8" s="40"/>
      <c r="B8" s="57" t="s">
        <v>30</v>
      </c>
      <c r="C8" s="40"/>
      <c r="D8" s="40"/>
      <c r="E8" s="40"/>
      <c r="F8" s="40"/>
      <c r="G8" s="40"/>
      <c r="H8" s="40"/>
      <c r="I8" s="40"/>
      <c r="J8" s="40"/>
      <c r="K8" s="40"/>
      <c r="L8" s="39"/>
      <c r="M8" s="40"/>
      <c r="N8" s="40"/>
      <c r="O8" s="40"/>
      <c r="P8" s="40"/>
      <c r="Q8" s="58"/>
      <c r="S8" s="40"/>
      <c r="T8" s="40"/>
      <c r="U8" s="40"/>
      <c r="V8" s="40"/>
      <c r="W8" s="40"/>
      <c r="X8" s="59"/>
      <c r="Y8" s="40"/>
      <c r="Z8" s="40"/>
      <c r="AA8" s="40"/>
      <c r="AB8" s="40"/>
      <c r="AC8" s="153"/>
      <c r="AD8" s="153"/>
      <c r="AE8" s="153"/>
      <c r="AF8" s="153"/>
      <c r="AG8" s="153"/>
      <c r="AH8" s="153"/>
      <c r="AI8" s="153"/>
      <c r="AJ8" s="153"/>
      <c r="AK8" s="48"/>
      <c r="AL8" s="40"/>
      <c r="AM8" s="40"/>
      <c r="AN8" s="40"/>
      <c r="AO8" s="40"/>
      <c r="AP8" s="40"/>
      <c r="AQ8" s="40"/>
      <c r="AR8" s="40"/>
      <c r="AS8" s="40"/>
      <c r="AT8" s="40"/>
      <c r="AU8" s="60"/>
      <c r="AV8" s="40"/>
      <c r="AW8" s="49"/>
      <c r="AX8" s="153"/>
      <c r="AY8" s="152"/>
      <c r="AZ8" s="152"/>
      <c r="BA8" s="152"/>
      <c r="BB8" s="152"/>
      <c r="BC8" s="152"/>
      <c r="BD8" s="152"/>
      <c r="BY8" s="40"/>
      <c r="BZ8" s="40"/>
      <c r="CA8" s="40"/>
      <c r="CB8" s="40" t="s">
        <v>439</v>
      </c>
      <c r="CC8" s="40"/>
      <c r="CD8" s="40"/>
      <c r="CE8" s="40"/>
      <c r="CF8" s="39" t="s">
        <v>315</v>
      </c>
      <c r="CG8" s="50">
        <f>N12</f>
        <v>2100000</v>
      </c>
      <c r="CH8" s="40"/>
      <c r="CI8" s="40"/>
      <c r="CJ8" s="40"/>
      <c r="CK8" s="61" t="s">
        <v>329</v>
      </c>
      <c r="CL8" s="62">
        <f>SQRT(CG7)</f>
        <v>48.98979485566356</v>
      </c>
      <c r="CM8" s="63"/>
      <c r="CN8" s="40"/>
      <c r="CO8" s="40"/>
      <c r="CP8" s="64" t="s">
        <v>319</v>
      </c>
      <c r="CQ8" s="65">
        <v>2</v>
      </c>
      <c r="CR8" s="40"/>
      <c r="CS8" s="40"/>
      <c r="CT8" s="40"/>
      <c r="CU8" s="48" t="s">
        <v>128</v>
      </c>
      <c r="CV8" s="49">
        <v>2906</v>
      </c>
      <c r="CW8" s="161">
        <v>2</v>
      </c>
      <c r="CX8" s="67" t="s">
        <v>307</v>
      </c>
      <c r="CY8" s="68">
        <v>2</v>
      </c>
      <c r="CZ8" s="40" t="s">
        <v>463</v>
      </c>
      <c r="DA8" s="40">
        <v>2</v>
      </c>
      <c r="DB8" s="40">
        <v>1</v>
      </c>
      <c r="DC8" s="40" t="str">
        <f>'Steel Table'!C6</f>
        <v>WF-100x100x6x8 mm.</v>
      </c>
      <c r="DD8" s="40" t="str">
        <f>'Steel Table'!S6</f>
        <v>I-100x75x5x8 mm.</v>
      </c>
      <c r="DE8" s="40" t="str">
        <f>'Steel Table'!AJ6</f>
        <v>[-75x40x5x7 mm.</v>
      </c>
      <c r="DF8" s="40" t="str">
        <f>'Steel Table'!BC6</f>
        <v>Tube-25x25x2 mm.</v>
      </c>
      <c r="DG8" s="40" t="str">
        <f>'Steel Table'!BO6</f>
        <v>Tube-50x25x2 mm.</v>
      </c>
      <c r="DH8" s="40" t="str">
        <f>'Steel Table'!CD6</f>
        <v>Pipe-D21.7x2 mm.</v>
      </c>
      <c r="DI8" s="40" t="str">
        <f>'Steel Table'!CO6</f>
        <v>[-60x30x10x1.6 mm.</v>
      </c>
      <c r="DJ8" s="40" t="str">
        <f>'Steel Table'!AJ27</f>
        <v>2[]-75x40x5x7 mm.</v>
      </c>
      <c r="DK8" s="40" t="str">
        <f>'Steel Table'!DG6</f>
        <v>2[]-60x30x10x1.6 mm.</v>
      </c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</row>
    <row r="9" spans="1:126" s="35" customFormat="1" ht="15.75" customHeight="1" thickBot="1">
      <c r="A9" s="40"/>
      <c r="B9" s="34" t="s">
        <v>368</v>
      </c>
      <c r="C9" s="40"/>
      <c r="D9" s="40"/>
      <c r="E9" s="40"/>
      <c r="F9" s="40"/>
      <c r="G9" s="40"/>
      <c r="H9" s="40"/>
      <c r="I9" s="40"/>
      <c r="J9" s="40"/>
      <c r="K9" s="40"/>
      <c r="L9" s="39"/>
      <c r="M9" s="36" t="s">
        <v>0</v>
      </c>
      <c r="N9" s="465" t="s">
        <v>126</v>
      </c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69"/>
      <c r="Z9" s="69"/>
      <c r="AA9" s="40"/>
      <c r="AB9" s="40"/>
      <c r="AC9" s="353" t="s">
        <v>534</v>
      </c>
      <c r="AD9" s="354"/>
      <c r="AE9" s="355"/>
      <c r="AF9" s="153"/>
      <c r="AG9" s="153"/>
      <c r="AH9" s="153"/>
      <c r="AI9" s="153"/>
      <c r="AJ9" s="153"/>
      <c r="AK9" s="48"/>
      <c r="AL9" s="70"/>
      <c r="AM9" s="70"/>
      <c r="AN9" s="70"/>
      <c r="AO9" s="70"/>
      <c r="AP9" s="70"/>
      <c r="AQ9" s="71" t="s">
        <v>120</v>
      </c>
      <c r="AR9" s="70"/>
      <c r="AS9" s="70"/>
      <c r="AT9" s="70"/>
      <c r="AU9" s="70"/>
      <c r="AV9" s="70"/>
      <c r="AW9" s="49"/>
      <c r="AX9" s="153"/>
      <c r="AY9" s="152"/>
      <c r="AZ9" s="152"/>
      <c r="BA9" s="152"/>
      <c r="BB9" s="152"/>
      <c r="BC9" s="152"/>
      <c r="BD9" s="152"/>
      <c r="BY9" s="40"/>
      <c r="BZ9" s="40"/>
      <c r="CA9" s="40"/>
      <c r="CB9" s="40" t="s">
        <v>438</v>
      </c>
      <c r="CC9" s="40" t="s">
        <v>0</v>
      </c>
      <c r="CD9" s="40"/>
      <c r="CE9" s="39">
        <f>N42</f>
        <v>0</v>
      </c>
      <c r="CF9" s="39" t="s">
        <v>47</v>
      </c>
      <c r="CG9" s="39">
        <f>N14</f>
        <v>200</v>
      </c>
      <c r="CH9" s="40"/>
      <c r="CI9" s="40"/>
      <c r="CJ9" s="40"/>
      <c r="CK9" s="39" t="s">
        <v>333</v>
      </c>
      <c r="CL9" s="72">
        <f>((CG24/10)*636)/CL8</f>
        <v>194.73443455126267</v>
      </c>
      <c r="CM9" s="63"/>
      <c r="CN9" s="40"/>
      <c r="CO9" s="40"/>
      <c r="CP9" s="40"/>
      <c r="CQ9" s="40"/>
      <c r="CR9" s="40"/>
      <c r="CS9" s="39">
        <f>IF(CS11=CS13,1,IF(CS11=CS14,2,IF(CS11=CS15,3)))</f>
        <v>1</v>
      </c>
      <c r="CT9" s="40"/>
      <c r="CU9" s="48" t="s">
        <v>129</v>
      </c>
      <c r="CV9" s="49">
        <v>4078</v>
      </c>
      <c r="CW9" s="161">
        <v>3</v>
      </c>
      <c r="CX9" s="67" t="s">
        <v>308</v>
      </c>
      <c r="CY9" s="68">
        <v>3</v>
      </c>
      <c r="CZ9" s="40"/>
      <c r="DA9" s="40"/>
      <c r="DB9" s="40">
        <v>2</v>
      </c>
      <c r="DC9" s="40" t="str">
        <f>'Steel Table'!C7</f>
        <v>WF-125X125x6.5x9 mm.</v>
      </c>
      <c r="DD9" s="40" t="str">
        <f>'Steel Table'!S7</f>
        <v>I-125x75x5.5x9.5 mm.</v>
      </c>
      <c r="DE9" s="40" t="str">
        <f>'Steel Table'!AJ7</f>
        <v>[-100x50x5x7.5 mm.</v>
      </c>
      <c r="DF9" s="40" t="str">
        <f>'Steel Table'!BC7</f>
        <v>Tube-25x25x2.3 mm.</v>
      </c>
      <c r="DG9" s="40" t="str">
        <f>'Steel Table'!BO7</f>
        <v>Tube-50x25x2.3 mm.</v>
      </c>
      <c r="DH9" s="40" t="str">
        <f>'Steel Table'!CD7</f>
        <v>Pipe-D27.2x2 mm.</v>
      </c>
      <c r="DI9" s="40" t="str">
        <f>'Steel Table'!CO7</f>
        <v>[-60x30x10x2 mm.</v>
      </c>
      <c r="DJ9" s="40" t="str">
        <f>'Steel Table'!AJ28</f>
        <v>2[]-100x50x5x7.5 mm.</v>
      </c>
      <c r="DK9" s="40" t="str">
        <f>'Steel Table'!DG7</f>
        <v>2[]-60x30x10x2 mm.</v>
      </c>
      <c r="DL9" s="52"/>
      <c r="DM9" s="52"/>
      <c r="DN9" s="40"/>
      <c r="DO9" s="40"/>
      <c r="DP9" s="40"/>
      <c r="DQ9" s="40"/>
      <c r="DR9" s="40"/>
      <c r="DS9" s="40"/>
      <c r="DT9" s="40"/>
      <c r="DU9" s="40"/>
      <c r="DV9" s="40"/>
    </row>
    <row r="10" spans="1:126" s="35" customFormat="1" ht="15.75" customHeight="1" thickBot="1">
      <c r="A10" s="40"/>
      <c r="B10" s="31" t="s">
        <v>369</v>
      </c>
      <c r="C10" s="40"/>
      <c r="D10" s="40"/>
      <c r="E10" s="40"/>
      <c r="F10" s="40"/>
      <c r="G10" s="40"/>
      <c r="H10" s="40"/>
      <c r="I10" s="40"/>
      <c r="J10" s="40"/>
      <c r="K10" s="40"/>
      <c r="L10" s="39"/>
      <c r="M10" s="36" t="s">
        <v>0</v>
      </c>
      <c r="N10" s="359" t="s">
        <v>127</v>
      </c>
      <c r="O10" s="359"/>
      <c r="P10" s="359"/>
      <c r="Q10" s="40"/>
      <c r="R10" s="40"/>
      <c r="S10" s="73"/>
      <c r="T10" s="73"/>
      <c r="U10" s="73"/>
      <c r="V10" s="73"/>
      <c r="W10" s="73"/>
      <c r="X10" s="59"/>
      <c r="Y10" s="74"/>
      <c r="Z10" s="74"/>
      <c r="AA10" s="52"/>
      <c r="AB10" s="52"/>
      <c r="AC10" s="347"/>
      <c r="AD10" s="348"/>
      <c r="AE10" s="404"/>
      <c r="AF10" s="153"/>
      <c r="AG10" s="153"/>
      <c r="AH10" s="153"/>
      <c r="AI10" s="153"/>
      <c r="AJ10" s="153"/>
      <c r="AK10" s="48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9"/>
      <c r="AX10" s="153"/>
      <c r="AY10" s="152"/>
      <c r="AZ10" s="152"/>
      <c r="BA10" s="152"/>
      <c r="BB10" s="152"/>
      <c r="BC10" s="152"/>
      <c r="BD10" s="152"/>
      <c r="BY10" s="40"/>
      <c r="BZ10" s="40"/>
      <c r="CA10" s="40"/>
      <c r="CB10" s="40" t="s">
        <v>440</v>
      </c>
      <c r="CC10" s="40" t="s">
        <v>0</v>
      </c>
      <c r="CD10" s="40"/>
      <c r="CE10" s="50">
        <f>N15</f>
        <v>500</v>
      </c>
      <c r="CF10" s="39" t="s">
        <v>122</v>
      </c>
      <c r="CG10" s="39">
        <f>N15</f>
        <v>500</v>
      </c>
      <c r="CH10" s="40"/>
      <c r="CI10" s="40"/>
      <c r="CJ10" s="40"/>
      <c r="CK10" s="36" t="s">
        <v>327</v>
      </c>
      <c r="CL10" s="30">
        <f>(CG24*CG27)/100</f>
        <v>13.5</v>
      </c>
      <c r="CM10" s="63"/>
      <c r="CN10" s="40"/>
      <c r="CO10" s="40"/>
      <c r="CP10" s="40">
        <f>IF(OR(CX5=1,CX5=2,CX5=3,CX5=7),1,IF(OR(CX5=4,CX5=5),2,IF(CX5=6,3)))</f>
        <v>1</v>
      </c>
      <c r="CQ10" s="40"/>
      <c r="CR10" s="40"/>
      <c r="CS10" s="40"/>
      <c r="CT10" s="40"/>
      <c r="CU10" s="48" t="s">
        <v>130</v>
      </c>
      <c r="CV10" s="49">
        <v>2498</v>
      </c>
      <c r="CW10" s="161">
        <v>4</v>
      </c>
      <c r="CX10" s="67" t="s">
        <v>311</v>
      </c>
      <c r="CY10" s="68">
        <v>4</v>
      </c>
      <c r="CZ10" s="40"/>
      <c r="DA10" s="40"/>
      <c r="DB10" s="40">
        <v>3</v>
      </c>
      <c r="DC10" s="40" t="str">
        <f>'Steel Table'!C8</f>
        <v>WF-150X75x6x9 mm.</v>
      </c>
      <c r="DD10" s="40" t="str">
        <f>'Steel Table'!S8</f>
        <v>I-150x75x5.5x9.5 mm.</v>
      </c>
      <c r="DE10" s="40" t="str">
        <f>'Steel Table'!AJ8</f>
        <v>[-125x65x6x8 mm.</v>
      </c>
      <c r="DF10" s="40" t="str">
        <f>'Steel Table'!BC8</f>
        <v>Tube-25x25x2.6 mm.</v>
      </c>
      <c r="DG10" s="40" t="str">
        <f>'Steel Table'!BO8</f>
        <v>Tube-50x25x3.2 mm.</v>
      </c>
      <c r="DH10" s="40" t="str">
        <f>'Steel Table'!CD8</f>
        <v>Pipe-D27.2x2.3 mm.</v>
      </c>
      <c r="DI10" s="40" t="str">
        <f>'Steel Table'!CO8</f>
        <v>[-60x30x10x2.3 mm.</v>
      </c>
      <c r="DJ10" s="40" t="str">
        <f>'Steel Table'!AJ29</f>
        <v>2[]-125x65x6x8 mm.</v>
      </c>
      <c r="DK10" s="40" t="str">
        <f>'Steel Table'!DG8</f>
        <v>2[]-60x30x10x2.3 mm.</v>
      </c>
      <c r="DL10" s="39"/>
      <c r="DM10" s="39"/>
      <c r="DN10" s="40"/>
      <c r="DO10" s="40"/>
      <c r="DP10" s="40"/>
      <c r="DQ10" s="40"/>
      <c r="DR10" s="40"/>
      <c r="DS10" s="40"/>
      <c r="DT10" s="40"/>
      <c r="DU10" s="40"/>
      <c r="DV10" s="40"/>
    </row>
    <row r="11" spans="1:126" s="35" customFormat="1" ht="15.75" customHeight="1">
      <c r="A11" s="40"/>
      <c r="B11" s="31" t="s">
        <v>370</v>
      </c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36" t="s">
        <v>0</v>
      </c>
      <c r="N11" s="359">
        <f>IF(CU5&gt;=2400,2400)</f>
        <v>2400</v>
      </c>
      <c r="O11" s="359"/>
      <c r="P11" s="359"/>
      <c r="Q11" s="40"/>
      <c r="R11" s="40"/>
      <c r="S11" s="52"/>
      <c r="T11" s="52"/>
      <c r="U11" s="52"/>
      <c r="V11" s="52"/>
      <c r="W11" s="52"/>
      <c r="X11" s="40"/>
      <c r="Y11" s="52"/>
      <c r="Z11" s="52"/>
      <c r="AA11" s="40"/>
      <c r="AB11" s="40"/>
      <c r="AC11" s="153"/>
      <c r="AD11" s="153"/>
      <c r="AE11" s="153"/>
      <c r="AF11" s="153"/>
      <c r="AG11" s="153"/>
      <c r="AH11" s="153"/>
      <c r="AI11" s="153"/>
      <c r="AJ11" s="153"/>
      <c r="AK11" s="48"/>
      <c r="AL11" s="40"/>
      <c r="AM11" s="396" t="s">
        <v>91</v>
      </c>
      <c r="AN11" s="396"/>
      <c r="AO11" s="39" t="s">
        <v>0</v>
      </c>
      <c r="AP11" s="397"/>
      <c r="AQ11" s="398"/>
      <c r="AR11" s="399"/>
      <c r="AS11" s="396" t="s">
        <v>74</v>
      </c>
      <c r="AT11" s="396"/>
      <c r="AU11" s="52"/>
      <c r="AV11" s="52"/>
      <c r="AW11" s="49"/>
      <c r="AX11" s="153"/>
      <c r="AY11" s="152"/>
      <c r="AZ11" s="152"/>
      <c r="BA11" s="152"/>
      <c r="BB11" s="152"/>
      <c r="BC11" s="152"/>
      <c r="BD11" s="152"/>
      <c r="BY11" s="40"/>
      <c r="BZ11" s="40"/>
      <c r="CA11" s="40"/>
      <c r="CB11" s="40" t="s">
        <v>441</v>
      </c>
      <c r="CC11" s="40" t="s">
        <v>0</v>
      </c>
      <c r="CD11" s="40"/>
      <c r="CE11" s="75">
        <f>(CG27+CG28)/10</f>
        <v>2.2</v>
      </c>
      <c r="CF11" s="39" t="s">
        <v>316</v>
      </c>
      <c r="CG11" s="39">
        <f>0.6*CG7</f>
        <v>1440</v>
      </c>
      <c r="CH11" s="39"/>
      <c r="CI11" s="396"/>
      <c r="CJ11" s="396"/>
      <c r="CK11" s="36" t="s">
        <v>328</v>
      </c>
      <c r="CL11" s="36">
        <f>CG23/10</f>
        <v>19.4</v>
      </c>
      <c r="CM11" s="63"/>
      <c r="CN11" s="63"/>
      <c r="CO11" s="40"/>
      <c r="CP11" s="40" t="str">
        <f>IF($CP10=1,CP23,IF($CP10=2,CP24,IF($CP10=3,CP25)))</f>
        <v>≤</v>
      </c>
      <c r="CQ11" s="40" t="str">
        <f>IF($CP10=1,CQ23,IF($CP10=2,CQ24,IF($CP10=3,CQ25)))</f>
        <v>544/√Fy</v>
      </c>
      <c r="CR11" s="40">
        <f>IF($CP10=1,CR23,IF($CP10=2,CR24,IF($CP10=3,CR25)))</f>
        <v>11.104353500617075</v>
      </c>
      <c r="CS11" s="39" t="str">
        <f>IF($CP10=1,CS23,IF($CP10=2,CS24,IF($CP10=3,CS25)))</f>
        <v>Compact</v>
      </c>
      <c r="CT11" s="40"/>
      <c r="CU11" s="48" t="s">
        <v>131</v>
      </c>
      <c r="CV11" s="49">
        <v>3314</v>
      </c>
      <c r="CW11" s="161">
        <v>5</v>
      </c>
      <c r="CX11" s="67" t="s">
        <v>309</v>
      </c>
      <c r="CY11" s="68">
        <v>5</v>
      </c>
      <c r="CZ11" s="40"/>
      <c r="DA11" s="40"/>
      <c r="DB11" s="40">
        <v>4</v>
      </c>
      <c r="DC11" s="40" t="str">
        <f>'Steel Table'!C9</f>
        <v>WF-150x100x6x9 mm.</v>
      </c>
      <c r="DD11" s="40" t="str">
        <f>'Steel Table'!S9</f>
        <v>I-150x125x8.5x14 mm.</v>
      </c>
      <c r="DE11" s="40" t="str">
        <f>'Steel Table'!AJ9</f>
        <v>[-150x75x6.5x10 mm.</v>
      </c>
      <c r="DF11" s="40" t="str">
        <f>'Steel Table'!BC9</f>
        <v>Tube-25x25x3.2 mm.</v>
      </c>
      <c r="DG11" s="40" t="str">
        <f>'Steel Table'!BO9</f>
        <v>Tube-50x25x3.6 mm.</v>
      </c>
      <c r="DH11" s="40" t="str">
        <f>'Steel Table'!CD9</f>
        <v>Pipe-D34x2.3 mm.</v>
      </c>
      <c r="DI11" s="40" t="str">
        <f>'Steel Table'!CO9</f>
        <v>[-70x40x25x1.6 mm.</v>
      </c>
      <c r="DJ11" s="40" t="str">
        <f>'Steel Table'!AJ30</f>
        <v>2[]-150x75x6.5x10 mm.</v>
      </c>
      <c r="DK11" s="40" t="str">
        <f>'Steel Table'!DG9</f>
        <v>2[]-70x40x25x1.6 mm.</v>
      </c>
      <c r="DL11" s="39"/>
      <c r="DM11" s="39"/>
      <c r="DN11" s="40"/>
      <c r="DO11" s="40"/>
      <c r="DP11" s="40"/>
      <c r="DQ11" s="40"/>
      <c r="DR11" s="40"/>
      <c r="DS11" s="40"/>
      <c r="DT11" s="40"/>
      <c r="DU11" s="40"/>
      <c r="DV11" s="40"/>
    </row>
    <row r="12" spans="1:126" s="35" customFormat="1" ht="15.75" customHeight="1">
      <c r="A12" s="40"/>
      <c r="B12" s="31" t="s">
        <v>371</v>
      </c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50" t="s">
        <v>0</v>
      </c>
      <c r="N12" s="370">
        <v>2100000</v>
      </c>
      <c r="O12" s="370"/>
      <c r="P12" s="370"/>
      <c r="Q12" s="40"/>
      <c r="S12" s="40"/>
      <c r="T12" s="40"/>
      <c r="U12" s="39"/>
      <c r="V12" s="74"/>
      <c r="W12" s="74"/>
      <c r="X12" s="39"/>
      <c r="Y12" s="76"/>
      <c r="Z12" s="111"/>
      <c r="AA12" s="52"/>
      <c r="AB12" s="52"/>
      <c r="AC12" s="153"/>
      <c r="AD12" s="153"/>
      <c r="AE12" s="153"/>
      <c r="AF12" s="153"/>
      <c r="AG12" s="153"/>
      <c r="AH12" s="153"/>
      <c r="AI12" s="153"/>
      <c r="AJ12" s="153"/>
      <c r="AK12" s="48"/>
      <c r="AL12" s="40"/>
      <c r="AM12" s="40"/>
      <c r="AN12" s="40"/>
      <c r="AO12" s="40"/>
      <c r="AP12" s="40"/>
      <c r="AQ12" s="469" t="s">
        <v>391</v>
      </c>
      <c r="AR12" s="34" t="s">
        <v>124</v>
      </c>
      <c r="AS12" s="40"/>
      <c r="AT12" s="40"/>
      <c r="AU12" s="40"/>
      <c r="AV12" s="40"/>
      <c r="AW12" s="49"/>
      <c r="AX12" s="153"/>
      <c r="AY12" s="152"/>
      <c r="AZ12" s="152"/>
      <c r="BA12" s="152"/>
      <c r="BB12" s="152"/>
      <c r="BC12" s="152"/>
      <c r="BD12" s="152"/>
      <c r="BY12" s="40"/>
      <c r="BZ12" s="40"/>
      <c r="CA12" s="40"/>
      <c r="CB12" s="40"/>
      <c r="CC12" s="40"/>
      <c r="CD12" s="40"/>
      <c r="CE12" s="62">
        <f>CE10/((CG26/10)*(CE9+(2.5*CE11)))</f>
        <v>151.51515151515153</v>
      </c>
      <c r="CF12" s="36" t="s">
        <v>271</v>
      </c>
      <c r="CG12" s="75">
        <f>(CG9*100)/CG11</f>
        <v>13.88888888888889</v>
      </c>
      <c r="CH12" s="40"/>
      <c r="CI12" s="39"/>
      <c r="CJ12" s="40"/>
      <c r="CK12" s="40" t="s">
        <v>326</v>
      </c>
      <c r="CL12" s="77">
        <f>140000/((CL11/CL10)*CL8)</f>
        <v>1988.63213653789</v>
      </c>
      <c r="CM12" s="30"/>
      <c r="CN12" s="39"/>
      <c r="CO12" s="40"/>
      <c r="CP12" s="40"/>
      <c r="CQ12" s="40"/>
      <c r="CR12" s="39"/>
      <c r="CS12" s="39"/>
      <c r="CT12" s="39"/>
      <c r="CU12" s="48" t="s">
        <v>132</v>
      </c>
      <c r="CV12" s="49">
        <v>3722</v>
      </c>
      <c r="CW12" s="161">
        <v>6</v>
      </c>
      <c r="CX12" s="67" t="s">
        <v>278</v>
      </c>
      <c r="CY12" s="68">
        <v>6</v>
      </c>
      <c r="CZ12" s="40"/>
      <c r="DA12" s="40"/>
      <c r="DB12" s="40">
        <v>5</v>
      </c>
      <c r="DC12" s="40" t="str">
        <f>'Steel Table'!C10</f>
        <v>WF-150X150x7x10 mm.</v>
      </c>
      <c r="DD12" s="40" t="str">
        <f>'Steel Table'!S10</f>
        <v>I-180x100x6x10 mm.</v>
      </c>
      <c r="DE12" s="40" t="str">
        <f>'Steel Table'!AJ10</f>
        <v>[-150x75x9x12.5 mm.</v>
      </c>
      <c r="DF12" s="40" t="str">
        <f>'Steel Table'!BC10</f>
        <v>Tube-32x32x2.3 mm.</v>
      </c>
      <c r="DG12" s="40" t="str">
        <f>'Steel Table'!BO10</f>
        <v>Tube-75x38x2.3 mm.</v>
      </c>
      <c r="DH12" s="40" t="str">
        <f>'Steel Table'!CD10</f>
        <v>Pipe-D42.7x2.3 mm.</v>
      </c>
      <c r="DI12" s="40" t="str">
        <f>'Steel Table'!CO10</f>
        <v>[-70x40x25x2.3 mm.</v>
      </c>
      <c r="DJ12" s="40" t="str">
        <f>'Steel Table'!AJ31</f>
        <v>2[]-150x75x9x12.5 mm.</v>
      </c>
      <c r="DK12" s="40" t="str">
        <f>'Steel Table'!DG10</f>
        <v>2[]-70x40x25x2.3 mm.</v>
      </c>
      <c r="DL12" s="39"/>
      <c r="DM12" s="39"/>
      <c r="DN12" s="40"/>
      <c r="DO12" s="40"/>
      <c r="DP12" s="40"/>
      <c r="DQ12" s="40"/>
      <c r="DR12" s="40"/>
      <c r="DS12" s="40"/>
      <c r="DT12" s="40"/>
      <c r="DU12" s="40"/>
      <c r="DV12" s="40"/>
    </row>
    <row r="13" spans="1:126" s="35" customFormat="1" ht="15.75" customHeight="1" thickBot="1">
      <c r="A13" s="40"/>
      <c r="B13" s="78" t="s">
        <v>403</v>
      </c>
      <c r="M13" s="36" t="s">
        <v>0</v>
      </c>
      <c r="N13" s="433">
        <v>1</v>
      </c>
      <c r="O13" s="433"/>
      <c r="P13" s="433"/>
      <c r="AC13" s="152"/>
      <c r="AD13" s="152"/>
      <c r="AE13" s="152"/>
      <c r="AF13" s="152"/>
      <c r="AG13" s="152"/>
      <c r="AH13" s="152"/>
      <c r="AI13" s="152"/>
      <c r="AJ13" s="152"/>
      <c r="AK13" s="48"/>
      <c r="AL13" s="40"/>
      <c r="AM13" s="79"/>
      <c r="AN13" s="80"/>
      <c r="AO13" s="80"/>
      <c r="AP13" s="80"/>
      <c r="AQ13" s="470"/>
      <c r="AR13" s="80"/>
      <c r="AS13" s="80"/>
      <c r="AT13" s="80"/>
      <c r="AU13" s="80"/>
      <c r="AV13" s="40"/>
      <c r="AW13" s="49"/>
      <c r="AX13" s="153"/>
      <c r="AY13" s="152"/>
      <c r="AZ13" s="152"/>
      <c r="BA13" s="152"/>
      <c r="BB13" s="152"/>
      <c r="BC13" s="152"/>
      <c r="BD13" s="152"/>
      <c r="BY13" s="40"/>
      <c r="BZ13" s="40"/>
      <c r="CA13" s="40"/>
      <c r="CB13" s="81" t="s">
        <v>443</v>
      </c>
      <c r="CC13" s="40" t="s">
        <v>0</v>
      </c>
      <c r="CE13" s="82">
        <f>(282*CE4^2)*(1+3*(CE9/CE3)*(CE4/CE5)^1.5)*SQRT((CG7*CE5)/CE4)</f>
        <v>6091.2</v>
      </c>
      <c r="CF13" s="35" t="s">
        <v>317</v>
      </c>
      <c r="CG13" s="35" t="str">
        <f>CX15</f>
        <v>WF-200x150x6x9 mm.</v>
      </c>
      <c r="CK13" s="35" t="s">
        <v>330</v>
      </c>
      <c r="CL13" s="36">
        <f>IF(CG22&lt;=CL9,1,IF(CG22&gt;CL9,2))</f>
        <v>2</v>
      </c>
      <c r="CO13" s="35">
        <v>1</v>
      </c>
      <c r="CP13" s="83" t="s">
        <v>350</v>
      </c>
      <c r="CQ13" s="35" t="str">
        <f>CK21</f>
        <v>544/√Fy</v>
      </c>
      <c r="CR13" s="75">
        <f>CL21</f>
        <v>11.104353500617075</v>
      </c>
      <c r="CS13" s="75" t="s">
        <v>346</v>
      </c>
      <c r="CT13" s="84"/>
      <c r="CU13" s="64" t="s">
        <v>133</v>
      </c>
      <c r="CV13" s="65">
        <v>4690</v>
      </c>
      <c r="CW13" s="161">
        <v>7</v>
      </c>
      <c r="CX13" s="85" t="s">
        <v>310</v>
      </c>
      <c r="CY13" s="86">
        <v>7</v>
      </c>
      <c r="CZ13" s="40"/>
      <c r="DA13" s="40"/>
      <c r="DB13" s="40">
        <v>6</v>
      </c>
      <c r="DC13" s="40" t="str">
        <f>'Steel Table'!C11</f>
        <v>WF-175X175x7.5x11 mm.</v>
      </c>
      <c r="DD13" s="40" t="str">
        <f>'Steel Table'!S11</f>
        <v>I-200x100x7x10 mm.</v>
      </c>
      <c r="DE13" s="40" t="str">
        <f>'Steel Table'!AJ11</f>
        <v>[-180x75x7x10.5 mm.</v>
      </c>
      <c r="DF13" s="40" t="str">
        <f>'Steel Table'!BC11</f>
        <v>Tube-32x32x3.2 mm.</v>
      </c>
      <c r="DG13" s="40" t="str">
        <f>'Steel Table'!BO11</f>
        <v>Tube-75x38x3.2 mm.</v>
      </c>
      <c r="DH13" s="40" t="str">
        <f>'Steel Table'!CD11</f>
        <v>Pipe-D42.7x2.5 mm.</v>
      </c>
      <c r="DI13" s="40" t="str">
        <f>'Steel Table'!CO11</f>
        <v>[-75x45x15x1.6 mm.</v>
      </c>
      <c r="DJ13" s="40" t="str">
        <f>'Steel Table'!AJ32</f>
        <v>2[]-180x75x7x10.5 mm.</v>
      </c>
      <c r="DK13" s="40" t="str">
        <f>'Steel Table'!DG11</f>
        <v>2[]-75x45x15x1.6 mm.</v>
      </c>
      <c r="DL13" s="39"/>
      <c r="DM13" s="39"/>
      <c r="DN13" s="40"/>
      <c r="DO13" s="40"/>
      <c r="DP13" s="40"/>
      <c r="DQ13" s="40"/>
      <c r="DR13" s="40"/>
      <c r="DS13" s="40"/>
      <c r="DT13" s="40"/>
      <c r="DU13" s="40"/>
      <c r="DV13" s="40"/>
    </row>
    <row r="14" spans="1:126" s="35" customFormat="1" ht="15.75" customHeight="1">
      <c r="A14" s="40"/>
      <c r="B14" s="78" t="s">
        <v>372</v>
      </c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50" t="s">
        <v>0</v>
      </c>
      <c r="N14" s="359">
        <v>200</v>
      </c>
      <c r="O14" s="359"/>
      <c r="P14" s="359"/>
      <c r="Q14" s="40"/>
      <c r="R14" s="58"/>
      <c r="S14" s="40"/>
      <c r="T14" s="40"/>
      <c r="U14" s="40"/>
      <c r="V14" s="52"/>
      <c r="W14" s="52"/>
      <c r="X14" s="40"/>
      <c r="Y14" s="52"/>
      <c r="Z14" s="52"/>
      <c r="AA14" s="40"/>
      <c r="AB14" s="40"/>
      <c r="AC14" s="153"/>
      <c r="AD14" s="153"/>
      <c r="AE14" s="153"/>
      <c r="AF14" s="153"/>
      <c r="AG14" s="153"/>
      <c r="AH14" s="153"/>
      <c r="AI14" s="153"/>
      <c r="AJ14" s="153"/>
      <c r="AK14" s="48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9"/>
      <c r="AX14" s="153"/>
      <c r="AY14" s="152"/>
      <c r="AZ14" s="152"/>
      <c r="BA14" s="152"/>
      <c r="BB14" s="152"/>
      <c r="BC14" s="152"/>
      <c r="BD14" s="152"/>
      <c r="BY14" s="40"/>
      <c r="BZ14" s="40"/>
      <c r="CA14" s="40"/>
      <c r="CB14" s="40"/>
      <c r="CC14" s="40"/>
      <c r="CD14" s="40"/>
      <c r="CE14" s="39"/>
      <c r="CF14" s="75" t="s">
        <v>263</v>
      </c>
      <c r="CG14" s="39">
        <f>'Steel Table'!ED21</f>
        <v>39.01</v>
      </c>
      <c r="CI14" s="39"/>
      <c r="CJ14" s="39"/>
      <c r="CK14" s="87" t="s">
        <v>331</v>
      </c>
      <c r="CM14" s="30"/>
      <c r="CN14" s="39"/>
      <c r="CO14" s="40">
        <v>2</v>
      </c>
      <c r="CP14" s="40" t="s">
        <v>351</v>
      </c>
      <c r="CQ14" s="52" t="str">
        <f>CK22</f>
        <v>795/√Fy</v>
      </c>
      <c r="CR14" s="88">
        <f>CL22</f>
        <v>16.227869545938557</v>
      </c>
      <c r="CS14" s="88" t="s">
        <v>347</v>
      </c>
      <c r="CT14" s="84"/>
      <c r="CU14" s="40"/>
      <c r="CV14" s="89">
        <v>9</v>
      </c>
      <c r="CW14" s="40"/>
      <c r="CX14" s="40"/>
      <c r="CY14" s="40"/>
      <c r="CZ14" s="40"/>
      <c r="DA14" s="40"/>
      <c r="DB14" s="40">
        <v>7</v>
      </c>
      <c r="DC14" s="40" t="str">
        <f>'Steel Table'!C12</f>
        <v>WF-200x100x4.5x7 mm.</v>
      </c>
      <c r="DD14" s="40" t="str">
        <f>'Steel Table'!S12</f>
        <v>I-200x150x9x16 mm.</v>
      </c>
      <c r="DE14" s="40" t="str">
        <f>'Steel Table'!AJ12</f>
        <v>[-180x75x7.5x11 mm.</v>
      </c>
      <c r="DF14" s="40" t="str">
        <f>'Steel Table'!BC12</f>
        <v>Tube-38x38x2.3 mm.</v>
      </c>
      <c r="DG14" s="40" t="str">
        <f>'Steel Table'!BO12</f>
        <v>Tube-75x45x1.6 mm.</v>
      </c>
      <c r="DH14" s="40" t="str">
        <f>'Steel Table'!CD12</f>
        <v>Pipe-D48.6x2.3 mm.</v>
      </c>
      <c r="DI14" s="40" t="str">
        <f>'Steel Table'!CO12</f>
        <v>[-75x45x15x2 mm.</v>
      </c>
      <c r="DJ14" s="40" t="str">
        <f>'Steel Table'!AJ33</f>
        <v>2[]-180x75x7.5x11 mm.</v>
      </c>
      <c r="DK14" s="40" t="str">
        <f>'Steel Table'!DG12</f>
        <v>2[]-75x45x15x2 mm.</v>
      </c>
      <c r="DL14" s="39"/>
      <c r="DM14" s="39"/>
      <c r="DN14" s="40"/>
      <c r="DO14" s="40"/>
      <c r="DP14" s="40"/>
      <c r="DQ14" s="40"/>
      <c r="DR14" s="40"/>
      <c r="DS14" s="40"/>
      <c r="DT14" s="40"/>
      <c r="DU14" s="40"/>
      <c r="DV14" s="40"/>
    </row>
    <row r="15" spans="1:126" s="35" customFormat="1" ht="15.75" customHeight="1">
      <c r="A15" s="40"/>
      <c r="B15" s="31" t="s">
        <v>373</v>
      </c>
      <c r="C15" s="40"/>
      <c r="D15" s="40"/>
      <c r="E15" s="40"/>
      <c r="F15" s="40"/>
      <c r="G15" s="40"/>
      <c r="H15" s="40"/>
      <c r="I15" s="40"/>
      <c r="J15" s="40"/>
      <c r="K15" s="40"/>
      <c r="L15" s="39"/>
      <c r="M15" s="50" t="s">
        <v>0</v>
      </c>
      <c r="N15" s="359">
        <v>500</v>
      </c>
      <c r="O15" s="359"/>
      <c r="P15" s="359"/>
      <c r="Q15" s="40"/>
      <c r="S15" s="40"/>
      <c r="T15" s="40"/>
      <c r="U15" s="39"/>
      <c r="V15" s="76"/>
      <c r="W15" s="75"/>
      <c r="X15" s="90"/>
      <c r="Y15" s="90"/>
      <c r="Z15" s="90"/>
      <c r="AA15" s="52"/>
      <c r="AB15" s="52"/>
      <c r="AC15" s="152"/>
      <c r="AD15" s="152"/>
      <c r="AE15" s="152"/>
      <c r="AF15" s="152"/>
      <c r="AG15" s="152"/>
      <c r="AH15" s="152"/>
      <c r="AI15" s="153"/>
      <c r="AJ15" s="153"/>
      <c r="AK15" s="91"/>
      <c r="AL15" s="70"/>
      <c r="AM15" s="70"/>
      <c r="AN15" s="418" t="s">
        <v>393</v>
      </c>
      <c r="AO15" s="418"/>
      <c r="AP15" s="70"/>
      <c r="AQ15" s="71"/>
      <c r="AR15" s="70"/>
      <c r="AS15" s="418" t="s">
        <v>393</v>
      </c>
      <c r="AT15" s="418"/>
      <c r="AU15" s="70"/>
      <c r="AV15" s="70"/>
      <c r="AW15" s="49"/>
      <c r="AX15" s="153"/>
      <c r="AY15" s="152"/>
      <c r="AZ15" s="152"/>
      <c r="BA15" s="152"/>
      <c r="BB15" s="152"/>
      <c r="BC15" s="152"/>
      <c r="BD15" s="152"/>
      <c r="BY15" s="40"/>
      <c r="BZ15" s="40"/>
      <c r="CA15" s="40"/>
      <c r="CB15" s="40" t="s">
        <v>438</v>
      </c>
      <c r="CC15" s="40" t="s">
        <v>0</v>
      </c>
      <c r="CD15" s="40"/>
      <c r="CE15" s="39">
        <f>N46</f>
        <v>0</v>
      </c>
      <c r="CF15" s="75" t="s">
        <v>142</v>
      </c>
      <c r="CG15" s="39">
        <f>'Steel Table'!EE21</f>
        <v>30.6</v>
      </c>
      <c r="CI15" s="39" t="s">
        <v>324</v>
      </c>
      <c r="CJ15" s="92">
        <f>'Steel Table'!EL21</f>
        <v>194</v>
      </c>
      <c r="CK15" s="87" t="s">
        <v>332</v>
      </c>
      <c r="CM15" s="30"/>
      <c r="CN15" s="39"/>
      <c r="CO15" s="40">
        <v>3</v>
      </c>
      <c r="CP15" s="40" t="s">
        <v>349</v>
      </c>
      <c r="CQ15" s="40" t="str">
        <f>CK22</f>
        <v>795/√Fy</v>
      </c>
      <c r="CR15" s="93">
        <f>CL22</f>
        <v>16.227869545938557</v>
      </c>
      <c r="CS15" s="93" t="s">
        <v>348</v>
      </c>
      <c r="CT15" s="84"/>
      <c r="CU15" s="40">
        <v>1</v>
      </c>
      <c r="CV15" s="40" t="str">
        <f>VLOOKUP(1,$DB$8:$DK$79,CY$5,TRUE)</f>
        <v>WF-100x100x6x8 mm.</v>
      </c>
      <c r="CX15" s="40" t="str">
        <f>VLOOKUP(CV14,CU15:CV86,2,TRUE)</f>
        <v>WF-200x150x6x9 mm.</v>
      </c>
      <c r="CY15" s="40"/>
      <c r="CZ15" s="40"/>
      <c r="DA15" s="40"/>
      <c r="DB15" s="40">
        <v>8</v>
      </c>
      <c r="DC15" s="40" t="str">
        <f>'Steel Table'!C13</f>
        <v>WF-200x100x5.5x8 mm.</v>
      </c>
      <c r="DD15" s="40" t="str">
        <f>'Steel Table'!S13</f>
        <v>I-250x125x7.5x12.5 mm.</v>
      </c>
      <c r="DE15" s="40" t="str">
        <f>'Steel Table'!AJ13</f>
        <v>[-180x75x8x13.5 mm.</v>
      </c>
      <c r="DF15" s="40" t="str">
        <f>'Steel Table'!BC13</f>
        <v>Tube-38x38x3.2 mm.</v>
      </c>
      <c r="DG15" s="40" t="str">
        <f>'Steel Table'!BO13</f>
        <v>Tube-75x45x2.3 mm.</v>
      </c>
      <c r="DH15" s="40" t="str">
        <f>'Steel Table'!CD13</f>
        <v>Pipe-D48.6x2.5 mm.</v>
      </c>
      <c r="DI15" s="40" t="str">
        <f>'Steel Table'!CO13</f>
        <v>[-75x45x15x2.3 mm.</v>
      </c>
      <c r="DJ15" s="40" t="str">
        <f>'Steel Table'!AJ34</f>
        <v>2[]-180x75x8x13.5 mm.</v>
      </c>
      <c r="DK15" s="40" t="str">
        <f>'Steel Table'!DG13</f>
        <v>2[]-75x45x15x2.3 mm.</v>
      </c>
      <c r="DL15" s="39"/>
      <c r="DM15" s="39"/>
      <c r="DN15" s="40"/>
      <c r="DO15" s="40"/>
      <c r="DP15" s="40"/>
      <c r="DQ15" s="40"/>
      <c r="DR15" s="40"/>
      <c r="DS15" s="40"/>
      <c r="DT15" s="40"/>
      <c r="DU15" s="40"/>
      <c r="DV15" s="40"/>
    </row>
    <row r="16" spans="1:126" s="35" customFormat="1" ht="15.75" customHeight="1">
      <c r="A16" s="40"/>
      <c r="B16" s="31" t="s">
        <v>374</v>
      </c>
      <c r="C16" s="52"/>
      <c r="D16" s="52"/>
      <c r="E16" s="52"/>
      <c r="F16" s="52"/>
      <c r="G16" s="39"/>
      <c r="H16" s="40"/>
      <c r="I16" s="40"/>
      <c r="J16" s="40"/>
      <c r="K16" s="40"/>
      <c r="L16" s="39"/>
      <c r="M16" s="50" t="s">
        <v>0</v>
      </c>
      <c r="N16" s="370">
        <f>CG11</f>
        <v>1440</v>
      </c>
      <c r="O16" s="370"/>
      <c r="P16" s="370"/>
      <c r="Q16" s="40"/>
      <c r="R16" s="40"/>
      <c r="S16" s="40"/>
      <c r="T16" s="40"/>
      <c r="U16" s="40"/>
      <c r="V16" s="40"/>
      <c r="W16" s="75"/>
      <c r="X16" s="90"/>
      <c r="Y16" s="90"/>
      <c r="Z16" s="90"/>
      <c r="AA16" s="40"/>
      <c r="AB16" s="40"/>
      <c r="AC16" s="445" t="s">
        <v>446</v>
      </c>
      <c r="AD16" s="446"/>
      <c r="AE16" s="446"/>
      <c r="AF16" s="447"/>
      <c r="AG16" s="445" t="s">
        <v>447</v>
      </c>
      <c r="AH16" s="446"/>
      <c r="AI16" s="447"/>
      <c r="AJ16" s="153"/>
      <c r="AK16" s="48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9"/>
      <c r="AX16" s="153"/>
      <c r="AY16" s="152"/>
      <c r="AZ16" s="152"/>
      <c r="BA16" s="152"/>
      <c r="BB16" s="152"/>
      <c r="BC16" s="152"/>
      <c r="BD16" s="152"/>
      <c r="BY16" s="40"/>
      <c r="BZ16" s="40"/>
      <c r="CA16" s="40"/>
      <c r="CB16" s="40" t="s">
        <v>124</v>
      </c>
      <c r="CC16" s="40"/>
      <c r="CD16" s="40"/>
      <c r="CE16" s="39">
        <f>AF45</f>
        <v>0</v>
      </c>
      <c r="CF16" s="75" t="s">
        <v>87</v>
      </c>
      <c r="CG16" s="39">
        <f>IF(CP$5=1,CH16,IF(CP$5=2,CH17))</f>
        <v>2690</v>
      </c>
      <c r="CH16" s="40">
        <f>'Steel Table'!EF21</f>
        <v>2690</v>
      </c>
      <c r="CI16" s="39" t="s">
        <v>323</v>
      </c>
      <c r="CJ16" s="39">
        <f>'Steel Table'!EM21</f>
        <v>150</v>
      </c>
      <c r="CK16" s="39" t="s">
        <v>334</v>
      </c>
      <c r="CL16" s="63"/>
      <c r="CM16" s="30"/>
      <c r="CN16" s="39"/>
      <c r="CO16" s="40"/>
      <c r="CP16" s="40"/>
      <c r="CQ16" s="40"/>
      <c r="CR16" s="52"/>
      <c r="CS16" s="52"/>
      <c r="CT16" s="52"/>
      <c r="CU16" s="52">
        <v>2</v>
      </c>
      <c r="CV16" s="40" t="str">
        <f>VLOOKUP(2,$DB$8:$DK$79,CY$5,TRUE)</f>
        <v>WF-125X125x6.5x9 mm.</v>
      </c>
      <c r="CW16" s="52"/>
      <c r="CX16" s="52"/>
      <c r="CY16" s="39"/>
      <c r="CZ16" s="39"/>
      <c r="DA16" s="52"/>
      <c r="DB16" s="40">
        <v>9</v>
      </c>
      <c r="DC16" s="40" t="str">
        <f>'Steel Table'!C14</f>
        <v>WF-200x150x6x9 mm.</v>
      </c>
      <c r="DD16" s="40" t="str">
        <f>'Steel Table'!S14</f>
        <v>I-250x125x10x19 mm.</v>
      </c>
      <c r="DE16" s="40" t="str">
        <f>'Steel Table'!AJ14</f>
        <v>[-180x75x8.5x13.5 mm.</v>
      </c>
      <c r="DF16" s="40" t="str">
        <f>'Steel Table'!BC14</f>
        <v>Tube-50x50x1.6 mm.</v>
      </c>
      <c r="DG16" s="40" t="str">
        <f>'Steel Table'!BO14</f>
        <v>Tube-75x45x3.2 mm.</v>
      </c>
      <c r="DH16" s="40" t="str">
        <f>'Steel Table'!CD14</f>
        <v>Pipe-D48.6x2.8 mm.</v>
      </c>
      <c r="DI16" s="40" t="str">
        <f>'Steel Table'!CO14</f>
        <v>[-90x45x20x1.6 mm.</v>
      </c>
      <c r="DJ16" s="40" t="str">
        <f>'Steel Table'!AJ35</f>
        <v>2[]-180x75x8.5x13.5 mm.</v>
      </c>
      <c r="DK16" s="40" t="str">
        <f>'Steel Table'!DG14</f>
        <v>2[]-90x45x20x1.6 mm.</v>
      </c>
      <c r="DL16" s="39"/>
      <c r="DM16" s="39"/>
      <c r="DN16" s="40"/>
      <c r="DO16" s="40"/>
      <c r="DP16" s="40"/>
      <c r="DQ16" s="40"/>
      <c r="DR16" s="40"/>
      <c r="DS16" s="40"/>
      <c r="DT16" s="40"/>
      <c r="DU16" s="40"/>
      <c r="DV16" s="40"/>
    </row>
    <row r="17" spans="1:126" s="35" customFormat="1" ht="15.75" customHeight="1">
      <c r="A17" s="40"/>
      <c r="B17" s="31" t="s">
        <v>383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50" t="s">
        <v>0</v>
      </c>
      <c r="N17" s="466">
        <f>CG12</f>
        <v>13.88888888888889</v>
      </c>
      <c r="O17" s="466"/>
      <c r="P17" s="466"/>
      <c r="Q17" s="40"/>
      <c r="R17" s="40"/>
      <c r="S17" s="40"/>
      <c r="T17" s="40"/>
      <c r="U17" s="40"/>
      <c r="V17" s="40"/>
      <c r="W17" s="75"/>
      <c r="X17" s="94"/>
      <c r="Y17" s="94"/>
      <c r="Z17" s="94"/>
      <c r="AA17" s="95"/>
      <c r="AB17" s="95"/>
      <c r="AC17" s="397" t="s">
        <v>306</v>
      </c>
      <c r="AD17" s="398"/>
      <c r="AE17" s="398"/>
      <c r="AF17" s="399"/>
      <c r="AG17" s="397" t="s">
        <v>318</v>
      </c>
      <c r="AH17" s="398"/>
      <c r="AI17" s="399"/>
      <c r="AJ17" s="154"/>
      <c r="AK17" s="48"/>
      <c r="AL17" s="40"/>
      <c r="AM17" s="363" t="s">
        <v>124</v>
      </c>
      <c r="AN17" s="363"/>
      <c r="AO17" s="39" t="s">
        <v>0</v>
      </c>
      <c r="AP17" s="397"/>
      <c r="AQ17" s="398"/>
      <c r="AR17" s="399"/>
      <c r="AS17" s="396" t="s">
        <v>123</v>
      </c>
      <c r="AT17" s="396"/>
      <c r="AU17" s="39"/>
      <c r="AV17" s="39"/>
      <c r="AW17" s="49"/>
      <c r="AX17" s="153"/>
      <c r="AY17" s="152"/>
      <c r="AZ17" s="152"/>
      <c r="BA17" s="152"/>
      <c r="BB17" s="152"/>
      <c r="BC17" s="152"/>
      <c r="BD17" s="152"/>
      <c r="BY17" s="40"/>
      <c r="BZ17" s="40"/>
      <c r="CA17" s="40"/>
      <c r="CB17" s="40"/>
      <c r="CC17" s="40"/>
      <c r="CD17" s="40"/>
      <c r="CE17" s="75">
        <f>CE16/((CG26/10)*(CE15+(5*CE11)))</f>
        <v>0</v>
      </c>
      <c r="CF17" s="75" t="s">
        <v>88</v>
      </c>
      <c r="CG17" s="39">
        <f>IF(CP$5=1,CH17,IF(CP$5=2,CH16))</f>
        <v>507</v>
      </c>
      <c r="CH17" s="40">
        <f>'Steel Table'!EG21</f>
        <v>507</v>
      </c>
      <c r="CI17" s="39" t="s">
        <v>325</v>
      </c>
      <c r="CJ17" s="39">
        <f>'Steel Table'!EN21</f>
        <v>0</v>
      </c>
      <c r="CK17" s="39"/>
      <c r="CL17" s="52"/>
      <c r="CM17" s="39"/>
      <c r="CN17" s="39"/>
      <c r="CO17" s="52">
        <v>1</v>
      </c>
      <c r="CP17" s="83" t="s">
        <v>350</v>
      </c>
      <c r="CQ17" s="40" t="str">
        <f>CK25</f>
        <v>1590/√Fy</v>
      </c>
      <c r="CR17" s="96">
        <f>CL25</f>
        <v>32.45573909187711</v>
      </c>
      <c r="CS17" s="75" t="s">
        <v>346</v>
      </c>
      <c r="CT17" s="75"/>
      <c r="CU17" s="40">
        <v>3</v>
      </c>
      <c r="CV17" s="40" t="str">
        <f>VLOOKUP(3,$DB$8:$DK$79,CY$5,TRUE)</f>
        <v>WF-150X75x6x9 mm.</v>
      </c>
      <c r="CW17" s="40"/>
      <c r="CX17" s="39" t="s">
        <v>357</v>
      </c>
      <c r="CY17" s="89">
        <v>1</v>
      </c>
      <c r="CZ17" s="40"/>
      <c r="DA17" s="88"/>
      <c r="DB17" s="40">
        <v>10</v>
      </c>
      <c r="DC17" s="40" t="str">
        <f>'Steel Table'!C15</f>
        <v>WF-200X200x8x12 mm.</v>
      </c>
      <c r="DD17" s="40" t="str">
        <f>'Steel Table'!S15</f>
        <v>I-300x150x8x13 mm.</v>
      </c>
      <c r="DE17" s="40" t="str">
        <f>'Steel Table'!AJ15</f>
        <v>[-250x90x9x13 mm.</v>
      </c>
      <c r="DF17" s="40" t="str">
        <f>'Steel Table'!BC15</f>
        <v>Tube-50x50x2 mm.</v>
      </c>
      <c r="DG17" s="40" t="str">
        <f>'Steel Table'!BO15</f>
        <v>Tube-100x50x2 mm.</v>
      </c>
      <c r="DH17" s="40" t="str">
        <f>'Steel Table'!CD15</f>
        <v>Pipe-D48.6x3.2 mm.</v>
      </c>
      <c r="DI17" s="40" t="str">
        <f>'Steel Table'!CO15</f>
        <v>[-90x45x20x2.3 mm.</v>
      </c>
      <c r="DJ17" s="40" t="str">
        <f>'Steel Table'!AJ36</f>
        <v>2[]-250x90x9x13 mm.</v>
      </c>
      <c r="DK17" s="40" t="str">
        <f>'Steel Table'!DG15</f>
        <v>2[]-90x45x20x2.3 mm.</v>
      </c>
      <c r="DL17" s="39"/>
      <c r="DM17" s="39"/>
      <c r="DN17" s="40"/>
      <c r="DO17" s="40"/>
      <c r="DP17" s="40"/>
      <c r="DQ17" s="40"/>
      <c r="DR17" s="40"/>
      <c r="DS17" s="40"/>
      <c r="DT17" s="40"/>
      <c r="DU17" s="40"/>
      <c r="DV17" s="40"/>
    </row>
    <row r="18" spans="1:126" s="35" customFormat="1" ht="15.75" customHeight="1">
      <c r="A18" s="40"/>
      <c r="B18" s="57" t="s">
        <v>377</v>
      </c>
      <c r="C18" s="40"/>
      <c r="D18" s="40"/>
      <c r="E18" s="40"/>
      <c r="F18" s="39"/>
      <c r="H18" s="40"/>
      <c r="I18" s="40"/>
      <c r="J18" s="40"/>
      <c r="K18" s="39"/>
      <c r="M18" s="50" t="s">
        <v>0</v>
      </c>
      <c r="N18" s="97" t="str">
        <f>CG13</f>
        <v>WF-200x150x6x9 mm.</v>
      </c>
      <c r="O18" s="52"/>
      <c r="P18" s="52"/>
      <c r="Q18" s="98"/>
      <c r="R18" s="40"/>
      <c r="S18" s="40"/>
      <c r="T18" s="97">
        <f>IF(CX5=3,CX9,IF(CX5=7,CX13,""))</f>
      </c>
      <c r="U18" s="40"/>
      <c r="V18" s="40"/>
      <c r="W18" s="40"/>
      <c r="X18" s="40"/>
      <c r="Y18" s="40"/>
      <c r="Z18" s="40"/>
      <c r="AA18" s="40"/>
      <c r="AB18" s="99"/>
      <c r="AC18" s="153"/>
      <c r="AD18" s="153"/>
      <c r="AE18" s="153"/>
      <c r="AF18" s="153"/>
      <c r="AG18" s="153"/>
      <c r="AH18" s="153"/>
      <c r="AI18" s="153"/>
      <c r="AJ18" s="153"/>
      <c r="AK18" s="48"/>
      <c r="AL18" s="40"/>
      <c r="AM18" s="40"/>
      <c r="AN18" s="40"/>
      <c r="AO18" s="40"/>
      <c r="AP18" s="469" t="s">
        <v>391</v>
      </c>
      <c r="AQ18" s="34" t="s">
        <v>124</v>
      </c>
      <c r="AR18" s="40"/>
      <c r="AS18" s="40"/>
      <c r="AT18" s="40"/>
      <c r="AU18" s="40"/>
      <c r="AV18" s="40"/>
      <c r="AW18" s="49"/>
      <c r="AX18" s="153"/>
      <c r="AY18" s="152"/>
      <c r="AZ18" s="152"/>
      <c r="BA18" s="152"/>
      <c r="BB18" s="152"/>
      <c r="BC18" s="152"/>
      <c r="BD18" s="152"/>
      <c r="BY18" s="40"/>
      <c r="BZ18" s="40"/>
      <c r="CA18" s="40"/>
      <c r="CB18" s="40" t="s">
        <v>443</v>
      </c>
      <c r="CC18" s="40" t="s">
        <v>0</v>
      </c>
      <c r="CD18" s="40"/>
      <c r="CE18" s="75">
        <f>(564*CE4^2)*(1+3*(CE15/CE3)*(CE4/CE5)^1.5)*SQRT((CG7*CE5)/CE4)</f>
        <v>12182.4</v>
      </c>
      <c r="CF18" s="75" t="s">
        <v>89</v>
      </c>
      <c r="CG18" s="39">
        <f>IF(CP$5=1,CH18,IF(CP$5=2,CH19))</f>
        <v>227</v>
      </c>
      <c r="CH18" s="52">
        <f>'Steel Table'!EH21</f>
        <v>227</v>
      </c>
      <c r="CI18" s="39" t="s">
        <v>137</v>
      </c>
      <c r="CJ18" s="75">
        <f>'Steel Table'!EO21</f>
        <v>6</v>
      </c>
      <c r="CK18" s="34" t="s">
        <v>336</v>
      </c>
      <c r="CL18" s="40"/>
      <c r="CM18" s="93"/>
      <c r="CN18" s="75"/>
      <c r="CO18" s="40">
        <v>2</v>
      </c>
      <c r="CP18" s="83" t="s">
        <v>350</v>
      </c>
      <c r="CQ18" s="40" t="str">
        <f>CK26</f>
        <v>1980/√Fy</v>
      </c>
      <c r="CR18" s="96">
        <f>CL26</f>
        <v>40.41658075592244</v>
      </c>
      <c r="CS18" s="88" t="s">
        <v>347</v>
      </c>
      <c r="CT18" s="88"/>
      <c r="CU18" s="40">
        <v>4</v>
      </c>
      <c r="CV18" s="40" t="str">
        <f>VLOOKUP(4,$DB$8:$DK$79,CY$5,TRUE)</f>
        <v>WF-150x100x6x9 mm.</v>
      </c>
      <c r="CW18" s="40"/>
      <c r="CX18" s="39" t="s">
        <v>358</v>
      </c>
      <c r="CY18" s="40"/>
      <c r="CZ18" s="40"/>
      <c r="DA18" s="88"/>
      <c r="DB18" s="40">
        <v>11</v>
      </c>
      <c r="DC18" s="40" t="str">
        <f>'Steel Table'!C16</f>
        <v>WF-200X200x12x12 mm.</v>
      </c>
      <c r="DD18" s="40" t="str">
        <f>'Steel Table'!S16</f>
        <v>I-300x150x10x18.5 mm.</v>
      </c>
      <c r="DE18" s="40" t="str">
        <f>'Steel Table'!AJ16</f>
        <v>[-250x90x11x14.5 mm.</v>
      </c>
      <c r="DF18" s="40" t="str">
        <f>'Steel Table'!BC16</f>
        <v>Tube-50x50x2.3 mm.</v>
      </c>
      <c r="DG18" s="40" t="str">
        <f>'Steel Table'!BO16</f>
        <v>Tube-100x50x2.3 mm.</v>
      </c>
      <c r="DH18" s="40" t="str">
        <f>'Steel Table'!CD16</f>
        <v>Pipe-D60.5x2.3 mm.</v>
      </c>
      <c r="DI18" s="40" t="str">
        <f>'Steel Table'!CO16</f>
        <v>[-90x45x20x3.2 mm.</v>
      </c>
      <c r="DJ18" s="40" t="str">
        <f>'Steel Table'!AJ37</f>
        <v>2[]-250x90x11x14.5 mm.</v>
      </c>
      <c r="DK18" s="40" t="str">
        <f>'Steel Table'!DG16</f>
        <v>2[]-90x45x20x3.2 mm.</v>
      </c>
      <c r="DL18" s="39"/>
      <c r="DM18" s="39"/>
      <c r="DN18" s="40"/>
      <c r="DO18" s="40"/>
      <c r="DP18" s="40"/>
      <c r="DQ18" s="40"/>
      <c r="DR18" s="40"/>
      <c r="DS18" s="40"/>
      <c r="DT18" s="40"/>
      <c r="DU18" s="40"/>
      <c r="DV18" s="40"/>
    </row>
    <row r="19" spans="1:126" s="35" customFormat="1" ht="15.75" customHeight="1">
      <c r="A19" s="52"/>
      <c r="B19" s="474" t="s">
        <v>375</v>
      </c>
      <c r="C19" s="474"/>
      <c r="D19" s="474"/>
      <c r="E19" s="39" t="s">
        <v>0</v>
      </c>
      <c r="F19" s="402">
        <f>CG14</f>
        <v>39.01</v>
      </c>
      <c r="G19" s="402"/>
      <c r="H19" s="402"/>
      <c r="I19" s="396" t="s">
        <v>76</v>
      </c>
      <c r="J19" s="396"/>
      <c r="K19" s="396" t="s">
        <v>87</v>
      </c>
      <c r="L19" s="396"/>
      <c r="M19" s="50" t="s">
        <v>0</v>
      </c>
      <c r="N19" s="452">
        <f>CG16</f>
        <v>2690</v>
      </c>
      <c r="O19" s="452"/>
      <c r="P19" s="452"/>
      <c r="Q19" s="396" t="s">
        <v>267</v>
      </c>
      <c r="R19" s="396"/>
      <c r="S19" s="396" t="s">
        <v>88</v>
      </c>
      <c r="T19" s="396"/>
      <c r="U19" s="39" t="s">
        <v>0</v>
      </c>
      <c r="V19" s="452">
        <f>CG17</f>
        <v>507</v>
      </c>
      <c r="W19" s="452"/>
      <c r="X19" s="452"/>
      <c r="Y19" s="396" t="s">
        <v>267</v>
      </c>
      <c r="Z19" s="396"/>
      <c r="AA19" s="40"/>
      <c r="AB19" s="99"/>
      <c r="AC19" s="471" t="s">
        <v>462</v>
      </c>
      <c r="AD19" s="472"/>
      <c r="AE19" s="472"/>
      <c r="AF19" s="472"/>
      <c r="AG19" s="472"/>
      <c r="AH19" s="472"/>
      <c r="AI19" s="473"/>
      <c r="AJ19" s="152"/>
      <c r="AK19" s="48"/>
      <c r="AL19" s="40"/>
      <c r="AM19" s="79"/>
      <c r="AN19" s="80"/>
      <c r="AO19" s="80"/>
      <c r="AP19" s="470"/>
      <c r="AQ19" s="70"/>
      <c r="AR19" s="80"/>
      <c r="AS19" s="80"/>
      <c r="AT19" s="80"/>
      <c r="AU19" s="80"/>
      <c r="AV19" s="40"/>
      <c r="AW19" s="49"/>
      <c r="AX19" s="153"/>
      <c r="AY19" s="152"/>
      <c r="AZ19" s="152"/>
      <c r="BA19" s="152"/>
      <c r="BB19" s="152"/>
      <c r="BC19" s="152"/>
      <c r="BD19" s="152"/>
      <c r="BY19" s="40"/>
      <c r="BZ19" s="40"/>
      <c r="CA19" s="40"/>
      <c r="CB19" s="40"/>
      <c r="CC19" s="40"/>
      <c r="CD19" s="40"/>
      <c r="CE19" s="39"/>
      <c r="CF19" s="39" t="s">
        <v>90</v>
      </c>
      <c r="CG19" s="39">
        <f>IF(CP$5=1,CH19,IF(CP$5=2,CH18))</f>
        <v>68</v>
      </c>
      <c r="CH19" s="52">
        <f>'Steel Table'!EI21</f>
        <v>68</v>
      </c>
      <c r="CI19" s="39" t="s">
        <v>138</v>
      </c>
      <c r="CJ19" s="75">
        <f>'Steel Table'!EP21</f>
        <v>9</v>
      </c>
      <c r="CK19" s="35" t="s">
        <v>339</v>
      </c>
      <c r="CL19" s="40"/>
      <c r="CM19" s="93"/>
      <c r="CN19" s="75"/>
      <c r="CO19" s="40"/>
      <c r="CP19" s="40"/>
      <c r="CQ19" s="40"/>
      <c r="CR19" s="74"/>
      <c r="CS19" s="74"/>
      <c r="CT19" s="74"/>
      <c r="CU19" s="40">
        <v>5</v>
      </c>
      <c r="CV19" s="40" t="str">
        <f>VLOOKUP(5,$DB$8:$DK$79,CY$5,TRUE)</f>
        <v>WF-150X150x7x10 mm.</v>
      </c>
      <c r="CW19" s="52"/>
      <c r="CX19" s="39" t="s">
        <v>359</v>
      </c>
      <c r="CY19" s="52"/>
      <c r="CZ19" s="52"/>
      <c r="DA19" s="94"/>
      <c r="DB19" s="40">
        <v>12</v>
      </c>
      <c r="DC19" s="40" t="str">
        <f>'Steel Table'!C17</f>
        <v>WF-200X200x10x16 mm.</v>
      </c>
      <c r="DD19" s="40" t="str">
        <f>'Steel Table'!S17</f>
        <v>I-300x150x11.5x22 mm.</v>
      </c>
      <c r="DE19" s="40" t="str">
        <f>'Steel Table'!AJ17</f>
        <v>[-300x90x9x13 mm.</v>
      </c>
      <c r="DF19" s="40" t="str">
        <f>'Steel Table'!BC17</f>
        <v>Tube-50x50x3.2 mm.</v>
      </c>
      <c r="DG19" s="40" t="str">
        <f>'Steel Table'!BO17</f>
        <v>Tube-100x50x3.2 mm.</v>
      </c>
      <c r="DH19" s="40" t="str">
        <f>'Steel Table'!CD17</f>
        <v>Pipe-D60.5x3.2 mm.</v>
      </c>
      <c r="DI19" s="40" t="str">
        <f>'Steel Table'!CO17</f>
        <v>[-100x50x20x1.6 mm.</v>
      </c>
      <c r="DJ19" s="40" t="str">
        <f>'Steel Table'!AJ38</f>
        <v>2[]-300x90x9x13 mm.</v>
      </c>
      <c r="DK19" s="40" t="str">
        <f>'Steel Table'!DG17</f>
        <v>2[]-100x50x20x1.6 mm.</v>
      </c>
      <c r="DL19" s="39"/>
      <c r="DM19" s="39"/>
      <c r="DN19" s="40"/>
      <c r="DO19" s="40"/>
      <c r="DP19" s="40"/>
      <c r="DQ19" s="40"/>
      <c r="DR19" s="40"/>
      <c r="DS19" s="40"/>
      <c r="DT19" s="40"/>
      <c r="DU19" s="40"/>
      <c r="DV19" s="40"/>
    </row>
    <row r="20" spans="1:126" s="35" customFormat="1" ht="15.75" customHeight="1">
      <c r="A20" s="52"/>
      <c r="B20" s="474" t="s">
        <v>72</v>
      </c>
      <c r="C20" s="474"/>
      <c r="D20" s="474"/>
      <c r="E20" s="36" t="s">
        <v>0</v>
      </c>
      <c r="F20" s="437">
        <f>CG15</f>
        <v>30.6</v>
      </c>
      <c r="G20" s="437"/>
      <c r="H20" s="437"/>
      <c r="I20" s="373" t="s">
        <v>74</v>
      </c>
      <c r="J20" s="373"/>
      <c r="K20" s="373" t="s">
        <v>89</v>
      </c>
      <c r="L20" s="373"/>
      <c r="M20" s="36" t="s">
        <v>0</v>
      </c>
      <c r="N20" s="437">
        <f>CG18</f>
        <v>227</v>
      </c>
      <c r="O20" s="437"/>
      <c r="P20" s="437"/>
      <c r="Q20" s="373" t="s">
        <v>93</v>
      </c>
      <c r="R20" s="373"/>
      <c r="S20" s="373" t="s">
        <v>90</v>
      </c>
      <c r="T20" s="373"/>
      <c r="U20" s="36" t="s">
        <v>0</v>
      </c>
      <c r="V20" s="437">
        <f>CG19</f>
        <v>68</v>
      </c>
      <c r="W20" s="437"/>
      <c r="X20" s="437"/>
      <c r="Y20" s="373" t="s">
        <v>93</v>
      </c>
      <c r="Z20" s="373"/>
      <c r="AC20" s="155"/>
      <c r="AD20" s="155"/>
      <c r="AE20" s="155"/>
      <c r="AF20" s="155"/>
      <c r="AG20" s="155"/>
      <c r="AH20" s="155"/>
      <c r="AI20" s="155"/>
      <c r="AJ20" s="153"/>
      <c r="AK20" s="48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9"/>
      <c r="AX20" s="153"/>
      <c r="AY20" s="152"/>
      <c r="AZ20" s="152"/>
      <c r="BA20" s="152"/>
      <c r="BB20" s="152"/>
      <c r="BC20" s="152"/>
      <c r="BD20" s="152"/>
      <c r="BY20" s="40"/>
      <c r="BZ20" s="40"/>
      <c r="CA20" s="40"/>
      <c r="CB20" s="101"/>
      <c r="CC20" s="40"/>
      <c r="CD20" s="40"/>
      <c r="CE20" s="39"/>
      <c r="CF20" s="39" t="s">
        <v>229</v>
      </c>
      <c r="CG20" s="39">
        <f>IF(CP$5=1,CH20,IF(CP$5=2,CH21))</f>
        <v>8.3</v>
      </c>
      <c r="CH20" s="52">
        <f>'Steel Table'!EJ21</f>
        <v>8.3</v>
      </c>
      <c r="CI20" s="39" t="s">
        <v>172</v>
      </c>
      <c r="CJ20" s="75">
        <f>'Steel Table'!EQ21</f>
        <v>13</v>
      </c>
      <c r="CK20" s="40" t="s">
        <v>352</v>
      </c>
      <c r="CL20" s="75">
        <f>(CG24/(2*CG27))</f>
        <v>8.333333333333334</v>
      </c>
      <c r="CM20" s="93"/>
      <c r="CN20" s="75"/>
      <c r="CO20" s="52">
        <v>1</v>
      </c>
      <c r="CP20" s="102" t="str">
        <f>CK30</f>
        <v>231000/√Fy</v>
      </c>
      <c r="CQ20" s="40"/>
      <c r="CR20" s="74">
        <f>CL30</f>
        <v>4715.267754857618</v>
      </c>
      <c r="CS20" s="74"/>
      <c r="CT20" s="74"/>
      <c r="CU20" s="52">
        <v>6</v>
      </c>
      <c r="CV20" s="40" t="str">
        <f>VLOOKUP(6,$DB$8:$DK$79,CY$5,TRUE)</f>
        <v>WF-175X175x7.5x11 mm.</v>
      </c>
      <c r="CW20" s="52"/>
      <c r="CX20" s="103"/>
      <c r="CY20" s="52"/>
      <c r="CZ20" s="52"/>
      <c r="DA20" s="94"/>
      <c r="DB20" s="40">
        <v>13</v>
      </c>
      <c r="DC20" s="40" t="str">
        <f>'Steel Table'!C18</f>
        <v>WF-250x125x5x8 mm.</v>
      </c>
      <c r="DD20" s="40" t="str">
        <f>'Steel Table'!S18</f>
        <v>I-350x150x9x15 mm.</v>
      </c>
      <c r="DE20" s="40" t="str">
        <f>'Steel Table'!AJ18</f>
        <v>[-300x90x10x15.5 mm.</v>
      </c>
      <c r="DF20" s="40" t="str">
        <f>'Steel Table'!BC18</f>
        <v>Tube-50x50x3.6 mm.</v>
      </c>
      <c r="DG20" s="40" t="str">
        <f>'Steel Table'!BO18</f>
        <v>Tube-100x50x3.6 mm.</v>
      </c>
      <c r="DH20" s="40" t="str">
        <f>'Steel Table'!CD18</f>
        <v>Pipe-D60.5x4 mm.</v>
      </c>
      <c r="DI20" s="40" t="str">
        <f>'Steel Table'!CO18</f>
        <v>[-100x50x20x2 mm.</v>
      </c>
      <c r="DJ20" s="40" t="str">
        <f>'Steel Table'!AJ39</f>
        <v>2[]-300x90x10x15.5 mm.</v>
      </c>
      <c r="DK20" s="40" t="str">
        <f>'Steel Table'!DG18</f>
        <v>2[]-100x50x20x2 mm.</v>
      </c>
      <c r="DL20" s="39"/>
      <c r="DM20" s="39"/>
      <c r="DN20" s="40"/>
      <c r="DO20" s="40"/>
      <c r="DP20" s="40"/>
      <c r="DQ20" s="40"/>
      <c r="DR20" s="40"/>
      <c r="DS20" s="40"/>
      <c r="DT20" s="40"/>
      <c r="DU20" s="40"/>
      <c r="DV20" s="40"/>
    </row>
    <row r="21" spans="1:126" s="35" customFormat="1" ht="15.75" customHeight="1">
      <c r="A21" s="52"/>
      <c r="B21" s="34"/>
      <c r="C21" s="52"/>
      <c r="D21" s="52"/>
      <c r="E21" s="52"/>
      <c r="F21" s="52"/>
      <c r="G21" s="52"/>
      <c r="H21" s="52"/>
      <c r="I21" s="52"/>
      <c r="J21" s="52"/>
      <c r="K21" s="396" t="s">
        <v>229</v>
      </c>
      <c r="L21" s="396"/>
      <c r="M21" s="50" t="s">
        <v>0</v>
      </c>
      <c r="N21" s="402">
        <f>CG20</f>
        <v>8.3</v>
      </c>
      <c r="O21" s="402"/>
      <c r="P21" s="402"/>
      <c r="Q21" s="396" t="s">
        <v>104</v>
      </c>
      <c r="R21" s="396"/>
      <c r="S21" s="396" t="s">
        <v>230</v>
      </c>
      <c r="T21" s="396"/>
      <c r="U21" s="39" t="s">
        <v>0</v>
      </c>
      <c r="V21" s="402">
        <f>CG21</f>
        <v>3.61</v>
      </c>
      <c r="W21" s="402"/>
      <c r="X21" s="402"/>
      <c r="Y21" s="396" t="s">
        <v>104</v>
      </c>
      <c r="Z21" s="396"/>
      <c r="AA21" s="40"/>
      <c r="AB21" s="99"/>
      <c r="AC21" s="153"/>
      <c r="AD21" s="153"/>
      <c r="AE21" s="153"/>
      <c r="AF21" s="153"/>
      <c r="AG21" s="153"/>
      <c r="AH21" s="150"/>
      <c r="AI21" s="153"/>
      <c r="AJ21" s="153"/>
      <c r="AK21" s="48"/>
      <c r="AL21" s="70"/>
      <c r="AM21" s="70"/>
      <c r="AN21" s="71" t="s">
        <v>394</v>
      </c>
      <c r="AO21" s="80"/>
      <c r="AP21" s="70"/>
      <c r="AQ21" s="71"/>
      <c r="AR21" s="70"/>
      <c r="AS21" s="71" t="s">
        <v>395</v>
      </c>
      <c r="AT21" s="80"/>
      <c r="AU21" s="70"/>
      <c r="AV21" s="70"/>
      <c r="AW21" s="49"/>
      <c r="AX21" s="153"/>
      <c r="AY21" s="152"/>
      <c r="AZ21" s="152"/>
      <c r="BA21" s="152"/>
      <c r="BB21" s="152"/>
      <c r="BC21" s="152"/>
      <c r="BD21" s="152"/>
      <c r="BY21" s="40"/>
      <c r="BZ21" s="40"/>
      <c r="CA21" s="40"/>
      <c r="CB21" s="40"/>
      <c r="CC21" s="40"/>
      <c r="CD21" s="40"/>
      <c r="CE21" s="39"/>
      <c r="CF21" s="39" t="s">
        <v>230</v>
      </c>
      <c r="CG21" s="39">
        <f>IF(CP$5=1,CH21,IF(CP$5=2,CH20))</f>
        <v>3.61</v>
      </c>
      <c r="CH21" s="52">
        <f>'Steel Table'!EK21</f>
        <v>3.61</v>
      </c>
      <c r="CI21" s="39" t="s">
        <v>173</v>
      </c>
      <c r="CJ21" s="75">
        <f>'Steel Table'!ER21</f>
        <v>0</v>
      </c>
      <c r="CK21" s="52" t="s">
        <v>337</v>
      </c>
      <c r="CL21" s="75">
        <f>(544/CL8)</f>
        <v>11.104353500617075</v>
      </c>
      <c r="CM21" s="93"/>
      <c r="CN21" s="75"/>
      <c r="CO21" s="52">
        <v>2</v>
      </c>
      <c r="CP21" s="102" t="str">
        <f>CK30</f>
        <v>231000/√Fy</v>
      </c>
      <c r="CQ21" s="40"/>
      <c r="CR21" s="66">
        <f>CL30</f>
        <v>4715.267754857618</v>
      </c>
      <c r="CS21" s="66"/>
      <c r="CT21" s="66"/>
      <c r="CU21" s="40">
        <v>7</v>
      </c>
      <c r="CV21" s="40" t="str">
        <f>VLOOKUP(7,$DB$8:$DK$79,CY$5,TRUE)</f>
        <v>WF-200x100x4.5x7 mm.</v>
      </c>
      <c r="CW21" s="40"/>
      <c r="CX21" s="104" t="s">
        <v>361</v>
      </c>
      <c r="CY21" s="39">
        <f>IF(OR(CY17=1,CY17=2),1,IF(CY17=3,CY23))</f>
        <v>1</v>
      </c>
      <c r="CZ21" s="40"/>
      <c r="DA21" s="40"/>
      <c r="DB21" s="40">
        <v>14</v>
      </c>
      <c r="DC21" s="40" t="str">
        <f>'Steel Table'!C19</f>
        <v>WF-250x125x6x9 mm.</v>
      </c>
      <c r="DD21" s="40" t="str">
        <f>'Steel Table'!S19</f>
        <v>I-350x150x12x24 mm.</v>
      </c>
      <c r="DE21" s="40" t="str">
        <f>'Steel Table'!AJ19</f>
        <v>[-300x90x12x16 mm.</v>
      </c>
      <c r="DF21" s="40" t="str">
        <f>'Steel Table'!BC19</f>
        <v>Tube-50x50x4 mm.</v>
      </c>
      <c r="DG21" s="40" t="str">
        <f>'Steel Table'!BO19</f>
        <v>Tube-100x50x4 mm.</v>
      </c>
      <c r="DH21" s="40" t="str">
        <f>'Steel Table'!CD19</f>
        <v>Pipe-D76.3x2.8 mm.</v>
      </c>
      <c r="DI21" s="40" t="str">
        <f>'Steel Table'!CO19</f>
        <v>[-100x50x20x2.3 mm.</v>
      </c>
      <c r="DJ21" s="40" t="str">
        <f>'Steel Table'!AJ40</f>
        <v>2[]-300x90x12x16 mm.</v>
      </c>
      <c r="DK21" s="40" t="str">
        <f>'Steel Table'!DG19</f>
        <v>2[]-100x50x20x2.3 mm.</v>
      </c>
      <c r="DL21" s="39"/>
      <c r="DM21" s="39"/>
      <c r="DN21" s="40"/>
      <c r="DO21" s="40"/>
      <c r="DP21" s="40"/>
      <c r="DQ21" s="40"/>
      <c r="DR21" s="40"/>
      <c r="DS21" s="40"/>
      <c r="DT21" s="40"/>
      <c r="DU21" s="40"/>
      <c r="DV21" s="40"/>
    </row>
    <row r="22" spans="1:126" s="35" customFormat="1" ht="15.75" customHeight="1">
      <c r="A22" s="52"/>
      <c r="B22" s="105" t="s">
        <v>378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0"/>
      <c r="N22" s="39"/>
      <c r="O22" s="39"/>
      <c r="P22" s="39"/>
      <c r="Q22" s="40"/>
      <c r="R22" s="40"/>
      <c r="S22" s="40"/>
      <c r="T22" s="40"/>
      <c r="U22" s="40"/>
      <c r="V22" s="106"/>
      <c r="W22" s="106"/>
      <c r="X22" s="40"/>
      <c r="Y22" s="40"/>
      <c r="Z22" s="40"/>
      <c r="AA22" s="40"/>
      <c r="AB22" s="99"/>
      <c r="AC22" s="153"/>
      <c r="AD22" s="153"/>
      <c r="AE22" s="153"/>
      <c r="AF22" s="153"/>
      <c r="AG22" s="153"/>
      <c r="AH22" s="153"/>
      <c r="AI22" s="153"/>
      <c r="AJ22" s="153"/>
      <c r="AK22" s="48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9"/>
      <c r="AX22" s="153"/>
      <c r="AY22" s="152"/>
      <c r="AZ22" s="152"/>
      <c r="BA22" s="152"/>
      <c r="BB22" s="152"/>
      <c r="BC22" s="152"/>
      <c r="BD22" s="152"/>
      <c r="BY22" s="40"/>
      <c r="BZ22" s="40"/>
      <c r="CA22" s="40"/>
      <c r="CB22" s="40"/>
      <c r="CC22" s="40"/>
      <c r="CD22" s="40"/>
      <c r="CE22" s="39"/>
      <c r="CF22" s="75" t="s">
        <v>321</v>
      </c>
      <c r="CG22" s="39">
        <f>N24</f>
        <v>300</v>
      </c>
      <c r="CH22" s="52"/>
      <c r="CI22" s="39"/>
      <c r="CJ22" s="75"/>
      <c r="CK22" s="52" t="s">
        <v>338</v>
      </c>
      <c r="CL22" s="75">
        <f>795/CL8</f>
        <v>16.227869545938557</v>
      </c>
      <c r="CM22" s="39"/>
      <c r="CN22" s="39"/>
      <c r="CO22" s="40"/>
      <c r="CQ22" s="40"/>
      <c r="CR22" s="40"/>
      <c r="CS22" s="40"/>
      <c r="CT22" s="40"/>
      <c r="CU22" s="40">
        <v>8</v>
      </c>
      <c r="CV22" s="40" t="str">
        <f>VLOOKUP(8,$DB$8:$DK$79,CY$5,TRUE)</f>
        <v>WF-200x100x5.5x8 mm.</v>
      </c>
      <c r="CW22" s="40"/>
      <c r="CX22" s="104"/>
      <c r="CY22" s="88">
        <f>1.75+(1.05*(CY24/CY25))+(0.3*(CY24/CY25)^2)</f>
        <v>2.5234375</v>
      </c>
      <c r="CZ22" s="40"/>
      <c r="DA22" s="40"/>
      <c r="DB22" s="40">
        <v>15</v>
      </c>
      <c r="DC22" s="40" t="str">
        <f>'Steel Table'!C20</f>
        <v>WF-250X250x11x11 mm.</v>
      </c>
      <c r="DD22" s="40" t="str">
        <f>'Steel Table'!S20</f>
        <v>I-400x150x10x18 mm.</v>
      </c>
      <c r="DE22" s="40" t="str">
        <f>'Steel Table'!AJ20</f>
        <v>[-380x100x10.5x16 mm.</v>
      </c>
      <c r="DF22" s="40" t="str">
        <f>'Steel Table'!BC20</f>
        <v>Tube-50x50x5 mm.</v>
      </c>
      <c r="DG22" s="40" t="str">
        <f>'Steel Table'!BO20</f>
        <v>Tube-100x50x4.5 mm.</v>
      </c>
      <c r="DH22" s="40" t="str">
        <f>'Steel Table'!CD20</f>
        <v>Pipe-D76.3x3.2 mm.</v>
      </c>
      <c r="DI22" s="40" t="str">
        <f>'Steel Table'!CO20</f>
        <v>[-100x50x20x2.8 mm.</v>
      </c>
      <c r="DJ22" s="40" t="str">
        <f>'Steel Table'!AJ41</f>
        <v>2[]-380x100x10.5x16 mm.</v>
      </c>
      <c r="DK22" s="40" t="str">
        <f>'Steel Table'!DG20</f>
        <v>2[]-100x50x20x2.8 mm.</v>
      </c>
      <c r="DL22" s="39"/>
      <c r="DM22" s="39"/>
      <c r="DN22" s="40"/>
      <c r="DO22" s="40"/>
      <c r="DP22" s="40"/>
      <c r="DQ22" s="40"/>
      <c r="DR22" s="40"/>
      <c r="DS22" s="40"/>
      <c r="DT22" s="40"/>
      <c r="DU22" s="40"/>
      <c r="DV22" s="40"/>
    </row>
    <row r="23" spans="1:126" s="35" customFormat="1" ht="15.75" customHeight="1">
      <c r="A23" s="40"/>
      <c r="B23" s="107" t="s">
        <v>320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0"/>
      <c r="N23" s="52"/>
      <c r="O23" s="52"/>
      <c r="P23" s="52"/>
      <c r="Q23" s="40"/>
      <c r="R23" s="40"/>
      <c r="S23" s="40"/>
      <c r="T23" s="40"/>
      <c r="U23" s="40"/>
      <c r="V23" s="108"/>
      <c r="W23" s="109"/>
      <c r="X23" s="40"/>
      <c r="Y23" s="40"/>
      <c r="Z23" s="40"/>
      <c r="AA23" s="40"/>
      <c r="AB23" s="99"/>
      <c r="AC23" s="153"/>
      <c r="AD23" s="153"/>
      <c r="AE23" s="153"/>
      <c r="AF23" s="153"/>
      <c r="AG23" s="153"/>
      <c r="AH23" s="153"/>
      <c r="AI23" s="153"/>
      <c r="AJ23" s="153"/>
      <c r="AK23" s="48"/>
      <c r="AL23" s="40"/>
      <c r="AM23" s="396" t="s">
        <v>396</v>
      </c>
      <c r="AN23" s="396"/>
      <c r="AO23" s="39" t="s">
        <v>0</v>
      </c>
      <c r="AP23" s="453"/>
      <c r="AQ23" s="454"/>
      <c r="AR23" s="396" t="s">
        <v>400</v>
      </c>
      <c r="AS23" s="396"/>
      <c r="AT23" s="39" t="s">
        <v>0</v>
      </c>
      <c r="AU23" s="397"/>
      <c r="AV23" s="399"/>
      <c r="AW23" s="49"/>
      <c r="AX23" s="153"/>
      <c r="AY23" s="152"/>
      <c r="AZ23" s="152"/>
      <c r="BA23" s="152"/>
      <c r="BB23" s="152"/>
      <c r="BC23" s="152"/>
      <c r="BD23" s="152"/>
      <c r="BY23" s="40"/>
      <c r="BZ23" s="40"/>
      <c r="CA23" s="40"/>
      <c r="CB23" s="40"/>
      <c r="CC23" s="40"/>
      <c r="CD23" s="40"/>
      <c r="CE23" s="39"/>
      <c r="CF23" s="36" t="s">
        <v>324</v>
      </c>
      <c r="CG23" s="39">
        <f>IF(CP$5=1,CJ15,IF(CP$5=2,CJ16))</f>
        <v>194</v>
      </c>
      <c r="CH23" s="52"/>
      <c r="CI23" s="39"/>
      <c r="CJ23" s="75"/>
      <c r="CK23" s="40"/>
      <c r="CL23" s="39">
        <f>IF(CL20&lt;=CL21,1,IF(AND(CL21&lt;CL20,CL20&lt;CL22),2,IF(CL20&gt;CL22,3)))</f>
        <v>1</v>
      </c>
      <c r="CM23" s="39"/>
      <c r="CN23" s="39"/>
      <c r="CO23" s="40"/>
      <c r="CP23" s="52" t="str">
        <f>VLOOKUP($CL$23,CO13:CP15,2,TRUE)</f>
        <v>≤</v>
      </c>
      <c r="CQ23" s="52" t="str">
        <f>VLOOKUP($CL$23,CO13:CQ15,3,TRUE)</f>
        <v>544/√Fy</v>
      </c>
      <c r="CR23" s="75">
        <f>VLOOKUP($CL$23,CO13:CR15,4,TRUE)</f>
        <v>11.104353500617075</v>
      </c>
      <c r="CS23" s="75" t="str">
        <f>VLOOKUP($CL$23,CO13:CS15,5,TRUE)</f>
        <v>Compact</v>
      </c>
      <c r="CT23" s="75"/>
      <c r="CU23" s="40">
        <v>9</v>
      </c>
      <c r="CV23" s="40" t="str">
        <f>VLOOKUP(9,$DB$8:$DK$79,CY$5,TRUE)</f>
        <v>WF-200x150x6x9 mm.</v>
      </c>
      <c r="CW23" s="40"/>
      <c r="CX23" s="108"/>
      <c r="CY23" s="39">
        <f>IF(CY22&gt;2.3,2.3,IF(CY22&lt;=2.3,CY22))</f>
        <v>2.3</v>
      </c>
      <c r="CZ23" s="40"/>
      <c r="DA23" s="88"/>
      <c r="DB23" s="40">
        <v>16</v>
      </c>
      <c r="DC23" s="40" t="str">
        <f>'Steel Table'!C21</f>
        <v>WF-250X250x8x13 mm.</v>
      </c>
      <c r="DD23" s="40" t="str">
        <f>'Steel Table'!S21</f>
        <v>I-400x150x12.5x25 mm.</v>
      </c>
      <c r="DE23" s="40" t="str">
        <f>'Steel Table'!AJ21</f>
        <v>[-380x100x13x16.5 mm.</v>
      </c>
      <c r="DF23" s="40" t="str">
        <f>'Steel Table'!BC21</f>
        <v>Tube-75x75x2.3 mm.</v>
      </c>
      <c r="DG23" s="40" t="str">
        <f>'Steel Table'!BO21</f>
        <v>Tube-125x75x2.3 mm.</v>
      </c>
      <c r="DH23" s="40" t="str">
        <f>'Steel Table'!CD21</f>
        <v>Pipe-D76.3x4 mm.</v>
      </c>
      <c r="DI23" s="40" t="str">
        <f>'Steel Table'!CO21</f>
        <v>[-100x50x20x3.2 mm.</v>
      </c>
      <c r="DJ23" s="40" t="str">
        <f>'Steel Table'!AJ42</f>
        <v>2[]-380x100x13x16.5 mm.</v>
      </c>
      <c r="DK23" s="40" t="str">
        <f>'Steel Table'!DG21</f>
        <v>2[]-100x50x20x3.2 mm.</v>
      </c>
      <c r="DL23" s="39"/>
      <c r="DM23" s="39"/>
      <c r="DN23" s="40"/>
      <c r="DO23" s="40"/>
      <c r="DP23" s="40"/>
      <c r="DQ23" s="40"/>
      <c r="DR23" s="40"/>
      <c r="DS23" s="40"/>
      <c r="DT23" s="40"/>
      <c r="DU23" s="40"/>
      <c r="DV23" s="40"/>
    </row>
    <row r="24" spans="1:126" s="35" customFormat="1" ht="15.75" customHeight="1">
      <c r="A24" s="40"/>
      <c r="B24" s="34" t="s">
        <v>322</v>
      </c>
      <c r="C24" s="40"/>
      <c r="D24" s="40"/>
      <c r="E24" s="40"/>
      <c r="F24" s="40"/>
      <c r="G24" s="40"/>
      <c r="H24" s="40"/>
      <c r="I24" s="40"/>
      <c r="J24" s="40"/>
      <c r="K24" s="40"/>
      <c r="L24" s="39"/>
      <c r="M24" s="50" t="s">
        <v>0</v>
      </c>
      <c r="N24" s="352">
        <v>300</v>
      </c>
      <c r="O24" s="352"/>
      <c r="P24" s="352"/>
      <c r="Q24" s="396" t="s">
        <v>104</v>
      </c>
      <c r="R24" s="396"/>
      <c r="S24" s="40"/>
      <c r="T24" s="34"/>
      <c r="U24" s="40"/>
      <c r="V24" s="103"/>
      <c r="W24" s="103"/>
      <c r="X24" s="40"/>
      <c r="Y24" s="40"/>
      <c r="Z24" s="40"/>
      <c r="AA24" s="40"/>
      <c r="AB24" s="99"/>
      <c r="AC24" s="153"/>
      <c r="AD24" s="153"/>
      <c r="AE24" s="153"/>
      <c r="AF24" s="153"/>
      <c r="AG24" s="153"/>
      <c r="AH24" s="153"/>
      <c r="AI24" s="153"/>
      <c r="AJ24" s="153"/>
      <c r="AK24" s="48"/>
      <c r="AL24" s="40"/>
      <c r="AM24" s="396" t="s">
        <v>397</v>
      </c>
      <c r="AN24" s="396"/>
      <c r="AO24" s="39" t="s">
        <v>0</v>
      </c>
      <c r="AP24" s="453"/>
      <c r="AQ24" s="454"/>
      <c r="AR24" s="396" t="s">
        <v>401</v>
      </c>
      <c r="AS24" s="396"/>
      <c r="AT24" s="39" t="s">
        <v>0</v>
      </c>
      <c r="AU24" s="397"/>
      <c r="AV24" s="399"/>
      <c r="AW24" s="49"/>
      <c r="AX24" s="153"/>
      <c r="AY24" s="152"/>
      <c r="AZ24" s="152"/>
      <c r="BA24" s="152"/>
      <c r="BB24" s="152"/>
      <c r="BC24" s="152"/>
      <c r="BD24" s="152"/>
      <c r="BY24" s="40"/>
      <c r="BZ24" s="40"/>
      <c r="CA24" s="40"/>
      <c r="CB24" s="40"/>
      <c r="CC24" s="40"/>
      <c r="CD24" s="40"/>
      <c r="CE24" s="39"/>
      <c r="CF24" s="36" t="s">
        <v>323</v>
      </c>
      <c r="CG24" s="39">
        <f>IF(CP$5=1,CJ16,IF(CP$5=2,CJ15))</f>
        <v>150</v>
      </c>
      <c r="CH24" s="52"/>
      <c r="CI24" s="39"/>
      <c r="CJ24" s="75"/>
      <c r="CK24" s="40" t="s">
        <v>340</v>
      </c>
      <c r="CL24" s="40"/>
      <c r="CM24" s="93"/>
      <c r="CN24" s="93"/>
      <c r="CO24" s="40"/>
      <c r="CP24" s="52" t="str">
        <f>VLOOKUP($CL$27,CO17:CP18,2,TRUE)</f>
        <v>≤</v>
      </c>
      <c r="CQ24" s="52" t="str">
        <f>VLOOKUP($CL$27,CO17:CQ18,3,TRUE)</f>
        <v>1590/√Fy</v>
      </c>
      <c r="CR24" s="75">
        <f>VLOOKUP($CL$27,CO17:CR18,4,TRUE)</f>
        <v>32.45573909187711</v>
      </c>
      <c r="CS24" s="75" t="str">
        <f>VLOOKUP($CL$27,CO17:CS18,5,TRUE)</f>
        <v>Compact</v>
      </c>
      <c r="CT24" s="75"/>
      <c r="CU24" s="52">
        <v>10</v>
      </c>
      <c r="CV24" s="40" t="str">
        <f>VLOOKUP(10,$DB$8:$DK$79,CY$5,TRUE)</f>
        <v>WF-200X200x8x12 mm.</v>
      </c>
      <c r="CW24" s="40"/>
      <c r="CX24" s="108"/>
      <c r="CY24" s="40">
        <f>IF(AF30&lt;AF31,AF30,IF(AF30&gt;AF31,AF31))</f>
        <v>500</v>
      </c>
      <c r="CZ24" s="40"/>
      <c r="DA24" s="88"/>
      <c r="DB24" s="40">
        <v>17</v>
      </c>
      <c r="DC24" s="40" t="str">
        <f>'Steel Table'!C22</f>
        <v>WF-250X250x9x14 mm.</v>
      </c>
      <c r="DD24" s="40" t="str">
        <f>'Steel Table'!S22</f>
        <v>I-450x175x11x20 mm.</v>
      </c>
      <c r="DE24" s="40" t="str">
        <f>'Steel Table'!AJ22</f>
        <v>[-380x100x13x20 mm.</v>
      </c>
      <c r="DF24" s="40" t="str">
        <f>'Steel Table'!BC22</f>
        <v>Tube-75x75x3.2 mm.</v>
      </c>
      <c r="DG24" s="40" t="str">
        <f>'Steel Table'!BO22</f>
        <v>Tube-125x75x3.2 mm.</v>
      </c>
      <c r="DH24" s="40" t="str">
        <f>'Steel Table'!CD22</f>
        <v>Pipe-D89.1x2.8 mm.</v>
      </c>
      <c r="DI24" s="40" t="str">
        <f>'Steel Table'!CO22</f>
        <v>[-100x50x20x4 mm.</v>
      </c>
      <c r="DJ24" s="40" t="str">
        <f>'Steel Table'!AJ43</f>
        <v>2[]-380x100x13x20 mm.</v>
      </c>
      <c r="DK24" s="40" t="str">
        <f>'Steel Table'!DG22</f>
        <v>2[]-100x50x20x4 mm.</v>
      </c>
      <c r="DL24" s="39"/>
      <c r="DM24" s="39"/>
      <c r="DN24" s="40"/>
      <c r="DO24" s="40"/>
      <c r="DP24" s="40"/>
      <c r="DQ24" s="40"/>
      <c r="DR24" s="40"/>
      <c r="DS24" s="40"/>
      <c r="DT24" s="40"/>
      <c r="DU24" s="40"/>
      <c r="DV24" s="40"/>
    </row>
    <row r="25" spans="1:126" s="35" customFormat="1" ht="15.75" customHeight="1">
      <c r="A25" s="40"/>
      <c r="B25" s="34" t="s">
        <v>335</v>
      </c>
      <c r="C25" s="40"/>
      <c r="D25" s="40"/>
      <c r="E25" s="40"/>
      <c r="F25" s="40"/>
      <c r="G25" s="40"/>
      <c r="H25" s="40"/>
      <c r="I25" s="40"/>
      <c r="J25" s="40"/>
      <c r="K25" s="40"/>
      <c r="L25" s="39"/>
      <c r="M25" s="50" t="s">
        <v>0</v>
      </c>
      <c r="N25" s="372">
        <f>CL9</f>
        <v>194.73443455126267</v>
      </c>
      <c r="O25" s="372"/>
      <c r="P25" s="372"/>
      <c r="Q25" s="396" t="s">
        <v>104</v>
      </c>
      <c r="R25" s="396"/>
      <c r="S25" s="39" t="str">
        <f>IF(CL13=1,"&gt;",IF(CL13=2,"&lt;"))</f>
        <v>&lt;</v>
      </c>
      <c r="T25" s="40" t="s">
        <v>321</v>
      </c>
      <c r="U25" s="34" t="str">
        <f>IF(CL13=1,CK14,IF(CL13=2,CK15))</f>
        <v>แสดงว่าคานมีค้ำยันไม่เพียงพอ</v>
      </c>
      <c r="V25" s="40"/>
      <c r="W25" s="40"/>
      <c r="X25" s="40"/>
      <c r="Y25" s="40"/>
      <c r="Z25" s="40"/>
      <c r="AA25" s="40"/>
      <c r="AB25" s="99"/>
      <c r="AC25" s="153"/>
      <c r="AD25" s="153"/>
      <c r="AE25" s="153"/>
      <c r="AF25" s="153"/>
      <c r="AG25" s="153"/>
      <c r="AH25" s="153"/>
      <c r="AI25" s="153"/>
      <c r="AJ25" s="153"/>
      <c r="AK25" s="48"/>
      <c r="AL25" s="40"/>
      <c r="AM25" s="396" t="s">
        <v>398</v>
      </c>
      <c r="AN25" s="396"/>
      <c r="AO25" s="39" t="s">
        <v>0</v>
      </c>
      <c r="AP25" s="453"/>
      <c r="AQ25" s="454"/>
      <c r="AR25" s="396" t="s">
        <v>402</v>
      </c>
      <c r="AS25" s="396"/>
      <c r="AT25" s="39" t="s">
        <v>0</v>
      </c>
      <c r="AU25" s="397"/>
      <c r="AV25" s="399"/>
      <c r="AW25" s="49"/>
      <c r="AX25" s="153"/>
      <c r="AY25" s="152"/>
      <c r="AZ25" s="152"/>
      <c r="BA25" s="152"/>
      <c r="BB25" s="152"/>
      <c r="BC25" s="152"/>
      <c r="BD25" s="152"/>
      <c r="BY25" s="40"/>
      <c r="BZ25" s="40"/>
      <c r="CA25" s="40"/>
      <c r="CB25" s="40"/>
      <c r="CC25" s="40"/>
      <c r="CD25" s="40"/>
      <c r="CE25" s="39"/>
      <c r="CF25" s="39" t="s">
        <v>325</v>
      </c>
      <c r="CG25" s="39">
        <f>CJ17</f>
        <v>0</v>
      </c>
      <c r="CH25" s="52"/>
      <c r="CI25" s="39"/>
      <c r="CJ25" s="75"/>
      <c r="CK25" s="52" t="s">
        <v>341</v>
      </c>
      <c r="CL25" s="88">
        <f>1590/CL8</f>
        <v>32.45573909187711</v>
      </c>
      <c r="CM25" s="93"/>
      <c r="CN25" s="75"/>
      <c r="CO25" s="40"/>
      <c r="CP25" s="52" t="str">
        <f>VLOOKUP($CL$31,CO17:CP18,2,TRUE)</f>
        <v>≤</v>
      </c>
      <c r="CQ25" s="52" t="str">
        <f>VLOOKUP($CL$31,CO20:CP21,2,TRUE)</f>
        <v>231000/√Fy</v>
      </c>
      <c r="CR25" s="75">
        <f>VLOOKUP($CL$31,CO20:CR21,4,TRUE)</f>
        <v>4715.267754857618</v>
      </c>
      <c r="CS25" s="75" t="str">
        <f>VLOOKUP($CL$31,CO17:CS18,5,TRUE)</f>
        <v>Compact</v>
      </c>
      <c r="CT25" s="75"/>
      <c r="CU25" s="40">
        <v>11</v>
      </c>
      <c r="CV25" s="40" t="str">
        <f>VLOOKUP(11,$DB$8:$DK$79,CY$5,TRUE)</f>
        <v>WF-200X200x12x12 mm.</v>
      </c>
      <c r="CW25" s="40"/>
      <c r="CX25" s="108"/>
      <c r="CY25" s="40">
        <f>IF(AF30&gt;AF31,AF30,IF(AF30&lt;AF31,AF31))</f>
        <v>800</v>
      </c>
      <c r="CZ25" s="40"/>
      <c r="DA25" s="88"/>
      <c r="DB25" s="40">
        <v>18</v>
      </c>
      <c r="DC25" s="40" t="str">
        <f>'Steel Table'!C23</f>
        <v>WF-250X250x14x14 mm.</v>
      </c>
      <c r="DD25" s="40" t="str">
        <f>'Steel Table'!S23</f>
        <v>I-450x175x13x26 mm.</v>
      </c>
      <c r="DE25" s="40"/>
      <c r="DF25" s="40" t="str">
        <f>'Steel Table'!BC23</f>
        <v>Tube-75x75x4 mm.</v>
      </c>
      <c r="DG25" s="40" t="str">
        <f>'Steel Table'!BO23</f>
        <v>Tube-125x75x4 mm.</v>
      </c>
      <c r="DH25" s="40" t="str">
        <f>'Steel Table'!CD23</f>
        <v>Pipe-D89.1x3.2 mm.</v>
      </c>
      <c r="DI25" s="40" t="str">
        <f>'Steel Table'!CO23</f>
        <v>[-100x50x20x4.5 mm.</v>
      </c>
      <c r="DJ25" s="40"/>
      <c r="DK25" s="40" t="str">
        <f>'Steel Table'!DG23</f>
        <v>2[]-100x50x20x4.5 mm.</v>
      </c>
      <c r="DL25" s="39"/>
      <c r="DM25" s="39"/>
      <c r="DN25" s="40"/>
      <c r="DO25" s="40"/>
      <c r="DP25" s="40"/>
      <c r="DQ25" s="40"/>
      <c r="DR25" s="40"/>
      <c r="DS25" s="40"/>
      <c r="DT25" s="40"/>
      <c r="DU25" s="40"/>
      <c r="DV25" s="40"/>
    </row>
    <row r="26" spans="1:126" s="35" customFormat="1" ht="15.75" customHeight="1" thickBot="1">
      <c r="A26" s="52"/>
      <c r="B26" s="107" t="s">
        <v>336</v>
      </c>
      <c r="C26" s="40"/>
      <c r="D26" s="40"/>
      <c r="E26" s="40"/>
      <c r="F26" s="40"/>
      <c r="G26" s="40"/>
      <c r="H26" s="40"/>
      <c r="I26" s="40"/>
      <c r="J26" s="40"/>
      <c r="K26" s="40"/>
      <c r="L26" s="39"/>
      <c r="M26" s="50"/>
      <c r="N26" s="52"/>
      <c r="O26" s="52"/>
      <c r="P26" s="52"/>
      <c r="Q26" s="40"/>
      <c r="R26" s="40"/>
      <c r="S26" s="40"/>
      <c r="T26" s="40"/>
      <c r="U26" s="40"/>
      <c r="V26" s="52"/>
      <c r="W26" s="52"/>
      <c r="X26" s="40"/>
      <c r="Y26" s="40"/>
      <c r="Z26" s="40"/>
      <c r="AA26" s="40"/>
      <c r="AB26" s="99"/>
      <c r="AC26" s="153"/>
      <c r="AD26" s="153"/>
      <c r="AE26" s="153"/>
      <c r="AF26" s="153"/>
      <c r="AG26" s="153"/>
      <c r="AH26" s="153"/>
      <c r="AI26" s="153"/>
      <c r="AJ26" s="153"/>
      <c r="AK26" s="64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65"/>
      <c r="AX26" s="153"/>
      <c r="AY26" s="152"/>
      <c r="AZ26" s="152"/>
      <c r="BA26" s="152"/>
      <c r="BB26" s="152"/>
      <c r="BC26" s="152"/>
      <c r="BD26" s="152"/>
      <c r="BY26" s="40"/>
      <c r="BZ26" s="40"/>
      <c r="CA26" s="40"/>
      <c r="CB26" s="40"/>
      <c r="CC26" s="40"/>
      <c r="CD26" s="40"/>
      <c r="CE26" s="39"/>
      <c r="CF26" s="39" t="s">
        <v>137</v>
      </c>
      <c r="CG26" s="75">
        <f>IF(CP$5=1,CJ18,IF(CP$5=2,CJ19))</f>
        <v>6</v>
      </c>
      <c r="CH26" s="52"/>
      <c r="CI26" s="39"/>
      <c r="CJ26" s="39"/>
      <c r="CK26" s="52" t="s">
        <v>342</v>
      </c>
      <c r="CL26" s="88">
        <f>1980/CL8</f>
        <v>40.41658075592244</v>
      </c>
      <c r="CM26" s="39"/>
      <c r="CN26" s="39"/>
      <c r="CO26" s="40"/>
      <c r="CP26" s="40"/>
      <c r="CQ26" s="40"/>
      <c r="CR26" s="40"/>
      <c r="CS26" s="40"/>
      <c r="CT26" s="40"/>
      <c r="CU26" s="40">
        <v>12</v>
      </c>
      <c r="CV26" s="40" t="str">
        <f>VLOOKUP(12,$DB$8:$DK$79,CY$5,TRUE)</f>
        <v>WF-200X200x10x16 mm.</v>
      </c>
      <c r="CW26" s="40"/>
      <c r="CX26" s="104"/>
      <c r="CY26" s="40"/>
      <c r="CZ26" s="40"/>
      <c r="DA26" s="40"/>
      <c r="DB26" s="40">
        <v>19</v>
      </c>
      <c r="DC26" s="40" t="str">
        <f>'Steel Table'!C24</f>
        <v>WF-300X150x5.5x8 mm.</v>
      </c>
      <c r="DD26" s="40" t="str">
        <f>'Steel Table'!S24</f>
        <v>I-600x190x13x25 mm.</v>
      </c>
      <c r="DE26" s="40"/>
      <c r="DF26" s="40" t="str">
        <f>'Steel Table'!BC24</f>
        <v>Tube-75x75x4.5 mm.</v>
      </c>
      <c r="DG26" s="40" t="str">
        <f>'Steel Table'!BO24</f>
        <v>Tube-125x75x4.5 mm.</v>
      </c>
      <c r="DH26" s="40" t="str">
        <f>'Steel Table'!CD24</f>
        <v>Pipe-D101.6x3.2 mm.</v>
      </c>
      <c r="DI26" s="40" t="str">
        <f>'Steel Table'!CO24</f>
        <v>[-120x40x20x3.2 mm.</v>
      </c>
      <c r="DJ26" s="40"/>
      <c r="DK26" s="40" t="str">
        <f>'Steel Table'!DG24</f>
        <v>2[]-120x40x20x3.2 mm.</v>
      </c>
      <c r="DL26" s="39"/>
      <c r="DM26" s="39"/>
      <c r="DN26" s="40"/>
      <c r="DO26" s="40"/>
      <c r="DP26" s="40"/>
      <c r="DQ26" s="40"/>
      <c r="DR26" s="40"/>
      <c r="DS26" s="40"/>
      <c r="DT26" s="40"/>
      <c r="DU26" s="40"/>
      <c r="DV26" s="40"/>
    </row>
    <row r="27" spans="1:126" s="35" customFormat="1" ht="15.75" customHeight="1">
      <c r="A27" s="52"/>
      <c r="B27" s="39">
        <f>IF(AND($CP10=1,$CL$23=3),CK21,"")</f>
      </c>
      <c r="C27" s="39"/>
      <c r="D27" s="39"/>
      <c r="E27" s="52">
        <f>IF(AND($CP10=1,$CL$23=3),"=","")</f>
      </c>
      <c r="F27" s="100">
        <f>IF(AND($CP10=1,$CL$23=3),CL21,"")</f>
      </c>
      <c r="G27" s="100"/>
      <c r="H27" s="100"/>
      <c r="I27" s="52">
        <f>IF(AND($CP10=1,$CL$23=3),"&lt;","")</f>
      </c>
      <c r="J27" s="396" t="str">
        <f>IF(OR(CP10=1,CP10=2),CK20,IF(CP10=3,CK29))</f>
        <v>bf/2tf</v>
      </c>
      <c r="K27" s="396"/>
      <c r="L27" s="396"/>
      <c r="M27" s="50" t="s">
        <v>0</v>
      </c>
      <c r="N27" s="401">
        <f>IF($CP$10=1,CL20,IF($CP$10=2,CL20,IF($CP$10=3,CL29)))</f>
        <v>8.333333333333334</v>
      </c>
      <c r="O27" s="401"/>
      <c r="P27" s="401"/>
      <c r="Q27" s="41" t="str">
        <f>CP11</f>
        <v>≤</v>
      </c>
      <c r="R27" s="396" t="str">
        <f>CQ11</f>
        <v>544/√Fy</v>
      </c>
      <c r="S27" s="396"/>
      <c r="T27" s="396"/>
      <c r="U27" s="39" t="s">
        <v>0</v>
      </c>
      <c r="V27" s="401">
        <f>CR11</f>
        <v>11.104353500617075</v>
      </c>
      <c r="W27" s="401"/>
      <c r="X27" s="401"/>
      <c r="Y27" s="40" t="str">
        <f>CS11</f>
        <v>Compact</v>
      </c>
      <c r="Z27" s="40"/>
      <c r="AA27" s="40"/>
      <c r="AB27" s="99"/>
      <c r="AC27" s="153"/>
      <c r="AD27" s="153"/>
      <c r="AE27" s="153"/>
      <c r="AF27" s="153"/>
      <c r="AG27" s="153"/>
      <c r="AH27" s="153"/>
      <c r="AI27" s="153"/>
      <c r="AJ27" s="153"/>
      <c r="AK27" s="53"/>
      <c r="AL27" s="112"/>
      <c r="AM27" s="112"/>
      <c r="AN27" s="112"/>
      <c r="AO27" s="112"/>
      <c r="AP27" s="112"/>
      <c r="AQ27" s="113" t="s">
        <v>91</v>
      </c>
      <c r="AR27" s="112"/>
      <c r="AS27" s="112"/>
      <c r="AT27" s="112"/>
      <c r="AU27" s="112"/>
      <c r="AV27" s="112"/>
      <c r="AW27" s="54"/>
      <c r="AX27" s="153"/>
      <c r="AY27" s="152"/>
      <c r="AZ27" s="152"/>
      <c r="BA27" s="152"/>
      <c r="BB27" s="152"/>
      <c r="BC27" s="152"/>
      <c r="BD27" s="152"/>
      <c r="BW27" s="114"/>
      <c r="BX27" s="114"/>
      <c r="BY27" s="114"/>
      <c r="BZ27" s="114"/>
      <c r="CA27" s="114"/>
      <c r="CB27" s="114"/>
      <c r="CC27" s="40"/>
      <c r="CD27" s="40"/>
      <c r="CE27" s="39"/>
      <c r="CF27" s="39" t="s">
        <v>138</v>
      </c>
      <c r="CG27" s="75">
        <f>IF(CP$5=1,CJ19,IF(CP$5=2,CJ18))</f>
        <v>9</v>
      </c>
      <c r="CH27" s="40"/>
      <c r="CI27" s="39"/>
      <c r="CJ27" s="39"/>
      <c r="CK27" s="40"/>
      <c r="CL27" s="39">
        <f>IF(CL20&lt;=CL25,1,IF(AND(CL25&lt;CL20,CL20&lt;CL26),2))</f>
        <v>1</v>
      </c>
      <c r="CM27" s="39"/>
      <c r="CN27" s="39"/>
      <c r="CO27" s="40"/>
      <c r="CP27" s="40">
        <f>IF(AND(CL13=1,CS9=1),1,IF(AND(CL13=1,CS9=2),2,IF(AND(CL13=1,CS9=3),3,IF(CL13=2,4))))</f>
        <v>4</v>
      </c>
      <c r="CQ27" s="40">
        <v>1</v>
      </c>
      <c r="CR27" s="39">
        <f>0.66*CG$7</f>
        <v>1584</v>
      </c>
      <c r="CS27" s="40"/>
      <c r="CT27" s="40"/>
      <c r="CU27" s="40">
        <v>13</v>
      </c>
      <c r="CV27" s="40" t="str">
        <f>VLOOKUP(13,$DB$8:$DK$79,CY$5,TRUE)</f>
        <v>WF-250x125x5x8 mm.</v>
      </c>
      <c r="CW27" s="40"/>
      <c r="CX27" s="40"/>
      <c r="CY27" s="40"/>
      <c r="CZ27" s="40"/>
      <c r="DA27" s="40"/>
      <c r="DB27" s="40">
        <v>20</v>
      </c>
      <c r="DC27" s="40" t="str">
        <f>'Steel Table'!C25</f>
        <v>WF-300X150x6.5x9 mm.</v>
      </c>
      <c r="DD27" s="40" t="str">
        <f>'Steel Table'!S25</f>
        <v>I-600x190x16x35 mm.</v>
      </c>
      <c r="DE27" s="40"/>
      <c r="DF27" s="40" t="str">
        <f>'Steel Table'!BC25</f>
        <v>Tube-100x100x2.3 mm.</v>
      </c>
      <c r="DG27" s="40" t="str">
        <f>'Steel Table'!BO25</f>
        <v>Tube-125x75x6 mm.</v>
      </c>
      <c r="DH27" s="40" t="str">
        <f>'Steel Table'!CD25</f>
        <v>Pipe-D101.6x4 mm.</v>
      </c>
      <c r="DI27" s="40" t="str">
        <f>'Steel Table'!CO25</f>
        <v>[-120x60x25x2.3 mm.</v>
      </c>
      <c r="DJ27" s="40"/>
      <c r="DK27" s="40" t="str">
        <f>'Steel Table'!DG25</f>
        <v>2[]-120x60x25x2.3 mm.</v>
      </c>
      <c r="DL27" s="39"/>
      <c r="DM27" s="39"/>
      <c r="DN27" s="40"/>
      <c r="DO27" s="40"/>
      <c r="DP27" s="40"/>
      <c r="DQ27" s="40"/>
      <c r="DR27" s="40"/>
      <c r="DS27" s="40"/>
      <c r="DT27" s="40"/>
      <c r="DU27" s="40"/>
      <c r="DV27" s="40"/>
    </row>
    <row r="28" spans="1:126" s="35" customFormat="1" ht="15.75" customHeight="1">
      <c r="A28" s="52"/>
      <c r="B28" s="107" t="s">
        <v>356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15">
        <f>IF(OR(CP27=1,CP27=2,CP27=3),"เนื่องจากคานมีค้ำยันเพียงพอจึงไม่ต้องตรวจสอบการโก่งตัวทางด้านข้าง",IF(CP27=4,""))</f>
      </c>
      <c r="O28" s="39"/>
      <c r="P28" s="39"/>
      <c r="Q28" s="40"/>
      <c r="R28" s="40"/>
      <c r="S28" s="40"/>
      <c r="T28" s="40"/>
      <c r="U28" s="40"/>
      <c r="V28" s="106"/>
      <c r="W28" s="106"/>
      <c r="X28" s="40"/>
      <c r="Y28" s="40"/>
      <c r="Z28" s="40"/>
      <c r="AA28" s="40"/>
      <c r="AB28" s="99"/>
      <c r="AC28" s="445" t="s">
        <v>360</v>
      </c>
      <c r="AD28" s="446"/>
      <c r="AE28" s="446"/>
      <c r="AF28" s="447"/>
      <c r="AG28" s="153"/>
      <c r="AH28" s="153"/>
      <c r="AI28" s="153"/>
      <c r="AJ28" s="153"/>
      <c r="AK28" s="48"/>
      <c r="AL28" s="40"/>
      <c r="AM28" s="467"/>
      <c r="AN28" s="468" t="s">
        <v>404</v>
      </c>
      <c r="AO28" s="440"/>
      <c r="AP28" s="440"/>
      <c r="AQ28" s="440"/>
      <c r="AR28" s="440"/>
      <c r="AS28" s="440"/>
      <c r="AT28" s="440"/>
      <c r="AU28" s="40"/>
      <c r="AV28" s="40"/>
      <c r="AW28" s="49"/>
      <c r="AX28" s="153"/>
      <c r="AY28" s="152"/>
      <c r="AZ28" s="152"/>
      <c r="BA28" s="152"/>
      <c r="BB28" s="152"/>
      <c r="BC28" s="152"/>
      <c r="BD28" s="152"/>
      <c r="BY28" s="40"/>
      <c r="BZ28" s="40"/>
      <c r="CA28" s="40"/>
      <c r="CB28" s="40"/>
      <c r="CC28" s="40"/>
      <c r="CD28" s="40"/>
      <c r="CE28" s="39"/>
      <c r="CF28" s="39" t="s">
        <v>172</v>
      </c>
      <c r="CG28" s="75">
        <f>IF(CP$5=1,CJ20,IF(CP$5=2,CJ21))</f>
        <v>13</v>
      </c>
      <c r="CH28" s="40"/>
      <c r="CI28" s="40"/>
      <c r="CJ28" s="40"/>
      <c r="CK28" s="40" t="s">
        <v>343</v>
      </c>
      <c r="CL28" s="40"/>
      <c r="CM28" s="40"/>
      <c r="CN28" s="40"/>
      <c r="CO28" s="40"/>
      <c r="CP28" s="40"/>
      <c r="CQ28" s="40">
        <v>2</v>
      </c>
      <c r="CR28" s="39">
        <f>0.6*CG$7</f>
        <v>1440</v>
      </c>
      <c r="CS28" s="40"/>
      <c r="CT28" s="40"/>
      <c r="CU28" s="52">
        <v>14</v>
      </c>
      <c r="CV28" s="40" t="str">
        <f>VLOOKUP(14,$DB$8:$DK$79,CY$5,TRUE)</f>
        <v>WF-250x125x6x9 mm.</v>
      </c>
      <c r="CW28" s="40"/>
      <c r="CX28" s="40"/>
      <c r="CY28" s="40"/>
      <c r="CZ28" s="40"/>
      <c r="DA28" s="40"/>
      <c r="DB28" s="40">
        <v>21</v>
      </c>
      <c r="DC28" s="40" t="str">
        <f>'Steel Table'!C26</f>
        <v>WF-300x200x8x12 mm.</v>
      </c>
      <c r="DD28" s="40"/>
      <c r="DE28" s="40"/>
      <c r="DF28" s="40" t="str">
        <f>'Steel Table'!BC26</f>
        <v>Tube-100x100x3.2 mm.</v>
      </c>
      <c r="DG28" s="40" t="str">
        <f>'Steel Table'!BO26</f>
        <v>Tube-150x50x3.2 mm.</v>
      </c>
      <c r="DH28" s="40" t="str">
        <f>'Steel Table'!CD26</f>
        <v>Pipe-D114.3x3.2 mm.</v>
      </c>
      <c r="DI28" s="40" t="str">
        <f>'Steel Table'!CO26</f>
        <v>[-120x60x25x3.2 mm.</v>
      </c>
      <c r="DJ28" s="40"/>
      <c r="DK28" s="40" t="str">
        <f>'Steel Table'!DG26</f>
        <v>2[]-120x60x25x3.2 mm.</v>
      </c>
      <c r="DL28" s="39"/>
      <c r="DM28" s="39"/>
      <c r="DN28" s="40"/>
      <c r="DO28" s="40"/>
      <c r="DP28" s="40"/>
      <c r="DQ28" s="40"/>
      <c r="DR28" s="40"/>
      <c r="DS28" s="40"/>
      <c r="DT28" s="40"/>
      <c r="DU28" s="40"/>
      <c r="DV28" s="40"/>
    </row>
    <row r="29" spans="1:126" s="35" customFormat="1" ht="15.75" customHeight="1">
      <c r="A29" s="52"/>
      <c r="C29" s="52"/>
      <c r="D29" s="52"/>
      <c r="E29" s="52"/>
      <c r="F29" s="52"/>
      <c r="G29" s="52"/>
      <c r="H29" s="52"/>
      <c r="I29" s="52"/>
      <c r="J29" s="52"/>
      <c r="K29" s="39" t="s">
        <v>361</v>
      </c>
      <c r="L29" s="39"/>
      <c r="M29" s="50" t="s">
        <v>0</v>
      </c>
      <c r="N29" s="402">
        <f>IF(CP27=4,CQ36,"-")</f>
        <v>1</v>
      </c>
      <c r="O29" s="402"/>
      <c r="P29" s="402"/>
      <c r="Q29" s="40"/>
      <c r="R29" s="40"/>
      <c r="S29" s="40"/>
      <c r="T29" s="40"/>
      <c r="U29" s="40"/>
      <c r="V29" s="106"/>
      <c r="W29" s="106"/>
      <c r="X29" s="40"/>
      <c r="Y29" s="40"/>
      <c r="Z29" s="40"/>
      <c r="AA29" s="40"/>
      <c r="AB29" s="99"/>
      <c r="AC29" s="153"/>
      <c r="AD29" s="153"/>
      <c r="AE29" s="153"/>
      <c r="AF29" s="153"/>
      <c r="AG29" s="153"/>
      <c r="AH29" s="153"/>
      <c r="AI29" s="153"/>
      <c r="AJ29" s="153"/>
      <c r="AK29" s="48"/>
      <c r="AL29" s="40"/>
      <c r="AM29" s="467"/>
      <c r="AN29" s="40"/>
      <c r="AO29" s="40"/>
      <c r="AP29" s="40"/>
      <c r="AQ29" s="40"/>
      <c r="AR29" s="40"/>
      <c r="AS29" s="40"/>
      <c r="AT29" s="40"/>
      <c r="AU29" s="40"/>
      <c r="AV29" s="40"/>
      <c r="AW29" s="49"/>
      <c r="AX29" s="153"/>
      <c r="AY29" s="152"/>
      <c r="AZ29" s="152"/>
      <c r="BA29" s="152"/>
      <c r="BB29" s="152"/>
      <c r="BC29" s="152"/>
      <c r="BD29" s="152"/>
      <c r="BY29" s="40"/>
      <c r="BZ29" s="40"/>
      <c r="CA29" s="40"/>
      <c r="CB29" s="40"/>
      <c r="CC29" s="40"/>
      <c r="CD29" s="40"/>
      <c r="CE29" s="39"/>
      <c r="CF29" s="39" t="s">
        <v>173</v>
      </c>
      <c r="CG29" s="75">
        <f>IF(CP$5=1,CJ21,IF(CP$5=2,CJ20))</f>
        <v>0</v>
      </c>
      <c r="CH29" s="40"/>
      <c r="CI29" s="40"/>
      <c r="CJ29" s="40"/>
      <c r="CK29" s="40" t="s">
        <v>344</v>
      </c>
      <c r="CL29" s="88">
        <f>CG23/CG26</f>
        <v>32.333333333333336</v>
      </c>
      <c r="CM29" s="40"/>
      <c r="CN29" s="40"/>
      <c r="CO29" s="40"/>
      <c r="CP29" s="40"/>
      <c r="CQ29" s="40">
        <v>3</v>
      </c>
      <c r="CR29" s="75">
        <f>CG$7*(0.79-(0.00024*CL20*CL8))</f>
        <v>1660.8489846928148</v>
      </c>
      <c r="CS29" s="40"/>
      <c r="CT29" s="40"/>
      <c r="CU29" s="40">
        <v>15</v>
      </c>
      <c r="CV29" s="40" t="str">
        <f>VLOOKUP(15,$DB$8:$DK$79,CY$5,TRUE)</f>
        <v>WF-250X250x11x11 mm.</v>
      </c>
      <c r="CW29" s="40"/>
      <c r="CX29" s="40"/>
      <c r="CY29" s="40"/>
      <c r="CZ29" s="40"/>
      <c r="DA29" s="40"/>
      <c r="DB29" s="40">
        <v>22</v>
      </c>
      <c r="DC29" s="40" t="str">
        <f>'Steel Table'!C27</f>
        <v>WF-300x200x9x14 mm.</v>
      </c>
      <c r="DD29" s="40"/>
      <c r="DE29" s="40"/>
      <c r="DF29" s="40" t="str">
        <f>'Steel Table'!BC27</f>
        <v>Tube-100x100x4 mm.</v>
      </c>
      <c r="DG29" s="40" t="str">
        <f>'Steel Table'!BO27</f>
        <v>Tube-150x50x4.5 mm.</v>
      </c>
      <c r="DH29" s="40" t="str">
        <f>'Steel Table'!CD27</f>
        <v>Pipe-D114.3x3.5 mm.</v>
      </c>
      <c r="DI29" s="40" t="str">
        <f>'Steel Table'!CO27</f>
        <v>[-120x60x25x4.5 mm.</v>
      </c>
      <c r="DJ29" s="40"/>
      <c r="DK29" s="40" t="str">
        <f>'Steel Table'!DG27</f>
        <v>2[]-120x60x25x4.5 mm.</v>
      </c>
      <c r="DL29" s="39"/>
      <c r="DM29" s="39"/>
      <c r="DN29" s="40"/>
      <c r="DO29" s="40"/>
      <c r="DP29" s="40"/>
      <c r="DQ29" s="40"/>
      <c r="DR29" s="40"/>
      <c r="DS29" s="40"/>
      <c r="DT29" s="40"/>
      <c r="DU29" s="40"/>
      <c r="DV29" s="40"/>
    </row>
    <row r="30" spans="1:126" s="35" customFormat="1" ht="15.75" customHeight="1">
      <c r="A30" s="40"/>
      <c r="B30" s="52" t="str">
        <f>IF(OR(CQ43=1,CQ43=3),"",IF(CQ43=2,CP37))</f>
        <v>√(7173x10³*Cb)/Fy)</v>
      </c>
      <c r="C30" s="52"/>
      <c r="D30" s="52"/>
      <c r="E30" s="52"/>
      <c r="F30" s="52"/>
      <c r="G30" s="36" t="str">
        <f>IF(OR(CQ43=1,CQ43=3),"",IF(CQ43=2,"="))</f>
        <v>=</v>
      </c>
      <c r="H30" s="401">
        <f>IF(OR(CP27=1,CP27=2,CP27=3),"",IF(OR(CQ43=1,CQ43=3),"",IF(CQ43=2,CQ37)))</f>
        <v>54.669461310680575</v>
      </c>
      <c r="I30" s="401"/>
      <c r="J30" s="39" t="str">
        <f>IF(OR(CQ43=1,CQ43=3),"",IF(CQ43=2,"&lt;"))</f>
        <v>&lt;</v>
      </c>
      <c r="K30" s="396" t="s">
        <v>355</v>
      </c>
      <c r="L30" s="396"/>
      <c r="M30" s="50" t="s">
        <v>0</v>
      </c>
      <c r="N30" s="401">
        <f>IF(OR(CP27=1,CP27=2,CP27=3),"-",CQ35)</f>
        <v>73.60537670095806</v>
      </c>
      <c r="O30" s="401"/>
      <c r="P30" s="401"/>
      <c r="Q30" s="39" t="str">
        <f>IF(CQ43=1,"&gt;",IF(OR(CQ43=2,CQ43=3),"&lt;"))</f>
        <v>&lt;</v>
      </c>
      <c r="R30" s="52" t="str">
        <f>IF(OR(CQ43=1,CQ43=2),CP38,IF(CQ43=3,CP37))</f>
        <v>√(3585x104*Cb)/Fy)</v>
      </c>
      <c r="S30" s="52"/>
      <c r="T30" s="52"/>
      <c r="U30" s="52"/>
      <c r="V30" s="52"/>
      <c r="W30" s="116" t="s">
        <v>0</v>
      </c>
      <c r="X30" s="402">
        <f>IF(OR(CP27=1,CP27=2,CP27=3),"-",IF(OR(CQ43=1,CQ43=2),CQ38,IF(CQ43=3,CQ37)))</f>
        <v>122.21906561580316</v>
      </c>
      <c r="Y30" s="402"/>
      <c r="Z30" s="106"/>
      <c r="AA30" s="40"/>
      <c r="AB30" s="99"/>
      <c r="AC30" s="477">
        <f>IF($CY$17=3,"M1","")</f>
      </c>
      <c r="AD30" s="460"/>
      <c r="AE30" s="162">
        <f>IF($CY$17=3,"=","")</f>
      </c>
      <c r="AF30" s="443">
        <v>500</v>
      </c>
      <c r="AG30" s="444"/>
      <c r="AH30" s="154"/>
      <c r="AI30" s="153"/>
      <c r="AJ30" s="153"/>
      <c r="AK30" s="48"/>
      <c r="AL30" s="40"/>
      <c r="AM30" s="70"/>
      <c r="AN30" s="70"/>
      <c r="AO30" s="70"/>
      <c r="AP30" s="70"/>
      <c r="AQ30" s="71" t="s">
        <v>120</v>
      </c>
      <c r="AR30" s="70"/>
      <c r="AS30" s="70"/>
      <c r="AT30" s="70"/>
      <c r="AU30" s="70"/>
      <c r="AV30" s="40"/>
      <c r="AW30" s="49"/>
      <c r="AX30" s="153"/>
      <c r="AY30" s="152"/>
      <c r="AZ30" s="152"/>
      <c r="BA30" s="152"/>
      <c r="BB30" s="152"/>
      <c r="BC30" s="152"/>
      <c r="BD30" s="152"/>
      <c r="BY30" s="117"/>
      <c r="BZ30" s="40"/>
      <c r="CA30" s="40"/>
      <c r="CB30" s="40"/>
      <c r="CC30" s="40"/>
      <c r="CD30" s="40"/>
      <c r="CE30" s="39"/>
      <c r="CF30" s="39" t="s">
        <v>388</v>
      </c>
      <c r="CG30" s="39">
        <f>0.4*CG7</f>
        <v>960</v>
      </c>
      <c r="CH30" s="40"/>
      <c r="CI30" s="40"/>
      <c r="CJ30" s="40"/>
      <c r="CK30" s="40" t="s">
        <v>345</v>
      </c>
      <c r="CL30" s="93">
        <f>231000/CL8</f>
        <v>4715.267754857618</v>
      </c>
      <c r="CM30" s="40"/>
      <c r="CN30" s="40"/>
      <c r="CO30" s="40"/>
      <c r="CP30" s="40"/>
      <c r="CQ30" s="40">
        <v>4</v>
      </c>
      <c r="CR30" s="93">
        <f>CQ49</f>
        <v>1309.9791029673786</v>
      </c>
      <c r="CS30" s="40"/>
      <c r="CT30" s="40"/>
      <c r="CU30" s="40">
        <v>16</v>
      </c>
      <c r="CV30" s="40" t="str">
        <f>VLOOKUP(16,$DB$8:$DK$79,CY$5,TRUE)</f>
        <v>WF-250X250x8x13 mm.</v>
      </c>
      <c r="CW30" s="52"/>
      <c r="CX30" s="52"/>
      <c r="CY30" s="52"/>
      <c r="CZ30" s="52"/>
      <c r="DA30" s="52"/>
      <c r="DB30" s="40">
        <v>23</v>
      </c>
      <c r="DC30" s="40" t="str">
        <f>'Steel Table'!C28</f>
        <v>WF-300X300x12x12 mm.</v>
      </c>
      <c r="DD30" s="40"/>
      <c r="DE30" s="40"/>
      <c r="DF30" s="40" t="str">
        <f>'Steel Table'!BC28</f>
        <v>Tube-100x100x4.5 mm.</v>
      </c>
      <c r="DG30" s="40" t="str">
        <f>'Steel Table'!BO28</f>
        <v>Tube-150x50x6.3 mm.</v>
      </c>
      <c r="DH30" s="40" t="str">
        <f>'Steel Table'!CD28</f>
        <v>Pipe-D114.3x4.5 mm.</v>
      </c>
      <c r="DI30" s="40" t="str">
        <f>'Steel Table'!CO28</f>
        <v>[-125x50x20x2.3 mm.</v>
      </c>
      <c r="DJ30" s="40"/>
      <c r="DK30" s="40" t="str">
        <f>'Steel Table'!DG28</f>
        <v>2[]-125x50x20x2.3 mm.</v>
      </c>
      <c r="DL30" s="39"/>
      <c r="DM30" s="39"/>
      <c r="DN30" s="40"/>
      <c r="DO30" s="40"/>
      <c r="DP30" s="40"/>
      <c r="DQ30" s="40"/>
      <c r="DR30" s="40"/>
      <c r="DS30" s="40"/>
      <c r="DT30" s="40"/>
      <c r="DU30" s="40"/>
      <c r="DV30" s="40"/>
    </row>
    <row r="31" spans="1:126" s="35" customFormat="1" ht="15.75" customHeight="1">
      <c r="A31" s="40"/>
      <c r="B31" s="118" t="s">
        <v>380</v>
      </c>
      <c r="C31" s="34" t="s">
        <v>381</v>
      </c>
      <c r="D31" s="40"/>
      <c r="E31" s="40"/>
      <c r="F31" s="40"/>
      <c r="G31" s="40"/>
      <c r="H31" s="40"/>
      <c r="I31" s="40"/>
      <c r="J31" s="40"/>
      <c r="K31" s="40"/>
      <c r="L31" s="39"/>
      <c r="M31" s="50" t="s">
        <v>0</v>
      </c>
      <c r="N31" s="369">
        <f>CL33</f>
        <v>1309.9791029673786</v>
      </c>
      <c r="O31" s="369"/>
      <c r="P31" s="369"/>
      <c r="Q31" s="98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99"/>
      <c r="AC31" s="475">
        <f>IF($CY$17=3,"M2","")</f>
      </c>
      <c r="AD31" s="476"/>
      <c r="AE31" s="162">
        <f>IF($CY$17=3,"=","")</f>
      </c>
      <c r="AF31" s="443">
        <v>800</v>
      </c>
      <c r="AG31" s="444"/>
      <c r="AH31" s="154"/>
      <c r="AI31" s="153"/>
      <c r="AJ31" s="153"/>
      <c r="AK31" s="48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9"/>
      <c r="AX31" s="153"/>
      <c r="AY31" s="152"/>
      <c r="AZ31" s="152"/>
      <c r="BA31" s="152"/>
      <c r="BB31" s="152"/>
      <c r="BC31" s="152"/>
      <c r="BD31" s="152"/>
      <c r="BY31" s="40"/>
      <c r="BZ31" s="40"/>
      <c r="CA31" s="40"/>
      <c r="CB31" s="40"/>
      <c r="CC31" s="40"/>
      <c r="CD31" s="40"/>
      <c r="CE31" s="40"/>
      <c r="CG31" s="39"/>
      <c r="CH31" s="63"/>
      <c r="CI31" s="63"/>
      <c r="CJ31" s="40"/>
      <c r="CK31" s="40"/>
      <c r="CL31" s="39">
        <f>IF(CL29&lt;CL30,1,IF(CL29&gt;CL30,2))</f>
        <v>1</v>
      </c>
      <c r="CM31" s="40"/>
      <c r="CN31" s="40"/>
      <c r="CO31" s="40"/>
      <c r="CP31" s="40" t="s">
        <v>327</v>
      </c>
      <c r="CQ31" s="39">
        <f>(CG24*CG27)/100</f>
        <v>13.5</v>
      </c>
      <c r="CR31" s="40"/>
      <c r="CS31" s="40"/>
      <c r="CT31" s="40"/>
      <c r="CU31" s="40">
        <v>17</v>
      </c>
      <c r="CV31" s="40" t="str">
        <f>VLOOKUP(17,$DB$8:$DK$79,CY$5,TRUE)</f>
        <v>WF-250X250x9x14 mm.</v>
      </c>
      <c r="CW31" s="52"/>
      <c r="CX31" s="52"/>
      <c r="CY31" s="40"/>
      <c r="CZ31" s="40"/>
      <c r="DA31" s="40"/>
      <c r="DB31" s="40">
        <v>24</v>
      </c>
      <c r="DC31" s="40" t="str">
        <f>'Steel Table'!C29</f>
        <v>WF-300X300x9x14 mm.</v>
      </c>
      <c r="DD31" s="40"/>
      <c r="DE31" s="40"/>
      <c r="DF31" s="40" t="str">
        <f>'Steel Table'!BC29</f>
        <v>Tube-100x100x6 mm.</v>
      </c>
      <c r="DG31" s="40" t="str">
        <f>'Steel Table'!BO29</f>
        <v>Tube-200x100x4.5 mm.</v>
      </c>
      <c r="DH31" s="40" t="str">
        <f>'Steel Table'!CD29</f>
        <v>Pipe-D139.8x3.6 mm.</v>
      </c>
      <c r="DI31" s="40" t="str">
        <f>'Steel Table'!CO29</f>
        <v>[-125x50x20x3.2 mm.</v>
      </c>
      <c r="DJ31" s="40"/>
      <c r="DK31" s="40" t="str">
        <f>'Steel Table'!DG29</f>
        <v>2[]-125x50x20x3.2 mm.</v>
      </c>
      <c r="DL31" s="39"/>
      <c r="DM31" s="39"/>
      <c r="DN31" s="40"/>
      <c r="DO31" s="40"/>
      <c r="DP31" s="40"/>
      <c r="DQ31" s="40"/>
      <c r="DR31" s="40"/>
      <c r="DS31" s="40"/>
      <c r="DT31" s="40"/>
      <c r="DU31" s="40"/>
      <c r="DV31" s="40"/>
    </row>
    <row r="32" spans="1:126" s="35" customFormat="1" ht="15.75" customHeight="1">
      <c r="A32" s="40"/>
      <c r="B32" s="119" t="s">
        <v>382</v>
      </c>
      <c r="N32" s="36"/>
      <c r="O32" s="36"/>
      <c r="P32" s="36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99"/>
      <c r="AC32" s="153"/>
      <c r="AD32" s="153"/>
      <c r="AE32" s="153"/>
      <c r="AF32" s="153"/>
      <c r="AG32" s="153"/>
      <c r="AH32" s="153"/>
      <c r="AI32" s="153"/>
      <c r="AJ32" s="153"/>
      <c r="AK32" s="48"/>
      <c r="AL32" s="40"/>
      <c r="AM32" s="396" t="s">
        <v>91</v>
      </c>
      <c r="AN32" s="396"/>
      <c r="AO32" s="39" t="s">
        <v>0</v>
      </c>
      <c r="AP32" s="397"/>
      <c r="AQ32" s="398"/>
      <c r="AR32" s="399"/>
      <c r="AS32" s="396" t="s">
        <v>74</v>
      </c>
      <c r="AT32" s="396"/>
      <c r="AU32" s="40"/>
      <c r="AV32" s="40"/>
      <c r="AW32" s="49"/>
      <c r="AX32" s="153"/>
      <c r="AY32" s="152"/>
      <c r="AZ32" s="152"/>
      <c r="BA32" s="152"/>
      <c r="BB32" s="152"/>
      <c r="BC32" s="152"/>
      <c r="BD32" s="152"/>
      <c r="BY32" s="40"/>
      <c r="BZ32" s="40"/>
      <c r="CA32" s="40"/>
      <c r="CB32" s="40"/>
      <c r="CC32" s="40"/>
      <c r="CD32" s="40"/>
      <c r="CE32" s="40"/>
      <c r="CF32" s="35" t="s">
        <v>405</v>
      </c>
      <c r="CG32" s="39"/>
      <c r="CH32" s="63"/>
      <c r="CI32" s="63"/>
      <c r="CJ32" s="117"/>
      <c r="CK32" s="40" t="s">
        <v>379</v>
      </c>
      <c r="CL32" s="40"/>
      <c r="CM32" s="40"/>
      <c r="CN32" s="40"/>
      <c r="CO32" s="40"/>
      <c r="CP32" s="40" t="s">
        <v>353</v>
      </c>
      <c r="CQ32" s="39">
        <f>((((CG23/2)-CG27)*CG26)/100)/3</f>
        <v>1.76</v>
      </c>
      <c r="CR32" s="40"/>
      <c r="CS32" s="40"/>
      <c r="CT32" s="40"/>
      <c r="CU32" s="52">
        <v>18</v>
      </c>
      <c r="CV32" s="40" t="str">
        <f>VLOOKUP(18,$DB$8:$DK$79,CY$5,TRUE)</f>
        <v>WF-250X250x14x14 mm.</v>
      </c>
      <c r="CW32" s="52"/>
      <c r="CX32" s="52"/>
      <c r="CY32" s="40"/>
      <c r="CZ32" s="40"/>
      <c r="DA32" s="40"/>
      <c r="DB32" s="40">
        <v>25</v>
      </c>
      <c r="DC32" s="40" t="str">
        <f>'Steel Table'!C30</f>
        <v>WF-300X300x10x15 mm.</v>
      </c>
      <c r="DD32" s="40"/>
      <c r="DE32" s="40"/>
      <c r="DF32" s="40" t="str">
        <f>'Steel Table'!BC30</f>
        <v>Tube-125x125x3.2 mm.</v>
      </c>
      <c r="DG32" s="40" t="str">
        <f>'Steel Table'!BO30</f>
        <v>Tube-200x100x6 mm.</v>
      </c>
      <c r="DH32" s="40" t="str">
        <f>'Steel Table'!CD30</f>
        <v>Pipe-D139.8x4 mm.</v>
      </c>
      <c r="DI32" s="40" t="str">
        <f>'Steel Table'!CO30</f>
        <v>[-125x50x20x4 mm.</v>
      </c>
      <c r="DJ32" s="40"/>
      <c r="DK32" s="40" t="str">
        <f>'Steel Table'!DG30</f>
        <v>2[]-125x50x20x4 mm.</v>
      </c>
      <c r="DL32" s="39"/>
      <c r="DM32" s="39"/>
      <c r="DN32" s="40"/>
      <c r="DO32" s="40"/>
      <c r="DP32" s="40"/>
      <c r="DQ32" s="40"/>
      <c r="DR32" s="40"/>
      <c r="DS32" s="40"/>
      <c r="DT32" s="40"/>
      <c r="DU32" s="40"/>
      <c r="DV32" s="40"/>
    </row>
    <row r="33" spans="1:126" s="35" customFormat="1" ht="15.75" customHeight="1">
      <c r="A33" s="40"/>
      <c r="B33" s="58"/>
      <c r="C33" s="40"/>
      <c r="D33" s="40"/>
      <c r="E33" s="40"/>
      <c r="F33" s="120"/>
      <c r="G33" s="120"/>
      <c r="H33" s="120" t="s">
        <v>384</v>
      </c>
      <c r="K33" s="120"/>
      <c r="L33" s="120"/>
      <c r="M33" s="39" t="s">
        <v>0</v>
      </c>
      <c r="N33" s="401">
        <f>CL34</f>
        <v>15.267419117370489</v>
      </c>
      <c r="O33" s="401"/>
      <c r="P33" s="401"/>
      <c r="Q33" s="39" t="str">
        <f>IF(N33&gt;R33,"&gt;",IF(N33&lt;R33,"&lt;"))</f>
        <v>&lt;</v>
      </c>
      <c r="R33" s="396">
        <f>N20</f>
        <v>227</v>
      </c>
      <c r="S33" s="396"/>
      <c r="T33" s="396"/>
      <c r="U33" s="402" t="str">
        <f>IF(N33&gt;R33,"Not Ok",IF(N33&lt;R33,"Ok"))</f>
        <v>Ok</v>
      </c>
      <c r="V33" s="402"/>
      <c r="W33" s="39"/>
      <c r="X33" s="52"/>
      <c r="Y33" s="52"/>
      <c r="Z33" s="52"/>
      <c r="AA33" s="52"/>
      <c r="AB33" s="99"/>
      <c r="AC33" s="155"/>
      <c r="AD33" s="155"/>
      <c r="AE33" s="155"/>
      <c r="AF33" s="155"/>
      <c r="AG33" s="155"/>
      <c r="AH33" s="155"/>
      <c r="AI33" s="153"/>
      <c r="AJ33" s="153"/>
      <c r="AK33" s="48"/>
      <c r="AL33" s="40"/>
      <c r="AM33" s="40"/>
      <c r="AN33" s="40"/>
      <c r="AO33" s="40"/>
      <c r="AP33" s="40"/>
      <c r="AQ33" s="40"/>
      <c r="AR33" s="40"/>
      <c r="AS33" s="40"/>
      <c r="AT33" s="41" t="s">
        <v>124</v>
      </c>
      <c r="AU33" s="118"/>
      <c r="AV33" s="40"/>
      <c r="AW33" s="49"/>
      <c r="AX33" s="153"/>
      <c r="AY33" s="152"/>
      <c r="AZ33" s="152"/>
      <c r="BA33" s="152"/>
      <c r="BB33" s="152"/>
      <c r="BC33" s="152"/>
      <c r="BD33" s="152"/>
      <c r="BY33" s="40"/>
      <c r="BZ33" s="40"/>
      <c r="CA33" s="40"/>
      <c r="CB33" s="40"/>
      <c r="CC33" s="40"/>
      <c r="CD33" s="40"/>
      <c r="CF33" s="35" t="s">
        <v>406</v>
      </c>
      <c r="CG33" s="39">
        <f>F20+AP11</f>
        <v>30.6</v>
      </c>
      <c r="CH33" s="63"/>
      <c r="CI33" s="63"/>
      <c r="CJ33" s="40"/>
      <c r="CK33" s="40" t="s">
        <v>101</v>
      </c>
      <c r="CL33" s="40">
        <f>VLOOKUP(CP27,CQ27:CR30,2,TRUE)</f>
        <v>1309.9791029673786</v>
      </c>
      <c r="CM33" s="40"/>
      <c r="CN33" s="40"/>
      <c r="CO33" s="40"/>
      <c r="CP33" s="40" t="s">
        <v>264</v>
      </c>
      <c r="CQ33" s="39">
        <f>SUM(CQ31:CQ32)</f>
        <v>15.26</v>
      </c>
      <c r="CR33" s="40"/>
      <c r="CS33" s="40"/>
      <c r="CT33" s="40"/>
      <c r="CU33" s="40">
        <v>19</v>
      </c>
      <c r="CV33" s="40" t="str">
        <f>VLOOKUP(19,$DB$8:$DK$79,CY$5,TRUE)</f>
        <v>WF-300X150x5.5x8 mm.</v>
      </c>
      <c r="CW33" s="52"/>
      <c r="CX33" s="52"/>
      <c r="CY33" s="40"/>
      <c r="CZ33" s="40"/>
      <c r="DA33" s="40"/>
      <c r="DB33" s="40">
        <v>26</v>
      </c>
      <c r="DC33" s="40" t="str">
        <f>'Steel Table'!C31</f>
        <v>WF-300X300x15x15 mm.</v>
      </c>
      <c r="DD33" s="40"/>
      <c r="DE33" s="40"/>
      <c r="DF33" s="40" t="str">
        <f>'Steel Table'!BC31</f>
        <v>Tube-125x125x4.5 mm.</v>
      </c>
      <c r="DG33" s="40" t="str">
        <f>'Steel Table'!BO31</f>
        <v>Tube-200x100x6.3 mm.</v>
      </c>
      <c r="DH33" s="40" t="str">
        <f>'Steel Table'!CD31</f>
        <v>Pipe-D139.8x4.5 mm.</v>
      </c>
      <c r="DI33" s="40" t="str">
        <f>'Steel Table'!CO31</f>
        <v>[-125x50x20x4.5 mm.</v>
      </c>
      <c r="DJ33" s="40"/>
      <c r="DK33" s="40" t="str">
        <f>'Steel Table'!DG31</f>
        <v>2[]-125x50x20x4.5 mm.</v>
      </c>
      <c r="DL33" s="39"/>
      <c r="DM33" s="39"/>
      <c r="DN33" s="40"/>
      <c r="DO33" s="40"/>
      <c r="DP33" s="40"/>
      <c r="DQ33" s="40"/>
      <c r="DR33" s="40"/>
      <c r="DS33" s="40"/>
      <c r="DT33" s="40"/>
      <c r="DU33" s="40"/>
      <c r="DV33" s="40"/>
    </row>
    <row r="34" spans="1:126" s="35" customFormat="1" ht="15.75" customHeight="1">
      <c r="A34" s="40"/>
      <c r="B34" s="121" t="s">
        <v>385</v>
      </c>
      <c r="C34" s="40"/>
      <c r="D34" s="40"/>
      <c r="E34" s="40"/>
      <c r="F34" s="40"/>
      <c r="G34" s="40"/>
      <c r="H34" s="40"/>
      <c r="I34" s="40"/>
      <c r="J34" s="40"/>
      <c r="K34" s="40"/>
      <c r="L34" s="39"/>
      <c r="M34" s="39"/>
      <c r="N34" s="52"/>
      <c r="O34" s="52"/>
      <c r="P34" s="52"/>
      <c r="Q34" s="52"/>
      <c r="R34" s="52"/>
      <c r="S34" s="39"/>
      <c r="T34" s="52"/>
      <c r="U34" s="52"/>
      <c r="V34" s="114"/>
      <c r="W34" s="114"/>
      <c r="X34" s="52"/>
      <c r="Y34" s="52"/>
      <c r="Z34" s="52"/>
      <c r="AA34" s="52"/>
      <c r="AB34" s="99"/>
      <c r="AC34" s="153"/>
      <c r="AD34" s="153"/>
      <c r="AE34" s="153"/>
      <c r="AF34" s="153"/>
      <c r="AG34" s="153"/>
      <c r="AH34" s="153"/>
      <c r="AI34" s="153"/>
      <c r="AJ34" s="153"/>
      <c r="AK34" s="122"/>
      <c r="AL34" s="123"/>
      <c r="AM34" s="467"/>
      <c r="AN34" s="124"/>
      <c r="AO34" s="79"/>
      <c r="AP34" s="79"/>
      <c r="AQ34" s="79"/>
      <c r="AR34" s="79"/>
      <c r="AS34" s="79"/>
      <c r="AT34" s="125"/>
      <c r="AU34" s="118"/>
      <c r="AV34" s="40"/>
      <c r="AW34" s="49"/>
      <c r="AX34" s="153"/>
      <c r="AY34" s="152"/>
      <c r="AZ34" s="152"/>
      <c r="BA34" s="152"/>
      <c r="BB34" s="152"/>
      <c r="BC34" s="152"/>
      <c r="BD34" s="152"/>
      <c r="BY34" s="40"/>
      <c r="BZ34" s="40"/>
      <c r="CA34" s="40"/>
      <c r="CB34" s="40"/>
      <c r="CC34" s="40"/>
      <c r="CD34" s="40"/>
      <c r="CF34" s="35" t="s">
        <v>407</v>
      </c>
      <c r="CG34" s="36">
        <f>F20+AP32</f>
        <v>30.6</v>
      </c>
      <c r="CH34" s="101"/>
      <c r="CI34" s="40"/>
      <c r="CJ34" s="40"/>
      <c r="CK34" s="40" t="s">
        <v>89</v>
      </c>
      <c r="CL34" s="75">
        <f>(CG9*100)/CL33</f>
        <v>15.267419117370489</v>
      </c>
      <c r="CM34" s="40"/>
      <c r="CN34" s="40"/>
      <c r="CO34" s="40"/>
      <c r="CP34" s="40" t="s">
        <v>354</v>
      </c>
      <c r="CQ34" s="88">
        <f>SQRT((CG17/2)/CQ33)</f>
        <v>4.075789207883982</v>
      </c>
      <c r="CR34" s="40"/>
      <c r="CS34" s="40"/>
      <c r="CT34" s="40"/>
      <c r="CU34" s="40">
        <v>20</v>
      </c>
      <c r="CV34" s="40" t="str">
        <f>VLOOKUP(20,$DB$8:$DK$79,CY$5,TRUE)</f>
        <v>WF-300X150x6.5x9 mm.</v>
      </c>
      <c r="CW34" s="52"/>
      <c r="CX34" s="52"/>
      <c r="CY34" s="40"/>
      <c r="CZ34" s="40"/>
      <c r="DA34" s="40"/>
      <c r="DB34" s="40">
        <v>27</v>
      </c>
      <c r="DC34" s="40" t="str">
        <f>'Steel Table'!C32</f>
        <v>WF-300X300x11x17 mm.</v>
      </c>
      <c r="DD34" s="40"/>
      <c r="DE34" s="40"/>
      <c r="DF34" s="40" t="str">
        <f>'Steel Table'!BC32</f>
        <v>Tube-125x125x5 mm.</v>
      </c>
      <c r="DG34" s="40"/>
      <c r="DH34" s="40" t="str">
        <f>'Steel Table'!CD32</f>
        <v>Pipe-D139.8x6 mm.</v>
      </c>
      <c r="DI34" s="40" t="str">
        <f>'Steel Table'!CO32</f>
        <v>[-150x50x20x2.3 mm.</v>
      </c>
      <c r="DJ34" s="40"/>
      <c r="DK34" s="40" t="str">
        <f>'Steel Table'!DG32</f>
        <v>2[]-150x50x20x2.3 mm.</v>
      </c>
      <c r="DL34" s="39"/>
      <c r="DM34" s="39"/>
      <c r="DN34" s="40"/>
      <c r="DO34" s="40"/>
      <c r="DP34" s="40"/>
      <c r="DQ34" s="40"/>
      <c r="DR34" s="40"/>
      <c r="DS34" s="40"/>
      <c r="DT34" s="40"/>
      <c r="DU34" s="40"/>
      <c r="DV34" s="40"/>
    </row>
    <row r="35" spans="1:126" s="35" customFormat="1" ht="15.75" customHeight="1">
      <c r="A35" s="40"/>
      <c r="G35" s="35" t="s">
        <v>389</v>
      </c>
      <c r="M35" s="36" t="s">
        <v>0</v>
      </c>
      <c r="N35" s="422">
        <f>CG30</f>
        <v>960</v>
      </c>
      <c r="O35" s="422"/>
      <c r="P35" s="422"/>
      <c r="AB35" s="99"/>
      <c r="AC35" s="156"/>
      <c r="AD35" s="156"/>
      <c r="AE35" s="156"/>
      <c r="AF35" s="156"/>
      <c r="AG35" s="156"/>
      <c r="AH35" s="156"/>
      <c r="AI35" s="156"/>
      <c r="AJ35" s="156"/>
      <c r="AK35" s="126"/>
      <c r="AL35" s="52"/>
      <c r="AM35" s="467"/>
      <c r="AN35" s="40"/>
      <c r="AO35" s="40"/>
      <c r="AP35" s="40"/>
      <c r="AQ35" s="40"/>
      <c r="AR35" s="40"/>
      <c r="AS35" s="40"/>
      <c r="AT35" s="40"/>
      <c r="AU35" s="40"/>
      <c r="AV35" s="40"/>
      <c r="AW35" s="49"/>
      <c r="AX35" s="153"/>
      <c r="AY35" s="152"/>
      <c r="AZ35" s="152"/>
      <c r="BA35" s="152"/>
      <c r="BB35" s="152"/>
      <c r="BC35" s="152"/>
      <c r="BD35" s="152"/>
      <c r="BY35" s="40"/>
      <c r="BZ35" s="40"/>
      <c r="CA35" s="40"/>
      <c r="CB35" s="40"/>
      <c r="CC35" s="40"/>
      <c r="CD35" s="40"/>
      <c r="CF35" s="35" t="s">
        <v>91</v>
      </c>
      <c r="CG35" s="36">
        <f>IF(AND(AP11&gt;0,AP32=0),CG33,IF(AND(AP11=0,AP32&gt;0),CG34,IF(AND(AP11=0,AP32=0),CG33,IF(AND(AP11&gt;0,AP32&gt;0),0))))</f>
        <v>30.6</v>
      </c>
      <c r="CH35" s="75">
        <f>CG35/100</f>
        <v>0.306</v>
      </c>
      <c r="CI35" s="40"/>
      <c r="CJ35" s="40"/>
      <c r="CK35" s="40" t="s">
        <v>387</v>
      </c>
      <c r="CL35" s="40"/>
      <c r="CM35" s="40"/>
      <c r="CN35" s="40"/>
      <c r="CO35" s="40"/>
      <c r="CP35" s="40" t="s">
        <v>355</v>
      </c>
      <c r="CQ35" s="75">
        <f>N24/CQ34</f>
        <v>73.60537670095806</v>
      </c>
      <c r="CR35" s="40"/>
      <c r="CS35" s="40"/>
      <c r="CT35" s="40"/>
      <c r="CU35" s="40">
        <v>21</v>
      </c>
      <c r="CV35" s="40" t="str">
        <f>VLOOKUP(21,$DB$8:$DK$79,CY$5,TRUE)</f>
        <v>WF-300x200x8x12 mm.</v>
      </c>
      <c r="CW35" s="52"/>
      <c r="CX35" s="52"/>
      <c r="CY35" s="40"/>
      <c r="CZ35" s="40"/>
      <c r="DA35" s="40"/>
      <c r="DB35" s="40">
        <v>28</v>
      </c>
      <c r="DC35" s="40" t="str">
        <f>'Steel Table'!C33</f>
        <v>WF-350X175x6x9 mm.</v>
      </c>
      <c r="DD35" s="40"/>
      <c r="DE35" s="40"/>
      <c r="DF35" s="40" t="str">
        <f>'Steel Table'!BC33</f>
        <v>Tube-125x125x6 mm.</v>
      </c>
      <c r="DG35" s="40"/>
      <c r="DH35" s="40" t="str">
        <f>'Steel Table'!CD33</f>
        <v>Pipe-D165.2x4.5 mm.</v>
      </c>
      <c r="DI35" s="40" t="str">
        <f>'Steel Table'!CO33</f>
        <v>[-150x50x20x3.2 mm.</v>
      </c>
      <c r="DJ35" s="40"/>
      <c r="DK35" s="40" t="str">
        <f>'Steel Table'!DG33</f>
        <v>2[]-150x50x20x3.2 mm.</v>
      </c>
      <c r="DL35" s="39"/>
      <c r="DM35" s="39"/>
      <c r="DN35" s="40"/>
      <c r="DO35" s="40"/>
      <c r="DP35" s="40"/>
      <c r="DQ35" s="40"/>
      <c r="DR35" s="40"/>
      <c r="DS35" s="40"/>
      <c r="DT35" s="40"/>
      <c r="DU35" s="40"/>
      <c r="DV35" s="40"/>
    </row>
    <row r="36" spans="1:126" s="35" customFormat="1" ht="15.75" customHeight="1">
      <c r="A36" s="40"/>
      <c r="B36" s="127"/>
      <c r="C36" s="127"/>
      <c r="D36" s="127"/>
      <c r="E36" s="127"/>
      <c r="F36" s="127"/>
      <c r="G36" s="52" t="s">
        <v>390</v>
      </c>
      <c r="I36" s="127"/>
      <c r="J36" s="127"/>
      <c r="K36" s="127"/>
      <c r="L36" s="127"/>
      <c r="M36" s="41" t="s">
        <v>0</v>
      </c>
      <c r="N36" s="401">
        <f>CL36</f>
        <v>42.9553264604811</v>
      </c>
      <c r="O36" s="401"/>
      <c r="P36" s="401"/>
      <c r="Q36" s="39" t="str">
        <f>IF(N36&lt;=N35,"&lt;",IF(N36&gt;N35,"&gt;"))</f>
        <v>&lt;</v>
      </c>
      <c r="R36" s="396" t="s">
        <v>388</v>
      </c>
      <c r="S36" s="396"/>
      <c r="T36" s="396"/>
      <c r="U36" s="402" t="str">
        <f>IF(N36&lt;=N35,"Ok",IF(N36&gt;N35,"Not Ok"))</f>
        <v>Ok</v>
      </c>
      <c r="V36" s="402"/>
      <c r="W36" s="39"/>
      <c r="X36" s="52"/>
      <c r="Y36" s="52"/>
      <c r="Z36" s="52"/>
      <c r="AA36" s="52"/>
      <c r="AB36" s="99"/>
      <c r="AC36" s="155"/>
      <c r="AD36" s="155"/>
      <c r="AE36" s="155"/>
      <c r="AF36" s="155"/>
      <c r="AG36" s="155"/>
      <c r="AH36" s="155"/>
      <c r="AI36" s="155"/>
      <c r="AJ36" s="155"/>
      <c r="AK36" s="48"/>
      <c r="AL36" s="40"/>
      <c r="AM36" s="70"/>
      <c r="AN36" s="70"/>
      <c r="AO36" s="70"/>
      <c r="AP36" s="70"/>
      <c r="AQ36" s="71" t="s">
        <v>120</v>
      </c>
      <c r="AR36" s="70"/>
      <c r="AS36" s="70"/>
      <c r="AT36" s="70"/>
      <c r="AU36" s="70"/>
      <c r="AV36" s="40"/>
      <c r="AW36" s="49"/>
      <c r="AX36" s="153"/>
      <c r="AY36" s="152"/>
      <c r="AZ36" s="152"/>
      <c r="BA36" s="152"/>
      <c r="BB36" s="152"/>
      <c r="BC36" s="152"/>
      <c r="BD36" s="152"/>
      <c r="BY36" s="40"/>
      <c r="BZ36" s="40"/>
      <c r="CA36" s="40"/>
      <c r="CB36" s="40"/>
      <c r="CC36" s="40"/>
      <c r="CD36" s="40"/>
      <c r="CF36" s="35" t="s">
        <v>120</v>
      </c>
      <c r="CG36" s="36">
        <f>N13*100</f>
        <v>100</v>
      </c>
      <c r="CH36" s="40"/>
      <c r="CI36" s="40"/>
      <c r="CJ36" s="40"/>
      <c r="CK36" s="40" t="s">
        <v>386</v>
      </c>
      <c r="CL36" s="75">
        <f>CG10/(CL11*(CG26/10))</f>
        <v>42.9553264604811</v>
      </c>
      <c r="CM36" s="40"/>
      <c r="CN36" s="40"/>
      <c r="CO36" s="40"/>
      <c r="CP36" s="40" t="s">
        <v>361</v>
      </c>
      <c r="CQ36" s="39">
        <f>CY21</f>
        <v>1</v>
      </c>
      <c r="CR36" s="40"/>
      <c r="CS36" s="40"/>
      <c r="CT36" s="40"/>
      <c r="CU36" s="52">
        <v>22</v>
      </c>
      <c r="CV36" s="40" t="str">
        <f>VLOOKUP(22,$DB$8:$DK$79,CY$5,TRUE)</f>
        <v>WF-300x200x9x14 mm.</v>
      </c>
      <c r="CW36" s="52"/>
      <c r="CX36" s="52"/>
      <c r="CY36" s="40"/>
      <c r="CZ36" s="40"/>
      <c r="DA36" s="40"/>
      <c r="DB36" s="40">
        <v>29</v>
      </c>
      <c r="DC36" s="40" t="str">
        <f>'Steel Table'!C34</f>
        <v>WF-350X175x7x11 mm.</v>
      </c>
      <c r="DD36" s="40"/>
      <c r="DE36" s="40"/>
      <c r="DF36" s="40" t="str">
        <f>'Steel Table'!BC34</f>
        <v>Tube-150x150x4.5 mm.</v>
      </c>
      <c r="DG36" s="40"/>
      <c r="DH36" s="40" t="str">
        <f>'Steel Table'!CD34</f>
        <v>Pipe-D165.2x5 mm.</v>
      </c>
      <c r="DI36" s="40" t="str">
        <f>'Steel Table'!CO34</f>
        <v>[-150x50x20x4.5 mm.</v>
      </c>
      <c r="DJ36" s="40"/>
      <c r="DK36" s="40" t="str">
        <f>'Steel Table'!DG34</f>
        <v>2[]-150x50x20x4.5 mm.</v>
      </c>
      <c r="DL36" s="39"/>
      <c r="DM36" s="39"/>
      <c r="DN36" s="40"/>
      <c r="DO36" s="40"/>
      <c r="DP36" s="40"/>
      <c r="DQ36" s="40"/>
      <c r="DR36" s="40"/>
      <c r="DS36" s="40"/>
      <c r="DT36" s="40"/>
      <c r="DU36" s="40"/>
      <c r="DV36" s="40"/>
    </row>
    <row r="37" spans="1:126" s="35" customFormat="1" ht="15.75" customHeight="1">
      <c r="A37" s="40"/>
      <c r="B37" s="119" t="s">
        <v>423</v>
      </c>
      <c r="C37" s="52"/>
      <c r="D37" s="52"/>
      <c r="E37" s="52"/>
      <c r="F37" s="128"/>
      <c r="G37" s="128"/>
      <c r="H37" s="128"/>
      <c r="I37" s="129"/>
      <c r="J37" s="130"/>
      <c r="K37" s="130"/>
      <c r="L37" s="76"/>
      <c r="M37" s="131"/>
      <c r="N37" s="39"/>
      <c r="O37" s="63"/>
      <c r="P37" s="39"/>
      <c r="Q37" s="52"/>
      <c r="R37" s="63"/>
      <c r="S37" s="63"/>
      <c r="T37" s="63"/>
      <c r="U37" s="52"/>
      <c r="V37" s="52"/>
      <c r="W37" s="52"/>
      <c r="X37" s="52"/>
      <c r="Y37" s="52"/>
      <c r="Z37" s="52"/>
      <c r="AA37" s="52"/>
      <c r="AB37" s="99"/>
      <c r="AC37" s="346"/>
      <c r="AD37" s="346"/>
      <c r="AE37" s="346"/>
      <c r="AF37" s="153"/>
      <c r="AG37" s="153"/>
      <c r="AH37" s="153"/>
      <c r="AI37" s="153"/>
      <c r="AJ37" s="153"/>
      <c r="AK37" s="48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9"/>
      <c r="AX37" s="153"/>
      <c r="AY37" s="152"/>
      <c r="AZ37" s="152"/>
      <c r="BA37" s="152"/>
      <c r="BB37" s="152"/>
      <c r="BC37" s="152"/>
      <c r="BD37" s="152"/>
      <c r="BY37" s="40"/>
      <c r="BZ37" s="40"/>
      <c r="CA37" s="40"/>
      <c r="CB37" s="40"/>
      <c r="CC37" s="40"/>
      <c r="CD37" s="40"/>
      <c r="CF37" s="35" t="s">
        <v>393</v>
      </c>
      <c r="CG37" s="39">
        <f>CG36/2</f>
        <v>50</v>
      </c>
      <c r="CH37" s="40"/>
      <c r="CI37" s="40"/>
      <c r="CJ37" s="40"/>
      <c r="CK37" s="40"/>
      <c r="CL37" s="40"/>
      <c r="CM37" s="40"/>
      <c r="CN37" s="40"/>
      <c r="CO37" s="40"/>
      <c r="CP37" s="132" t="s">
        <v>362</v>
      </c>
      <c r="CQ37" s="88">
        <f>SQRT((7173000*CQ36)/CG7)</f>
        <v>54.669461310680575</v>
      </c>
      <c r="CR37" s="40"/>
      <c r="CS37" s="40"/>
      <c r="CT37" s="40"/>
      <c r="CU37" s="40">
        <v>23</v>
      </c>
      <c r="CV37" s="40" t="str">
        <f>VLOOKUP(23,$DB$8:$DK$79,CY$5,TRUE)</f>
        <v>WF-300X300x12x12 mm.</v>
      </c>
      <c r="CW37" s="52"/>
      <c r="CX37" s="52"/>
      <c r="CY37" s="40"/>
      <c r="CZ37" s="40"/>
      <c r="DA37" s="40"/>
      <c r="DB37" s="40">
        <v>30</v>
      </c>
      <c r="DC37" s="40" t="str">
        <f>'Steel Table'!C35</f>
        <v>WF-350X175x8x13 mm.</v>
      </c>
      <c r="DD37" s="40"/>
      <c r="DE37" s="40"/>
      <c r="DF37" s="40" t="str">
        <f>'Steel Table'!BC35</f>
        <v>Tube-150x150x5 mm.</v>
      </c>
      <c r="DG37" s="40"/>
      <c r="DH37" s="40" t="str">
        <f>'Steel Table'!CD35</f>
        <v>Pipe-D165.2x6 mm.</v>
      </c>
      <c r="DI37" s="40" t="str">
        <f>'Steel Table'!CO35</f>
        <v>[-150x65x20x2.3 mm.</v>
      </c>
      <c r="DJ37" s="40"/>
      <c r="DK37" s="40" t="str">
        <f>'Steel Table'!DG35</f>
        <v>2[]-150x65x20x2.3 mm.</v>
      </c>
      <c r="DL37" s="39"/>
      <c r="DM37" s="39"/>
      <c r="DN37" s="40"/>
      <c r="DO37" s="40"/>
      <c r="DP37" s="40"/>
      <c r="DQ37" s="40"/>
      <c r="DR37" s="40"/>
      <c r="DS37" s="40"/>
      <c r="DT37" s="40"/>
      <c r="DU37" s="40"/>
      <c r="DV37" s="40"/>
    </row>
    <row r="38" spans="1:126" s="35" customFormat="1" ht="15.75" customHeight="1">
      <c r="A38" s="40"/>
      <c r="B38" s="31" t="s">
        <v>431</v>
      </c>
      <c r="H38" s="39" t="s">
        <v>0</v>
      </c>
      <c r="I38" s="40" t="str">
        <f>CK43</f>
        <v>(5WL^4/384EI)</v>
      </c>
      <c r="J38" s="40"/>
      <c r="K38" s="40"/>
      <c r="L38" s="40"/>
      <c r="M38" s="40"/>
      <c r="N38" s="39"/>
      <c r="O38" s="63"/>
      <c r="P38" s="39"/>
      <c r="Q38" s="52"/>
      <c r="R38" s="63"/>
      <c r="S38" s="63"/>
      <c r="T38" s="63"/>
      <c r="U38" s="52"/>
      <c r="V38" s="52"/>
      <c r="W38" s="52"/>
      <c r="X38" s="52"/>
      <c r="Y38" s="52"/>
      <c r="Z38" s="52"/>
      <c r="AA38" s="52"/>
      <c r="AB38" s="99"/>
      <c r="AC38" s="478" t="s">
        <v>420</v>
      </c>
      <c r="AD38" s="479"/>
      <c r="AE38" s="480"/>
      <c r="AF38" s="153"/>
      <c r="AG38" s="153"/>
      <c r="AH38" s="153"/>
      <c r="AI38" s="153"/>
      <c r="AJ38" s="153"/>
      <c r="AK38" s="48"/>
      <c r="AL38" s="40"/>
      <c r="AM38" s="363" t="s">
        <v>124</v>
      </c>
      <c r="AN38" s="363"/>
      <c r="AO38" s="39" t="s">
        <v>0</v>
      </c>
      <c r="AP38" s="397"/>
      <c r="AQ38" s="398"/>
      <c r="AR38" s="399"/>
      <c r="AS38" s="396" t="s">
        <v>123</v>
      </c>
      <c r="AT38" s="396"/>
      <c r="AU38" s="40"/>
      <c r="AV38" s="40"/>
      <c r="AW38" s="49"/>
      <c r="AX38" s="153"/>
      <c r="AY38" s="152"/>
      <c r="AZ38" s="152"/>
      <c r="BA38" s="152"/>
      <c r="BB38" s="152"/>
      <c r="BC38" s="152"/>
      <c r="BD38" s="152"/>
      <c r="BY38" s="40"/>
      <c r="BZ38" s="40"/>
      <c r="CA38" s="40"/>
      <c r="CB38" s="40"/>
      <c r="CC38" s="40"/>
      <c r="CF38" s="35" t="s">
        <v>124</v>
      </c>
      <c r="CG38" s="36" t="b">
        <f>IF(AND(AP17&gt;0,AP38=0),AP17,IF(AND(AP17=0,AP38&gt;0),AP38,IF(AND(AP17&gt;0,AP38&gt;0),0)))</f>
        <v>0</v>
      </c>
      <c r="CI38" s="40"/>
      <c r="CJ38" s="40"/>
      <c r="CK38" s="40"/>
      <c r="CL38" s="40"/>
      <c r="CM38" s="40"/>
      <c r="CN38" s="40"/>
      <c r="CO38" s="40"/>
      <c r="CP38" s="132" t="s">
        <v>363</v>
      </c>
      <c r="CQ38" s="88">
        <f>SQRT((35850000*CQ36)/CG7)</f>
        <v>122.21906561580316</v>
      </c>
      <c r="CR38" s="40"/>
      <c r="CS38" s="40"/>
      <c r="CT38" s="40"/>
      <c r="CU38" s="40">
        <v>24</v>
      </c>
      <c r="CV38" s="40" t="str">
        <f>VLOOKUP(24,$DB$8:$DK$79,CY$5,TRUE)</f>
        <v>WF-300X300x9x14 mm.</v>
      </c>
      <c r="CW38" s="40"/>
      <c r="CX38" s="40"/>
      <c r="CY38" s="40"/>
      <c r="CZ38" s="40"/>
      <c r="DA38" s="40"/>
      <c r="DB38" s="40">
        <v>31</v>
      </c>
      <c r="DC38" s="40" t="str">
        <f>'Steel Table'!C36</f>
        <v>WF-350x250x8x12 mm.</v>
      </c>
      <c r="DD38" s="40"/>
      <c r="DE38" s="40"/>
      <c r="DF38" s="40" t="str">
        <f>'Steel Table'!BC36</f>
        <v>Tube-150x150x6 mm.</v>
      </c>
      <c r="DG38" s="40"/>
      <c r="DH38" s="40" t="str">
        <f>'Steel Table'!CD36</f>
        <v>Pipe-D165.2x7.1 mm.</v>
      </c>
      <c r="DI38" s="40" t="str">
        <f>'Steel Table'!CO36</f>
        <v>[-150x65x20x3.2 mm.</v>
      </c>
      <c r="DJ38" s="40"/>
      <c r="DK38" s="40" t="str">
        <f>'Steel Table'!DG36</f>
        <v>2[]-150x65x20x3.2 mm.</v>
      </c>
      <c r="DL38" s="39"/>
      <c r="DM38" s="39"/>
      <c r="DN38" s="40"/>
      <c r="DO38" s="40"/>
      <c r="DP38" s="40"/>
      <c r="DQ38" s="40"/>
      <c r="DR38" s="40"/>
      <c r="DS38" s="40"/>
      <c r="DT38" s="40"/>
      <c r="DU38" s="40"/>
      <c r="DV38" s="40"/>
    </row>
    <row r="39" spans="1:126" s="35" customFormat="1" ht="15.75" customHeight="1">
      <c r="A39" s="40"/>
      <c r="B39" s="52"/>
      <c r="C39" s="95"/>
      <c r="D39" s="52"/>
      <c r="E39" s="52"/>
      <c r="F39" s="128"/>
      <c r="G39" s="128"/>
      <c r="H39" s="128"/>
      <c r="I39" s="133" t="s">
        <v>432</v>
      </c>
      <c r="J39" s="130"/>
      <c r="K39" s="130"/>
      <c r="L39" s="76"/>
      <c r="M39" s="39" t="s">
        <v>0</v>
      </c>
      <c r="N39" s="449">
        <f>CG62</f>
        <v>7.05323951141795E-05</v>
      </c>
      <c r="O39" s="449"/>
      <c r="P39" s="449"/>
      <c r="Q39" s="396" t="s">
        <v>104</v>
      </c>
      <c r="R39" s="396"/>
      <c r="S39" s="134"/>
      <c r="T39" s="134"/>
      <c r="U39" s="52"/>
      <c r="V39" s="52"/>
      <c r="W39" s="40"/>
      <c r="X39" s="40"/>
      <c r="Y39" s="40"/>
      <c r="Z39" s="40"/>
      <c r="AA39" s="40"/>
      <c r="AB39" s="40"/>
      <c r="AC39" s="477"/>
      <c r="AD39" s="459"/>
      <c r="AE39" s="460"/>
      <c r="AF39" s="153"/>
      <c r="AG39" s="153"/>
      <c r="AH39" s="153"/>
      <c r="AI39" s="153"/>
      <c r="AJ39" s="153"/>
      <c r="AK39" s="48"/>
      <c r="AL39" s="40"/>
      <c r="AM39" s="40"/>
      <c r="AN39" s="40"/>
      <c r="AO39" s="40"/>
      <c r="AP39" s="40"/>
      <c r="AQ39" s="40"/>
      <c r="AR39" s="41" t="s">
        <v>124</v>
      </c>
      <c r="AS39" s="40"/>
      <c r="AT39" s="40"/>
      <c r="AU39" s="118"/>
      <c r="AV39" s="40"/>
      <c r="AW39" s="49"/>
      <c r="AX39" s="153"/>
      <c r="AY39" s="152"/>
      <c r="AZ39" s="152"/>
      <c r="BA39" s="152"/>
      <c r="BB39" s="152"/>
      <c r="BC39" s="152"/>
      <c r="BD39" s="152"/>
      <c r="BY39" s="40"/>
      <c r="BZ39" s="40"/>
      <c r="CA39" s="40"/>
      <c r="CB39" s="40"/>
      <c r="CC39" s="40"/>
      <c r="CD39" s="40"/>
      <c r="CF39" s="35" t="s">
        <v>408</v>
      </c>
      <c r="CG39" s="39" t="b">
        <f>IF(AND(AP23&gt;0,AP44=0),AP23,IF(AND(AP23=0,AP44&gt;0),AP44,IF(AND(AP23&gt;0,AP44&gt;0),0)))</f>
        <v>0</v>
      </c>
      <c r="CH39" s="36">
        <f>CG39*100</f>
        <v>0</v>
      </c>
      <c r="CI39" s="39"/>
      <c r="CJ39" s="135"/>
      <c r="CK39" s="40">
        <f>IF(AND(AP11=0,AP17=0,AU23=0),1,IF(AND(AP11&gt;0,AP17=0,AU23=0),2,IF(AND(AP11&gt;0,OR(AP17&gt;0,AU23&gt;0)),3,IF(AND(AP11=0,AP17&gt;0,AU23=0),4,IF(AND(AP11=0,AP17=0,AU23&gt;0),5,IF(AND(AP11=0,AP17&gt;0,AU23&gt;0),6,IF(AND(AP11&gt;0,AP17&gt;0,AU23&gt;0),7)))))))</f>
        <v>1</v>
      </c>
      <c r="CL39" s="40">
        <f>IF(AND(AP11=0,AP17=0,AU23=0),1,IF(AND(AP11&gt;0,AP17=0,AU23=0),2,IF(AND(AP11&gt;0,OR(AP17&gt;0,AU23&gt;0)),3,IF(AND(AP11=0,AP17&gt;0,AU23=0),4,IF(AND(AP11=0,AP17=0,AU23&gt;0),5,IF(AND(AP11=0,AP17&gt;0,AU23&gt;0),6,IF(AND(AP11&gt;0,AP17&gt;0,AU23&gt;0),7)))))))</f>
        <v>1</v>
      </c>
      <c r="CM39" s="40"/>
      <c r="CN39" s="40"/>
      <c r="CO39" s="371" t="s">
        <v>101</v>
      </c>
      <c r="CP39" s="40" t="s">
        <v>364</v>
      </c>
      <c r="CQ39" s="75">
        <f>((2/3)-((CG7*(CQ35)^2)/(107600000*CQ36)))*CG7</f>
        <v>1309.9791029673786</v>
      </c>
      <c r="CR39" s="40"/>
      <c r="CS39" s="40"/>
      <c r="CT39" s="40"/>
      <c r="CU39" s="40">
        <v>25</v>
      </c>
      <c r="CV39" s="40" t="str">
        <f>VLOOKUP(25,$DB$8:$DK$79,CY$5,TRUE)</f>
        <v>WF-300X300x10x15 mm.</v>
      </c>
      <c r="CW39" s="40"/>
      <c r="CX39" s="40"/>
      <c r="CY39" s="40"/>
      <c r="CZ39" s="40"/>
      <c r="DA39" s="40"/>
      <c r="DB39" s="40">
        <v>32</v>
      </c>
      <c r="DC39" s="40" t="str">
        <f>'Steel Table'!C37</f>
        <v>WF-350x250x9x14 mm.</v>
      </c>
      <c r="DD39" s="40"/>
      <c r="DE39" s="40"/>
      <c r="DF39" s="40" t="str">
        <f>'Steel Table'!BC37</f>
        <v>Tube-150x150x6.3 mm.</v>
      </c>
      <c r="DG39" s="40"/>
      <c r="DH39" s="40" t="str">
        <f>'Steel Table'!CD37</f>
        <v>Pipe-D216.3x4.5 mm.</v>
      </c>
      <c r="DI39" s="40" t="str">
        <f>'Steel Table'!CO37</f>
        <v>[-150x65x20x4 mm.</v>
      </c>
      <c r="DJ39" s="40"/>
      <c r="DK39" s="40" t="str">
        <f>'Steel Table'!DG37</f>
        <v>2[]-150x65x20x4 mm.</v>
      </c>
      <c r="DL39" s="39"/>
      <c r="DM39" s="39"/>
      <c r="DN39" s="40"/>
      <c r="DO39" s="40"/>
      <c r="DP39" s="40"/>
      <c r="DQ39" s="40"/>
      <c r="DR39" s="40"/>
      <c r="DS39" s="40"/>
      <c r="DT39" s="40"/>
      <c r="DU39" s="40"/>
      <c r="DV39" s="40"/>
    </row>
    <row r="40" spans="1:126" s="35" customFormat="1" ht="15.75" customHeight="1">
      <c r="A40" s="40"/>
      <c r="B40" s="95" t="s">
        <v>435</v>
      </c>
      <c r="C40" s="52"/>
      <c r="D40" s="52"/>
      <c r="E40" s="52"/>
      <c r="F40" s="128"/>
      <c r="H40" s="36" t="s">
        <v>0</v>
      </c>
      <c r="I40" s="136" t="str">
        <f>CL47</f>
        <v>L/360</v>
      </c>
      <c r="J40" s="129"/>
      <c r="K40" s="129"/>
      <c r="L40" s="76"/>
      <c r="M40" s="36" t="s">
        <v>0</v>
      </c>
      <c r="N40" s="451">
        <f>CM47</f>
        <v>0.2777777777777778</v>
      </c>
      <c r="O40" s="402"/>
      <c r="P40" s="402"/>
      <c r="Q40" s="396" t="s">
        <v>104</v>
      </c>
      <c r="R40" s="396"/>
      <c r="S40" s="41" t="str">
        <f>IF(N40&gt;=N39,"&gt;",IF(N40&lt;N39,"&lt;"))</f>
        <v>&gt;</v>
      </c>
      <c r="T40" s="363" t="s">
        <v>420</v>
      </c>
      <c r="U40" s="363"/>
      <c r="V40" s="363"/>
      <c r="W40" s="402" t="str">
        <f>IF(N40&gt;=N39,"Ok.",IF(N40&lt;N39,"Not Ok."))</f>
        <v>Ok.</v>
      </c>
      <c r="X40" s="402"/>
      <c r="Y40" s="34"/>
      <c r="Z40" s="34"/>
      <c r="AA40" s="40"/>
      <c r="AB40" s="40"/>
      <c r="AC40" s="153"/>
      <c r="AD40" s="153"/>
      <c r="AE40" s="153"/>
      <c r="AF40" s="153"/>
      <c r="AG40" s="153"/>
      <c r="AH40" s="153"/>
      <c r="AI40" s="153"/>
      <c r="AJ40" s="153"/>
      <c r="AK40" s="48"/>
      <c r="AL40" s="40"/>
      <c r="AM40" s="467"/>
      <c r="AN40" s="124"/>
      <c r="AO40" s="79"/>
      <c r="AP40" s="79"/>
      <c r="AQ40" s="79"/>
      <c r="AR40" s="79"/>
      <c r="AS40" s="79"/>
      <c r="AT40" s="125"/>
      <c r="AU40" s="118"/>
      <c r="AV40" s="40"/>
      <c r="AW40" s="49"/>
      <c r="AX40" s="153"/>
      <c r="AY40" s="152"/>
      <c r="AZ40" s="152"/>
      <c r="BA40" s="152"/>
      <c r="BB40" s="152"/>
      <c r="BC40" s="152"/>
      <c r="BD40" s="152"/>
      <c r="BY40" s="40"/>
      <c r="BZ40" s="40"/>
      <c r="CA40" s="40"/>
      <c r="CB40" s="117"/>
      <c r="CC40" s="40"/>
      <c r="CD40" s="101"/>
      <c r="CE40" s="40"/>
      <c r="CF40" s="92" t="s">
        <v>410</v>
      </c>
      <c r="CG40" s="39" t="b">
        <f>IF(AND(AP24&gt;0,AP45=0),AP24,IF(AND(AP24=0,AP45&gt;0),AP45,IF(AND(AP24&gt;0,AP45&gt;0),0)))</f>
        <v>0</v>
      </c>
      <c r="CH40" s="36">
        <f>CG40*100</f>
        <v>0</v>
      </c>
      <c r="CI40" s="39"/>
      <c r="CJ40" s="135"/>
      <c r="CK40" s="39" t="str">
        <f>IF(OR(CK39=1,CK39=2),CE50,IF(OR(CK39=2,CK39=5),CE50&amp;" + "&amp;CE51,IF(CK39=3,CE50&amp;" + "&amp;CE51&amp;" + "&amp;CE52,IF(CK39=4,CE50&amp;" + "&amp;CE52,IF(CK39=6,CE50)))))</f>
        <v>(5WL^4/384EI)</v>
      </c>
      <c r="CL40" s="40"/>
      <c r="CM40" s="40"/>
      <c r="CN40" s="40"/>
      <c r="CO40" s="371"/>
      <c r="CP40" s="92" t="s">
        <v>365</v>
      </c>
      <c r="CQ40" s="75">
        <f>(11950000*CQ36)/(CQ35^2)</f>
        <v>2205.7121013543033</v>
      </c>
      <c r="CR40" s="40"/>
      <c r="CS40" s="40"/>
      <c r="CT40" s="40"/>
      <c r="CU40" s="52">
        <v>26</v>
      </c>
      <c r="CV40" s="40" t="str">
        <f>VLOOKUP(26,$DB$8:$DK$79,CY$5,TRUE)</f>
        <v>WF-300X300x15x15 mm.</v>
      </c>
      <c r="CW40" s="40"/>
      <c r="CX40" s="40"/>
      <c r="CY40" s="40"/>
      <c r="CZ40" s="40"/>
      <c r="DA40" s="40"/>
      <c r="DB40" s="40">
        <v>33</v>
      </c>
      <c r="DC40" s="40" t="str">
        <f>'Steel Table'!C38</f>
        <v>WF-350X350x13x13 mm.</v>
      </c>
      <c r="DD40" s="40"/>
      <c r="DE40" s="40"/>
      <c r="DF40" s="40"/>
      <c r="DG40" s="40"/>
      <c r="DH40" s="40" t="str">
        <f>'Steel Table'!CD38</f>
        <v>Pipe-D216.3x5.8 mm.</v>
      </c>
      <c r="DI40" s="40" t="str">
        <f>'Steel Table'!CO38</f>
        <v>[-150x75x20x3.2 mm.</v>
      </c>
      <c r="DJ40" s="39"/>
      <c r="DK40" s="40" t="str">
        <f>'Steel Table'!DG38</f>
        <v>2[]-150x75x20x3.2 mm.</v>
      </c>
      <c r="DL40" s="39"/>
      <c r="DM40" s="39"/>
      <c r="DN40" s="40"/>
      <c r="DO40" s="40"/>
      <c r="DP40" s="40"/>
      <c r="DQ40" s="40"/>
      <c r="DR40" s="40"/>
      <c r="DS40" s="40"/>
      <c r="DT40" s="40"/>
      <c r="DU40" s="40"/>
      <c r="DV40" s="40"/>
    </row>
    <row r="41" spans="1:126" s="35" customFormat="1" ht="15.75" customHeight="1">
      <c r="A41" s="40"/>
      <c r="B41" s="107" t="s">
        <v>436</v>
      </c>
      <c r="C41" s="52"/>
      <c r="D41" s="52"/>
      <c r="E41" s="52"/>
      <c r="F41" s="128"/>
      <c r="G41" s="128"/>
      <c r="H41" s="128"/>
      <c r="I41" s="129"/>
      <c r="J41" s="129"/>
      <c r="K41" s="129"/>
      <c r="L41" s="76"/>
      <c r="M41" s="131"/>
      <c r="N41" s="131"/>
      <c r="O41" s="131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157"/>
      <c r="AD41" s="157"/>
      <c r="AE41" s="157"/>
      <c r="AF41" s="153"/>
      <c r="AG41" s="153"/>
      <c r="AH41" s="153"/>
      <c r="AI41" s="153"/>
      <c r="AJ41" s="153"/>
      <c r="AK41" s="48"/>
      <c r="AL41" s="40"/>
      <c r="AM41" s="467"/>
      <c r="AN41" s="40"/>
      <c r="AO41" s="40"/>
      <c r="AP41" s="40"/>
      <c r="AQ41" s="40"/>
      <c r="AR41" s="40"/>
      <c r="AS41" s="40"/>
      <c r="AT41" s="40"/>
      <c r="AU41" s="40"/>
      <c r="AV41" s="40"/>
      <c r="AW41" s="49"/>
      <c r="AX41" s="153"/>
      <c r="AY41" s="152"/>
      <c r="AZ41" s="152"/>
      <c r="BA41" s="152"/>
      <c r="BB41" s="152"/>
      <c r="BC41" s="152"/>
      <c r="BD41" s="152"/>
      <c r="BY41" s="40"/>
      <c r="BZ41" s="40"/>
      <c r="CA41" s="40"/>
      <c r="CB41" s="40"/>
      <c r="CC41" s="40"/>
      <c r="CD41" s="117"/>
      <c r="CF41" s="40" t="s">
        <v>412</v>
      </c>
      <c r="CG41" s="39" t="b">
        <f>IF(AND(AP25&gt;0,AP46=0),AP25,IF(AND(AP25=0,AP46&gt;0),AP46,IF(AND(AP25&gt;0,AP46&gt;0),0)))</f>
        <v>0</v>
      </c>
      <c r="CH41" s="36">
        <f>CG41*100</f>
        <v>0</v>
      </c>
      <c r="CI41" s="39"/>
      <c r="CJ41" s="135"/>
      <c r="CK41" s="40">
        <f>IF(AND(AP32&gt;0,AP38=0,AU44=0),1,IF(AND(AP32=0,AP38&gt;0,AU44=0),2,IF(AND(AP32&gt;0,AP38&gt;0,AU44&gt;0),3,IF(AND(AP32&gt;0,AP38=0,AU44&gt;0),4,IF(AND(AP32&gt;0,AP38&gt;0,AU44=0),5,IF(AND(AP32=0,AP38=0,AU44=0),6))))))</f>
        <v>6</v>
      </c>
      <c r="CL41" s="40"/>
      <c r="CM41" s="40"/>
      <c r="CN41" s="40"/>
      <c r="CO41" s="371"/>
      <c r="CP41" s="40" t="s">
        <v>366</v>
      </c>
      <c r="CQ41" s="75">
        <f>(843600*CQ36)/((CG22*(CG23/10))/CQ31)</f>
        <v>1956.8041237113403</v>
      </c>
      <c r="CR41" s="40"/>
      <c r="CS41" s="40"/>
      <c r="CT41" s="40"/>
      <c r="CU41" s="40">
        <v>27</v>
      </c>
      <c r="CV41" s="40" t="str">
        <f>VLOOKUP(27,$DB$8:$DK$79,CY$5,TRUE)</f>
        <v>WF-300X300x11x17 mm.</v>
      </c>
      <c r="CW41" s="40"/>
      <c r="CX41" s="40"/>
      <c r="CY41" s="40"/>
      <c r="CZ41" s="40"/>
      <c r="DA41" s="40"/>
      <c r="DB41" s="40">
        <v>34</v>
      </c>
      <c r="DC41" s="40" t="str">
        <f>'Steel Table'!C39</f>
        <v>WF-350X350x10x16 mm.</v>
      </c>
      <c r="DD41" s="40"/>
      <c r="DE41" s="40"/>
      <c r="DF41" s="40"/>
      <c r="DG41" s="40"/>
      <c r="DH41" s="40" t="str">
        <f>'Steel Table'!CD39</f>
        <v>Pipe-D216.3x7 mm.</v>
      </c>
      <c r="DI41" s="40" t="str">
        <f>'Steel Table'!CO39</f>
        <v>[-150x75x20x4 mm.</v>
      </c>
      <c r="DJ41" s="39"/>
      <c r="DK41" s="40" t="str">
        <f>'Steel Table'!DG39</f>
        <v>2[]-150x75x20x4 mm.</v>
      </c>
      <c r="DL41" s="39"/>
      <c r="DM41" s="39"/>
      <c r="DN41" s="40"/>
      <c r="DO41" s="40"/>
      <c r="DP41" s="40"/>
      <c r="DQ41" s="40"/>
      <c r="DR41" s="40"/>
      <c r="DS41" s="40"/>
      <c r="DT41" s="40"/>
      <c r="DU41" s="40"/>
      <c r="DV41" s="40"/>
    </row>
    <row r="42" spans="1:126" s="35" customFormat="1" ht="15.75" customHeight="1">
      <c r="A42" s="40"/>
      <c r="B42" s="31" t="s">
        <v>449</v>
      </c>
      <c r="M42" s="36" t="s">
        <v>0</v>
      </c>
      <c r="N42" s="434"/>
      <c r="O42" s="434"/>
      <c r="P42" s="434"/>
      <c r="Q42" s="36"/>
      <c r="R42" s="31" t="s">
        <v>453</v>
      </c>
      <c r="W42" s="36" t="s">
        <v>0</v>
      </c>
      <c r="X42" s="448" t="str">
        <f>IF(N42="","-",N15)</f>
        <v>-</v>
      </c>
      <c r="Y42" s="373"/>
      <c r="Z42" s="373"/>
      <c r="AA42" s="40"/>
      <c r="AB42" s="40"/>
      <c r="AC42" s="155"/>
      <c r="AD42" s="155"/>
      <c r="AE42" s="155"/>
      <c r="AF42" s="153"/>
      <c r="AG42" s="153"/>
      <c r="AH42" s="153"/>
      <c r="AI42" s="153"/>
      <c r="AJ42" s="153"/>
      <c r="AK42" s="48"/>
      <c r="AL42" s="40"/>
      <c r="AM42" s="70"/>
      <c r="AN42" s="70"/>
      <c r="AO42" s="418" t="s">
        <v>395</v>
      </c>
      <c r="AP42" s="418"/>
      <c r="AQ42" s="71"/>
      <c r="AR42" s="70"/>
      <c r="AS42" s="71" t="s">
        <v>394</v>
      </c>
      <c r="AT42" s="70"/>
      <c r="AU42" s="70"/>
      <c r="AV42" s="40"/>
      <c r="AW42" s="49"/>
      <c r="AX42" s="153"/>
      <c r="AY42" s="152"/>
      <c r="AZ42" s="152"/>
      <c r="BA42" s="152"/>
      <c r="BB42" s="152"/>
      <c r="BC42" s="152"/>
      <c r="BD42" s="152"/>
      <c r="BY42" s="40"/>
      <c r="BZ42" s="40"/>
      <c r="CA42" s="40"/>
      <c r="CB42" s="40"/>
      <c r="CC42" s="40"/>
      <c r="CD42" s="101"/>
      <c r="CE42" s="40"/>
      <c r="CF42" s="40" t="s">
        <v>409</v>
      </c>
      <c r="CG42" s="39">
        <f>$CG$36-CH39</f>
        <v>100</v>
      </c>
      <c r="CH42" s="40"/>
      <c r="CI42" s="40" t="s">
        <v>417</v>
      </c>
      <c r="CJ42" s="39">
        <f>(CG45*CH39*CG42*(CH39+(2*CG42)))</f>
        <v>0</v>
      </c>
      <c r="CK42" s="39" t="str">
        <f>IF(CK41=1,CE56,IF(OR(CK41=2,CK41=5),CE56&amp;" + "&amp;CE57,IF(CK41=3,CE56&amp;" + "&amp;CE57&amp;" + "&amp;CE58,IF(CK41=4,CE56&amp;" + "&amp;CE58,IF(CK41=6,CE56)))))</f>
        <v>(WL^4/8EI)</v>
      </c>
      <c r="CL42" s="40"/>
      <c r="CM42" s="40"/>
      <c r="CN42" s="40"/>
      <c r="CO42" s="40"/>
      <c r="CP42" s="40"/>
      <c r="CQ42" s="40"/>
      <c r="CR42" s="40"/>
      <c r="CS42" s="40"/>
      <c r="CT42" s="40"/>
      <c r="CU42" s="40">
        <v>28</v>
      </c>
      <c r="CV42" s="40" t="str">
        <f>VLOOKUP(28,$DB$8:$DK$79,CY$5,TRUE)</f>
        <v>WF-350X175x6x9 mm.</v>
      </c>
      <c r="CW42" s="40"/>
      <c r="CX42" s="40"/>
      <c r="CY42" s="40"/>
      <c r="CZ42" s="40"/>
      <c r="DA42" s="40"/>
      <c r="DB42" s="40">
        <v>35</v>
      </c>
      <c r="DC42" s="40" t="str">
        <f>'Steel Table'!C40</f>
        <v>WF-350X350x16x16 mm.</v>
      </c>
      <c r="DD42" s="40"/>
      <c r="DE42" s="40"/>
      <c r="DF42" s="40"/>
      <c r="DG42" s="40"/>
      <c r="DH42" s="40" t="str">
        <f>'Steel Table'!CD40</f>
        <v>Pipe-D216.3x8.2 mm.</v>
      </c>
      <c r="DI42" s="40" t="str">
        <f>'Steel Table'!CO40</f>
        <v>[-150x75x20x4.5 mm.</v>
      </c>
      <c r="DJ42" s="39"/>
      <c r="DK42" s="40" t="str">
        <f>'Steel Table'!DG40</f>
        <v>2[]-150x75x20x4.5 mm.</v>
      </c>
      <c r="DL42" s="39"/>
      <c r="DM42" s="39"/>
      <c r="DN42" s="40"/>
      <c r="DO42" s="40"/>
      <c r="DP42" s="40"/>
      <c r="DQ42" s="40"/>
      <c r="DR42" s="40"/>
      <c r="DS42" s="40"/>
      <c r="DT42" s="40"/>
      <c r="DU42" s="40"/>
      <c r="DV42" s="40"/>
    </row>
    <row r="43" spans="1:126" s="35" customFormat="1" ht="15.75" customHeight="1">
      <c r="A43" s="40"/>
      <c r="B43" s="34" t="s">
        <v>450</v>
      </c>
      <c r="C43" s="40"/>
      <c r="D43" s="40"/>
      <c r="E43" s="40"/>
      <c r="F43" s="40"/>
      <c r="G43" s="40"/>
      <c r="H43" s="39"/>
      <c r="I43" s="34"/>
      <c r="J43" s="40"/>
      <c r="K43" s="40"/>
      <c r="L43" s="39"/>
      <c r="M43" s="39" t="s">
        <v>0</v>
      </c>
      <c r="N43" s="369" t="str">
        <f>IF(N42="","-",CE12)</f>
        <v>-</v>
      </c>
      <c r="O43" s="369"/>
      <c r="P43" s="369"/>
      <c r="Q43" s="41" t="str">
        <f>IF(N42="","&lt;",IF(N43&gt;U43,"&gt;",IF(N43&lt;U43,"&lt;")))</f>
        <v>&lt;</v>
      </c>
      <c r="R43" s="450" t="s">
        <v>442</v>
      </c>
      <c r="S43" s="450"/>
      <c r="T43" s="36" t="s">
        <v>0</v>
      </c>
      <c r="U43" s="370" t="str">
        <f>IF(N42="","-",CE7)</f>
        <v>-</v>
      </c>
      <c r="V43" s="370"/>
      <c r="W43" s="370"/>
      <c r="X43" s="402">
        <f>IF(N42="","",IF(N43&gt;U43,"Not Ok.",IF(N43&lt;U43,"Ok.")))</f>
      </c>
      <c r="Y43" s="402"/>
      <c r="Z43" s="131"/>
      <c r="AA43" s="40"/>
      <c r="AB43" s="40"/>
      <c r="AC43" s="153"/>
      <c r="AD43" s="153"/>
      <c r="AE43" s="153"/>
      <c r="AF43" s="153"/>
      <c r="AG43" s="153"/>
      <c r="AH43" s="153"/>
      <c r="AI43" s="153"/>
      <c r="AJ43" s="153"/>
      <c r="AK43" s="48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9"/>
      <c r="AX43" s="153"/>
      <c r="AY43" s="152"/>
      <c r="AZ43" s="152"/>
      <c r="BA43" s="152"/>
      <c r="BB43" s="152"/>
      <c r="BC43" s="152"/>
      <c r="BD43" s="152"/>
      <c r="BY43" s="40"/>
      <c r="BZ43" s="40"/>
      <c r="CA43" s="40"/>
      <c r="CB43" s="40"/>
      <c r="CC43" s="40"/>
      <c r="CD43" s="117"/>
      <c r="CE43" s="40"/>
      <c r="CF43" s="92" t="s">
        <v>411</v>
      </c>
      <c r="CG43" s="39">
        <f>$CG$36-CH40</f>
        <v>100</v>
      </c>
      <c r="CH43" s="40"/>
      <c r="CI43" s="40" t="s">
        <v>417</v>
      </c>
      <c r="CJ43" s="39">
        <f>(CG46*CH40*CG43*(CH40+(2*CG43)))</f>
        <v>0</v>
      </c>
      <c r="CK43" s="39" t="str">
        <f>IF(CY17=1,CK40,IF(CY17=2,CK42,IF(CY17=3,CK49)))</f>
        <v>(5WL^4/384EI)</v>
      </c>
      <c r="CL43" s="40"/>
      <c r="CM43" s="40"/>
      <c r="CN43" s="40"/>
      <c r="CO43" s="40"/>
      <c r="CQ43" s="39">
        <f>IF(CQ35&gt;=CQ38,1,IF(AND(CQ37&lt;CQ35,CQ35&lt;CQ38),2,3))</f>
        <v>2</v>
      </c>
      <c r="CR43" s="40"/>
      <c r="CS43" s="40"/>
      <c r="CT43" s="40"/>
      <c r="CU43" s="40">
        <v>29</v>
      </c>
      <c r="CV43" s="40" t="str">
        <f>VLOOKUP(29,$DB$8:$DK$79,CY$5,TRUE)</f>
        <v>WF-350X175x7x11 mm.</v>
      </c>
      <c r="CW43" s="40"/>
      <c r="CX43" s="40"/>
      <c r="CY43" s="40"/>
      <c r="CZ43" s="40"/>
      <c r="DA43" s="40"/>
      <c r="DB43" s="40">
        <v>36</v>
      </c>
      <c r="DC43" s="40" t="str">
        <f>'Steel Table'!C41</f>
        <v>WF-350X350x12x19 mm.</v>
      </c>
      <c r="DD43" s="40"/>
      <c r="DE43" s="40"/>
      <c r="DF43" s="40"/>
      <c r="DG43" s="40"/>
      <c r="DH43" s="40"/>
      <c r="DI43" s="40" t="str">
        <f>'Steel Table'!CO41</f>
        <v>[-150x75x25x3.2 mm.</v>
      </c>
      <c r="DJ43" s="39"/>
      <c r="DK43" s="40" t="str">
        <f>'Steel Table'!DG41</f>
        <v>2[]-150x75x25x3.2 mm.</v>
      </c>
      <c r="DL43" s="39"/>
      <c r="DM43" s="39"/>
      <c r="DN43" s="40"/>
      <c r="DO43" s="40"/>
      <c r="DP43" s="40"/>
      <c r="DQ43" s="40"/>
      <c r="DR43" s="40"/>
      <c r="DS43" s="40"/>
      <c r="DT43" s="40"/>
      <c r="DU43" s="40"/>
      <c r="DV43" s="40"/>
    </row>
    <row r="44" spans="1:126" s="35" customFormat="1" ht="15.75" customHeight="1">
      <c r="A44" s="40"/>
      <c r="B44" s="34" t="s">
        <v>451</v>
      </c>
      <c r="M44" s="39" t="s">
        <v>0</v>
      </c>
      <c r="N44" s="452" t="str">
        <f>IF(N42="","-",CE13)</f>
        <v>-</v>
      </c>
      <c r="O44" s="452"/>
      <c r="P44" s="452"/>
      <c r="Q44" s="41" t="str">
        <f>IF(N42="","&gt;",IF(N44&gt;U44,"&gt;",IF(N44&lt;U44,"&lt;")))</f>
        <v>&gt;</v>
      </c>
      <c r="R44" s="373" t="s">
        <v>452</v>
      </c>
      <c r="S44" s="373"/>
      <c r="T44" s="36" t="s">
        <v>0</v>
      </c>
      <c r="U44" s="370" t="str">
        <f>IF(N42="","-",N15)</f>
        <v>-</v>
      </c>
      <c r="V44" s="370"/>
      <c r="W44" s="370"/>
      <c r="X44" s="402">
        <f>IF(N42="","",IF(N44&gt;U44,"Ok.",IF(N44&lt;U44,"Not Ok.")))</f>
      </c>
      <c r="Y44" s="402"/>
      <c r="AA44" s="40"/>
      <c r="AB44" s="40"/>
      <c r="AC44" s="157"/>
      <c r="AD44" s="157"/>
      <c r="AE44" s="157"/>
      <c r="AF44" s="157"/>
      <c r="AG44" s="157"/>
      <c r="AH44" s="157"/>
      <c r="AI44" s="157"/>
      <c r="AJ44" s="153"/>
      <c r="AK44" s="48"/>
      <c r="AL44" s="40"/>
      <c r="AM44" s="396" t="s">
        <v>396</v>
      </c>
      <c r="AN44" s="396"/>
      <c r="AO44" s="39" t="s">
        <v>0</v>
      </c>
      <c r="AP44" s="453"/>
      <c r="AQ44" s="454"/>
      <c r="AR44" s="396" t="s">
        <v>400</v>
      </c>
      <c r="AS44" s="396"/>
      <c r="AT44" s="39" t="s">
        <v>0</v>
      </c>
      <c r="AU44" s="397"/>
      <c r="AV44" s="399"/>
      <c r="AW44" s="49"/>
      <c r="AX44" s="153"/>
      <c r="AY44" s="152"/>
      <c r="AZ44" s="152"/>
      <c r="BA44" s="152"/>
      <c r="BB44" s="152"/>
      <c r="BC44" s="152"/>
      <c r="BD44" s="152"/>
      <c r="BY44" s="40"/>
      <c r="BZ44" s="40"/>
      <c r="CA44" s="40"/>
      <c r="CB44" s="40"/>
      <c r="CC44" s="40"/>
      <c r="CD44" s="101"/>
      <c r="CE44" s="40"/>
      <c r="CF44" s="92" t="s">
        <v>413</v>
      </c>
      <c r="CG44" s="39">
        <f>$CG$36-CH41</f>
        <v>100</v>
      </c>
      <c r="CH44" s="40"/>
      <c r="CI44" s="40" t="s">
        <v>417</v>
      </c>
      <c r="CJ44" s="39">
        <f>(CG47*CH41*CG44*(CH41+(2*CG44)))</f>
        <v>0</v>
      </c>
      <c r="CK44" s="40"/>
      <c r="CL44" s="40"/>
      <c r="CM44" s="40"/>
      <c r="CN44" s="40"/>
      <c r="CO44" s="40"/>
      <c r="CP44" s="40">
        <v>1</v>
      </c>
      <c r="CQ44" s="75">
        <f>CQ40</f>
        <v>2205.7121013543033</v>
      </c>
      <c r="CR44" s="40"/>
      <c r="CS44" s="40"/>
      <c r="CT44" s="40"/>
      <c r="CU44" s="52">
        <v>30</v>
      </c>
      <c r="CV44" s="40" t="str">
        <f>VLOOKUP(30,$DB$8:$DK$79,CY$5,TRUE)</f>
        <v>WF-350X175x8x13 mm.</v>
      </c>
      <c r="CW44" s="40"/>
      <c r="CX44" s="40"/>
      <c r="CY44" s="40"/>
      <c r="CZ44" s="40"/>
      <c r="DA44" s="40"/>
      <c r="DB44" s="40">
        <v>37</v>
      </c>
      <c r="DC44" s="40" t="str">
        <f>'Steel Table'!C42</f>
        <v>WF-350X350x19x19 mm.</v>
      </c>
      <c r="DD44" s="40"/>
      <c r="DE44" s="40"/>
      <c r="DF44" s="40"/>
      <c r="DG44" s="39"/>
      <c r="DH44" s="40"/>
      <c r="DI44" s="40" t="str">
        <f>'Steel Table'!CO42</f>
        <v>[-150x75x25x4 mm.</v>
      </c>
      <c r="DJ44" s="39"/>
      <c r="DK44" s="40" t="str">
        <f>'Steel Table'!DG42</f>
        <v>2[]-150x75x25x4 mm.</v>
      </c>
      <c r="DL44" s="39"/>
      <c r="DM44" s="39"/>
      <c r="DN44" s="40"/>
      <c r="DO44" s="40"/>
      <c r="DP44" s="40"/>
      <c r="DQ44" s="40"/>
      <c r="DR44" s="40"/>
      <c r="DS44" s="40"/>
      <c r="DT44" s="40"/>
      <c r="DU44" s="40"/>
      <c r="DV44" s="40"/>
    </row>
    <row r="45" spans="1:126" s="35" customFormat="1" ht="15.75" customHeight="1">
      <c r="A45" s="40"/>
      <c r="B45" s="107" t="s">
        <v>437</v>
      </c>
      <c r="C45" s="52"/>
      <c r="D45" s="52"/>
      <c r="E45" s="52"/>
      <c r="F45" s="128"/>
      <c r="G45" s="128"/>
      <c r="H45" s="128"/>
      <c r="I45" s="129"/>
      <c r="J45" s="129"/>
      <c r="K45" s="129"/>
      <c r="L45" s="76"/>
      <c r="M45" s="131"/>
      <c r="N45" s="131"/>
      <c r="O45" s="131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155"/>
      <c r="AD45" s="155"/>
      <c r="AE45" s="155"/>
      <c r="AF45" s="155"/>
      <c r="AG45" s="155"/>
      <c r="AH45" s="155"/>
      <c r="AI45" s="155"/>
      <c r="AJ45" s="153"/>
      <c r="AK45" s="48"/>
      <c r="AL45" s="40"/>
      <c r="AM45" s="396" t="s">
        <v>397</v>
      </c>
      <c r="AN45" s="396"/>
      <c r="AO45" s="39" t="s">
        <v>0</v>
      </c>
      <c r="AP45" s="453"/>
      <c r="AQ45" s="454"/>
      <c r="AR45" s="396" t="s">
        <v>401</v>
      </c>
      <c r="AS45" s="396"/>
      <c r="AT45" s="39" t="s">
        <v>0</v>
      </c>
      <c r="AU45" s="397"/>
      <c r="AV45" s="399"/>
      <c r="AW45" s="49"/>
      <c r="AX45" s="153"/>
      <c r="AY45" s="152"/>
      <c r="AZ45" s="152"/>
      <c r="BA45" s="152"/>
      <c r="BB45" s="152"/>
      <c r="BC45" s="152"/>
      <c r="BD45" s="152"/>
      <c r="BY45" s="40"/>
      <c r="BZ45" s="40"/>
      <c r="CA45" s="40"/>
      <c r="CB45" s="40"/>
      <c r="CC45" s="40"/>
      <c r="CD45" s="117"/>
      <c r="CE45" s="40"/>
      <c r="CF45" s="92" t="s">
        <v>399</v>
      </c>
      <c r="CG45" s="39" t="b">
        <f>IF(AND(AU23&gt;0,AU44=0),AU23,IF(AND(AU23=0,AU44&gt;0),AU44,IF(AND(AU23&gt;0,AU44&gt;0),0)))</f>
        <v>0</v>
      </c>
      <c r="CH45" s="40"/>
      <c r="CI45" s="40" t="s">
        <v>418</v>
      </c>
      <c r="CJ45" s="39">
        <f>SQRT((3*CH39)*(CH39+(2*CG42)))</f>
        <v>0</v>
      </c>
      <c r="CK45" s="35">
        <v>1</v>
      </c>
      <c r="CL45" s="40" t="s">
        <v>433</v>
      </c>
      <c r="CM45" s="39">
        <f>CG36/360</f>
        <v>0.2777777777777778</v>
      </c>
      <c r="CN45" s="40"/>
      <c r="CO45" s="40"/>
      <c r="CP45" s="40">
        <v>2</v>
      </c>
      <c r="CQ45" s="75">
        <f>CQ39</f>
        <v>1309.9791029673786</v>
      </c>
      <c r="CR45" s="40"/>
      <c r="CS45" s="40"/>
      <c r="CT45" s="40"/>
      <c r="CU45" s="40">
        <v>31</v>
      </c>
      <c r="CV45" s="40" t="str">
        <f>VLOOKUP(31,$DB$8:$DK$79,CY$5,TRUE)</f>
        <v>WF-350x250x8x12 mm.</v>
      </c>
      <c r="CW45" s="40"/>
      <c r="CX45" s="40"/>
      <c r="CY45" s="40"/>
      <c r="CZ45" s="40"/>
      <c r="DA45" s="40"/>
      <c r="DB45" s="40">
        <v>38</v>
      </c>
      <c r="DC45" s="40" t="str">
        <f>'Steel Table'!C43</f>
        <v>WF-400X200x7x11 mm.</v>
      </c>
      <c r="DD45" s="40"/>
      <c r="DE45" s="40"/>
      <c r="DF45" s="40"/>
      <c r="DG45" s="39"/>
      <c r="DH45" s="40"/>
      <c r="DI45" s="40" t="str">
        <f>'Steel Table'!CO43</f>
        <v>[-150x75x25x4.5 mm.</v>
      </c>
      <c r="DJ45" s="39"/>
      <c r="DK45" s="40" t="str">
        <f>'Steel Table'!DG43</f>
        <v>2[]-150x75x25x4.5 mm.</v>
      </c>
      <c r="DL45" s="39"/>
      <c r="DM45" s="39"/>
      <c r="DN45" s="40"/>
      <c r="DO45" s="40"/>
      <c r="DP45" s="40"/>
      <c r="DQ45" s="40"/>
      <c r="DR45" s="40"/>
      <c r="DS45" s="40"/>
      <c r="DT45" s="40"/>
      <c r="DU45" s="40"/>
      <c r="DV45" s="40"/>
    </row>
    <row r="46" spans="1:126" s="35" customFormat="1" ht="15.75" customHeight="1">
      <c r="A46" s="40"/>
      <c r="B46" s="31" t="s">
        <v>449</v>
      </c>
      <c r="M46" s="36" t="s">
        <v>0</v>
      </c>
      <c r="N46" s="434"/>
      <c r="O46" s="434"/>
      <c r="P46" s="434"/>
      <c r="R46" s="31" t="s">
        <v>456</v>
      </c>
      <c r="X46" s="455"/>
      <c r="Y46" s="455"/>
      <c r="Z46" s="455"/>
      <c r="AA46" s="40"/>
      <c r="AB46" s="40"/>
      <c r="AC46" s="155"/>
      <c r="AD46" s="155"/>
      <c r="AE46" s="155"/>
      <c r="AF46" s="155"/>
      <c r="AG46" s="155"/>
      <c r="AH46" s="155"/>
      <c r="AI46" s="153"/>
      <c r="AJ46" s="153"/>
      <c r="AK46" s="48"/>
      <c r="AL46" s="40"/>
      <c r="AM46" s="396" t="s">
        <v>398</v>
      </c>
      <c r="AN46" s="396"/>
      <c r="AO46" s="39" t="s">
        <v>0</v>
      </c>
      <c r="AP46" s="453"/>
      <c r="AQ46" s="454"/>
      <c r="AR46" s="396" t="s">
        <v>402</v>
      </c>
      <c r="AS46" s="396"/>
      <c r="AT46" s="39" t="s">
        <v>0</v>
      </c>
      <c r="AU46" s="397"/>
      <c r="AV46" s="399"/>
      <c r="AW46" s="49"/>
      <c r="AX46" s="153"/>
      <c r="AY46" s="152"/>
      <c r="AZ46" s="152"/>
      <c r="BA46" s="152"/>
      <c r="BB46" s="152"/>
      <c r="BC46" s="152"/>
      <c r="BD46" s="152"/>
      <c r="BY46" s="40"/>
      <c r="BZ46" s="40"/>
      <c r="CA46" s="40"/>
      <c r="CB46" s="40"/>
      <c r="CC46" s="40"/>
      <c r="CD46" s="101"/>
      <c r="CE46" s="40"/>
      <c r="CF46" s="92" t="s">
        <v>414</v>
      </c>
      <c r="CG46" s="39" t="b">
        <f>IF(AND(AU24&gt;0,AU45=0),AU24,IF(AND(AU24=0,AU45&gt;0),AU45,IF(AND(AU24&gt;0,AU45&gt;0),0)))</f>
        <v>0</v>
      </c>
      <c r="CH46" s="40"/>
      <c r="CI46" s="40" t="s">
        <v>418</v>
      </c>
      <c r="CJ46" s="39">
        <f>SQRT((3*CH40)*(CH40+(2*CG43)))</f>
        <v>0</v>
      </c>
      <c r="CK46" s="35">
        <v>2</v>
      </c>
      <c r="CL46" s="40" t="s">
        <v>434</v>
      </c>
      <c r="CM46" s="39">
        <f>CG36/250</f>
        <v>0.4</v>
      </c>
      <c r="CN46" s="40"/>
      <c r="CO46" s="40"/>
      <c r="CP46" s="40">
        <v>3</v>
      </c>
      <c r="CQ46" s="75">
        <f>CQ41</f>
        <v>1956.8041237113403</v>
      </c>
      <c r="CR46" s="40"/>
      <c r="CS46" s="40"/>
      <c r="CT46" s="40"/>
      <c r="CU46" s="40">
        <v>32</v>
      </c>
      <c r="CV46" s="40" t="str">
        <f>VLOOKUP(32,$DB$8:$DK$79,CY$5,TRUE)</f>
        <v>WF-350x250x9x14 mm.</v>
      </c>
      <c r="CW46" s="40"/>
      <c r="CX46" s="40"/>
      <c r="CY46" s="40"/>
      <c r="CZ46" s="40"/>
      <c r="DA46" s="40"/>
      <c r="DB46" s="40">
        <v>39</v>
      </c>
      <c r="DC46" s="40" t="str">
        <f>'Steel Table'!C44</f>
        <v>WF-400X200x8x13 mm.</v>
      </c>
      <c r="DD46" s="40"/>
      <c r="DE46" s="40"/>
      <c r="DF46" s="40"/>
      <c r="DG46" s="39"/>
      <c r="DH46" s="40"/>
      <c r="DI46" s="40" t="str">
        <f>'Steel Table'!CO44</f>
        <v>[-200x75x20x3.2 mm.</v>
      </c>
      <c r="DJ46" s="39"/>
      <c r="DK46" s="40" t="str">
        <f>'Steel Table'!DG44</f>
        <v>2[]-200x75x20x3.2 mm.</v>
      </c>
      <c r="DL46" s="39"/>
      <c r="DM46" s="39"/>
      <c r="DN46" s="40"/>
      <c r="DO46" s="40"/>
      <c r="DP46" s="40"/>
      <c r="DQ46" s="40"/>
      <c r="DR46" s="40"/>
      <c r="DS46" s="40"/>
      <c r="DT46" s="40"/>
      <c r="DU46" s="40"/>
      <c r="DV46" s="40"/>
    </row>
    <row r="47" spans="1:126" s="35" customFormat="1" ht="15.75" customHeight="1">
      <c r="A47" s="40"/>
      <c r="B47" s="34" t="s">
        <v>454</v>
      </c>
      <c r="C47" s="40"/>
      <c r="D47" s="40"/>
      <c r="E47" s="40"/>
      <c r="F47" s="40"/>
      <c r="G47" s="40"/>
      <c r="H47" s="39"/>
      <c r="I47" s="34"/>
      <c r="J47" s="40"/>
      <c r="K47" s="40"/>
      <c r="L47" s="39"/>
      <c r="M47" s="39" t="s">
        <v>0</v>
      </c>
      <c r="N47" s="369" t="str">
        <f>IF(N46="","-",CE17)</f>
        <v>-</v>
      </c>
      <c r="O47" s="369"/>
      <c r="P47" s="369"/>
      <c r="Q47" s="41" t="str">
        <f>IF(N46="","&lt;",IF(N47&gt;U47,"&gt;",IF(N47&lt;U47,"&lt;")))</f>
        <v>&lt;</v>
      </c>
      <c r="R47" s="450" t="s">
        <v>442</v>
      </c>
      <c r="S47" s="450"/>
      <c r="T47" s="36" t="s">
        <v>0</v>
      </c>
      <c r="U47" s="370" t="str">
        <f>IF(N46="","-",U43)</f>
        <v>-</v>
      </c>
      <c r="V47" s="370"/>
      <c r="W47" s="370"/>
      <c r="X47" s="402">
        <f>IF(N46="","",IF(N47&gt;U47,"Not Ok.",IF(N47&lt;U47,"Ok.")))</f>
      </c>
      <c r="Y47" s="402"/>
      <c r="Z47" s="131"/>
      <c r="AA47" s="69"/>
      <c r="AB47" s="40"/>
      <c r="AC47" s="155"/>
      <c r="AD47" s="155"/>
      <c r="AE47" s="155"/>
      <c r="AF47" s="155"/>
      <c r="AG47" s="155"/>
      <c r="AH47" s="155"/>
      <c r="AI47" s="155"/>
      <c r="AJ47" s="155"/>
      <c r="AK47" s="126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9"/>
      <c r="AX47" s="153"/>
      <c r="AY47" s="152"/>
      <c r="AZ47" s="152"/>
      <c r="BA47" s="152"/>
      <c r="BB47" s="152"/>
      <c r="BC47" s="152"/>
      <c r="BD47" s="152"/>
      <c r="BY47" s="40"/>
      <c r="BZ47" s="40"/>
      <c r="CA47" s="40"/>
      <c r="CB47" s="40"/>
      <c r="CC47" s="40"/>
      <c r="CD47" s="117"/>
      <c r="CE47" s="40"/>
      <c r="CF47" s="92" t="s">
        <v>415</v>
      </c>
      <c r="CG47" s="39" t="b">
        <f>IF(AND(AU25&gt;0,AU46=0),AU25,IF(AND(AU25=0,AU46&gt;0),AU46,IF(AND(AU25&gt;0,AU46&gt;0),0)))</f>
        <v>0</v>
      </c>
      <c r="CH47" s="40"/>
      <c r="CI47" s="40" t="s">
        <v>418</v>
      </c>
      <c r="CJ47" s="39">
        <f>SQRT((3*CH41)*(CH41+(2*CG44)))</f>
        <v>0</v>
      </c>
      <c r="CK47" s="40"/>
      <c r="CL47" s="40" t="str">
        <f>VLOOKUP($CY$17,CK45:CL46,2,TRUE)</f>
        <v>L/360</v>
      </c>
      <c r="CM47" s="139">
        <f>VLOOKUP($CY$17,CK45:CM46,3,TRUE)</f>
        <v>0.2777777777777778</v>
      </c>
      <c r="CN47" s="140"/>
      <c r="CO47" s="40"/>
      <c r="CP47" s="40" t="s">
        <v>101</v>
      </c>
      <c r="CQ47" s="75">
        <f>VLOOKUP(CQ43,CP44:CQ46,2,TRUE)</f>
        <v>1309.9791029673786</v>
      </c>
      <c r="CR47" s="40"/>
      <c r="CS47" s="40"/>
      <c r="CT47" s="40"/>
      <c r="CU47" s="40">
        <v>33</v>
      </c>
      <c r="CV47" s="40" t="str">
        <f>VLOOKUP(33,$DB$8:$DK$79,CY$5,TRUE)</f>
        <v>WF-350X350x13x13 mm.</v>
      </c>
      <c r="CW47" s="40"/>
      <c r="CX47" s="40"/>
      <c r="CY47" s="40"/>
      <c r="CZ47" s="40"/>
      <c r="DA47" s="40"/>
      <c r="DB47" s="40">
        <v>40</v>
      </c>
      <c r="DC47" s="40" t="str">
        <f>'Steel Table'!C45</f>
        <v>WF-400X200x9x15 mm.</v>
      </c>
      <c r="DD47" s="40"/>
      <c r="DE47" s="40"/>
      <c r="DF47" s="40"/>
      <c r="DG47" s="39"/>
      <c r="DH47" s="40"/>
      <c r="DI47" s="40" t="str">
        <f>'Steel Table'!CO45</f>
        <v>[-200x75x20x4 mm.</v>
      </c>
      <c r="DJ47" s="40"/>
      <c r="DK47" s="40" t="str">
        <f>'Steel Table'!DG45</f>
        <v>2[]-200x75x20x4 mm.</v>
      </c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</row>
    <row r="48" spans="1:126" s="35" customFormat="1" ht="15.75" customHeight="1" thickBot="1">
      <c r="A48" s="40"/>
      <c r="B48" s="34" t="s">
        <v>455</v>
      </c>
      <c r="M48" s="39" t="s">
        <v>0</v>
      </c>
      <c r="N48" s="452" t="str">
        <f>IF(N46="","-",CE18)</f>
        <v>-</v>
      </c>
      <c r="O48" s="452"/>
      <c r="P48" s="452"/>
      <c r="Q48" s="41" t="str">
        <f>IF(N46="","&gt;",IF(N48&gt;U48,"&gt;",IF(N48&lt;U48,"&lt;")))</f>
        <v>&gt;</v>
      </c>
      <c r="R48" s="373" t="s">
        <v>124</v>
      </c>
      <c r="S48" s="373"/>
      <c r="T48" s="36" t="s">
        <v>0</v>
      </c>
      <c r="U48" s="370" t="str">
        <f>IF(N46="","-",X46)</f>
        <v>-</v>
      </c>
      <c r="V48" s="370"/>
      <c r="W48" s="370"/>
      <c r="X48" s="402">
        <f>IF(N46="","",IF(N48&gt;U48,"Ok.",IF(N48&lt;U48,"Not Ok.")))</f>
      </c>
      <c r="Y48" s="402"/>
      <c r="Z48" s="131"/>
      <c r="AA48" s="34"/>
      <c r="AB48" s="40"/>
      <c r="AC48" s="153"/>
      <c r="AD48" s="153"/>
      <c r="AE48" s="153"/>
      <c r="AF48" s="153"/>
      <c r="AG48" s="153"/>
      <c r="AH48" s="153"/>
      <c r="AI48" s="153"/>
      <c r="AJ48" s="153"/>
      <c r="AK48" s="64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65"/>
      <c r="AX48" s="153"/>
      <c r="AY48" s="152"/>
      <c r="AZ48" s="152"/>
      <c r="BA48" s="152"/>
      <c r="BB48" s="152"/>
      <c r="BC48" s="152"/>
      <c r="BD48" s="152"/>
      <c r="BY48" s="40"/>
      <c r="BZ48" s="40"/>
      <c r="CA48" s="40"/>
      <c r="CB48" s="40"/>
      <c r="CC48" s="40"/>
      <c r="CF48" s="35" t="s">
        <v>315</v>
      </c>
      <c r="CG48" s="138">
        <f>N12</f>
        <v>2100000</v>
      </c>
      <c r="CH48" s="40"/>
      <c r="CI48" s="40" t="s">
        <v>419</v>
      </c>
      <c r="CJ48" s="39">
        <f>27*CG$48*CG$49*CG$36</f>
        <v>15252300000000</v>
      </c>
      <c r="CK48" s="40"/>
      <c r="CM48" s="101"/>
      <c r="CN48" s="40"/>
      <c r="CO48" s="40"/>
      <c r="CQ48" s="39">
        <f>0.6*CG7</f>
        <v>1440</v>
      </c>
      <c r="CR48" s="40"/>
      <c r="CS48" s="40"/>
      <c r="CT48" s="40"/>
      <c r="CU48" s="52">
        <v>34</v>
      </c>
      <c r="CV48" s="40" t="str">
        <f>VLOOKUP(34,$DB$8:$DK$79,CY$5,TRUE)</f>
        <v>WF-350X350x10x16 mm.</v>
      </c>
      <c r="CW48" s="40"/>
      <c r="CX48" s="40"/>
      <c r="CY48" s="40"/>
      <c r="CZ48" s="40"/>
      <c r="DA48" s="40"/>
      <c r="DB48" s="40">
        <v>41</v>
      </c>
      <c r="DC48" s="40" t="str">
        <f>'Steel Table'!C46</f>
        <v>WF-400X300x9x14 mm.</v>
      </c>
      <c r="DD48" s="40"/>
      <c r="DE48" s="40"/>
      <c r="DF48" s="40"/>
      <c r="DG48" s="40"/>
      <c r="DH48" s="40"/>
      <c r="DI48" s="40" t="str">
        <f>'Steel Table'!CO46</f>
        <v>[-200x75x20x4.5 mm.</v>
      </c>
      <c r="DJ48" s="40"/>
      <c r="DK48" s="40" t="str">
        <f>'Steel Table'!DG46</f>
        <v>2[]-200x75x20x4.5 mm.</v>
      </c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</row>
    <row r="49" spans="1:126" s="35" customFormat="1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39"/>
      <c r="M49" s="40"/>
      <c r="N49" s="40"/>
      <c r="O49" s="40"/>
      <c r="P49" s="40"/>
      <c r="Q49" s="40"/>
      <c r="R49" s="40"/>
      <c r="AB49" s="40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2"/>
      <c r="AT49" s="152"/>
      <c r="AU49" s="152"/>
      <c r="AV49" s="152"/>
      <c r="AW49" s="153"/>
      <c r="AX49" s="153"/>
      <c r="AY49" s="152"/>
      <c r="AZ49" s="152"/>
      <c r="BA49" s="152"/>
      <c r="BB49" s="152"/>
      <c r="BC49" s="152"/>
      <c r="BD49" s="152"/>
      <c r="BY49" s="40"/>
      <c r="BZ49" s="40"/>
      <c r="CA49" s="40"/>
      <c r="CB49" s="40"/>
      <c r="CC49" s="40"/>
      <c r="CD49" s="40"/>
      <c r="CF49" s="35" t="s">
        <v>266</v>
      </c>
      <c r="CG49" s="39">
        <f>N19</f>
        <v>2690</v>
      </c>
      <c r="CH49" s="40"/>
      <c r="CI49" s="39"/>
      <c r="CJ49" s="39"/>
      <c r="CK49" s="40" t="s">
        <v>532</v>
      </c>
      <c r="CM49" s="39"/>
      <c r="CN49" s="141"/>
      <c r="CO49" s="40"/>
      <c r="CP49" s="40" t="s">
        <v>367</v>
      </c>
      <c r="CQ49" s="93">
        <f>IF(CQ47&lt;=CQ48,CQ47,IF(CQ47&gt;CQ48,CQ48))</f>
        <v>1309.9791029673786</v>
      </c>
      <c r="CR49" s="40"/>
      <c r="CS49" s="40"/>
      <c r="CT49" s="40"/>
      <c r="CU49" s="40">
        <v>35</v>
      </c>
      <c r="CV49" s="40" t="str">
        <f>VLOOKUP(35,$DB$8:$DK$79,CY$5,TRUE)</f>
        <v>WF-350X350x16x16 mm.</v>
      </c>
      <c r="CW49" s="40"/>
      <c r="CX49" s="40"/>
      <c r="CY49" s="40"/>
      <c r="CZ49" s="40"/>
      <c r="DA49" s="40"/>
      <c r="DB49" s="40">
        <v>42</v>
      </c>
      <c r="DC49" s="40" t="str">
        <f>'Steel Table'!C47</f>
        <v>WF-400X300x10x16 mm.</v>
      </c>
      <c r="DD49" s="40"/>
      <c r="DE49" s="40"/>
      <c r="DF49" s="40"/>
      <c r="DG49" s="40"/>
      <c r="DH49" s="40"/>
      <c r="DI49" s="40" t="str">
        <f>'Steel Table'!CO47</f>
        <v>[-200x75x25x3.2 mm.</v>
      </c>
      <c r="DJ49" s="40"/>
      <c r="DK49" s="40" t="str">
        <f>'Steel Table'!DG47</f>
        <v>2[]-200x75x25x3.2 mm.</v>
      </c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</row>
    <row r="50" spans="1:126" s="35" customFormat="1" ht="15.75" customHeight="1" thickBo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39"/>
      <c r="M50" s="40"/>
      <c r="N50" s="40"/>
      <c r="O50" s="40"/>
      <c r="P50" s="40"/>
      <c r="Q50" s="40"/>
      <c r="R50" s="40"/>
      <c r="AB50" s="40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2"/>
      <c r="AT50" s="152"/>
      <c r="AU50" s="152"/>
      <c r="AV50" s="152"/>
      <c r="AW50" s="153"/>
      <c r="AX50" s="153"/>
      <c r="AY50" s="152"/>
      <c r="AZ50" s="152"/>
      <c r="BA50" s="152"/>
      <c r="BB50" s="152"/>
      <c r="BC50" s="152"/>
      <c r="BD50" s="152"/>
      <c r="BY50" s="40"/>
      <c r="BZ50" s="40"/>
      <c r="CA50" s="40"/>
      <c r="CB50" s="40"/>
      <c r="CC50" s="40"/>
      <c r="CD50" s="40">
        <v>1</v>
      </c>
      <c r="CE50" s="39" t="s">
        <v>425</v>
      </c>
      <c r="CF50" s="39"/>
      <c r="CG50" s="139">
        <f>(5*CH35*(CG36^4))/(384*CG48*CG49)</f>
        <v>7.05323951141795E-05</v>
      </c>
      <c r="CH50" s="40"/>
      <c r="CI50" s="39"/>
      <c r="CJ50" s="75"/>
      <c r="CK50" s="40"/>
      <c r="CL50" s="40"/>
      <c r="CM50" s="39"/>
      <c r="CN50" s="141"/>
      <c r="CO50" s="40"/>
      <c r="CP50" s="40"/>
      <c r="CQ50" s="40"/>
      <c r="CR50" s="40"/>
      <c r="CS50" s="40"/>
      <c r="CT50" s="40"/>
      <c r="CU50" s="40">
        <v>36</v>
      </c>
      <c r="CV50" s="40" t="str">
        <f>VLOOKUP(36,$DB$8:$DK$79,CY$5,TRUE)</f>
        <v>WF-350X350x12x19 mm.</v>
      </c>
      <c r="CW50" s="40"/>
      <c r="CX50" s="40"/>
      <c r="CY50" s="40"/>
      <c r="CZ50" s="40"/>
      <c r="DA50" s="40"/>
      <c r="DB50" s="40">
        <v>43</v>
      </c>
      <c r="DC50" s="40" t="str">
        <f>'Steel Table'!C48</f>
        <v>WF-400X400x15x15 mm.</v>
      </c>
      <c r="DD50" s="40"/>
      <c r="DE50" s="40"/>
      <c r="DF50" s="40"/>
      <c r="DG50" s="40"/>
      <c r="DH50" s="40"/>
      <c r="DI50" s="40" t="str">
        <f>'Steel Table'!CO48</f>
        <v>[-200x75x25x4 mm.</v>
      </c>
      <c r="DJ50" s="40"/>
      <c r="DK50" s="40" t="str">
        <f>'Steel Table'!DG48</f>
        <v>2[]-200x75x25x4 mm.</v>
      </c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</row>
    <row r="51" spans="1:126" ht="15.75" customHeight="1">
      <c r="A51" s="34"/>
      <c r="B51" s="34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U51" s="142" t="s">
        <v>114</v>
      </c>
      <c r="V51" s="394" t="str">
        <f>Cover!D10</f>
        <v>สมมุติ</v>
      </c>
      <c r="W51" s="394"/>
      <c r="X51" s="394"/>
      <c r="Y51" s="394"/>
      <c r="Z51" s="394"/>
      <c r="AA51" s="394"/>
      <c r="AB51" s="34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Y51" s="34"/>
      <c r="BZ51" s="34"/>
      <c r="CA51" s="34"/>
      <c r="CB51" s="34"/>
      <c r="CC51" s="34"/>
      <c r="CD51" s="40">
        <v>2</v>
      </c>
      <c r="CE51" s="39" t="s">
        <v>426</v>
      </c>
      <c r="CF51" s="39"/>
      <c r="CG51" s="88">
        <f>(23*CG38*CG36^3)/(648*CG48*CG49)</f>
        <v>0</v>
      </c>
      <c r="CH51" s="40"/>
      <c r="CI51" s="39"/>
      <c r="CJ51" s="40"/>
      <c r="CK51" s="40"/>
      <c r="CL51" s="40"/>
      <c r="CM51" s="39"/>
      <c r="CN51" s="39"/>
      <c r="CO51" s="40"/>
      <c r="CP51" s="40"/>
      <c r="CQ51" s="34"/>
      <c r="CR51" s="34"/>
      <c r="CS51" s="34"/>
      <c r="CT51" s="34"/>
      <c r="CU51" s="40">
        <v>37</v>
      </c>
      <c r="CV51" s="40" t="str">
        <f>VLOOKUP(37,$DB$8:$DK$79,CY$5,TRUE)</f>
        <v>WF-350X350x19x19 mm.</v>
      </c>
      <c r="CW51" s="34"/>
      <c r="CX51" s="34"/>
      <c r="CY51" s="34"/>
      <c r="CZ51" s="34"/>
      <c r="DA51" s="41"/>
      <c r="DB51" s="40">
        <v>44</v>
      </c>
      <c r="DC51" s="40" t="str">
        <f>'Steel Table'!C49</f>
        <v>WF-400X400x11x18 mm.</v>
      </c>
      <c r="DD51" s="40"/>
      <c r="DE51" s="40"/>
      <c r="DF51" s="40"/>
      <c r="DG51" s="40"/>
      <c r="DH51" s="40"/>
      <c r="DI51" s="40" t="str">
        <f>'Steel Table'!CO49</f>
        <v>[-200x75x25x4.5 mm.</v>
      </c>
      <c r="DJ51" s="34"/>
      <c r="DK51" s="40" t="str">
        <f>'Steel Table'!DG49</f>
        <v>2[]-200x75x25x4.5 mm.</v>
      </c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</row>
    <row r="52" spans="1:126" ht="15.75" customHeight="1">
      <c r="A52" s="34"/>
      <c r="B52" s="34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94"/>
      <c r="P52" s="94"/>
      <c r="Q52" s="94"/>
      <c r="R52" s="94"/>
      <c r="U52" s="142" t="s">
        <v>115</v>
      </c>
      <c r="V52" s="395" t="str">
        <f>Cover!H10</f>
        <v>สย.0000</v>
      </c>
      <c r="W52" s="395"/>
      <c r="X52" s="395"/>
      <c r="Y52" s="395"/>
      <c r="Z52" s="395"/>
      <c r="AA52" s="395"/>
      <c r="AB52" s="34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Y52" s="34"/>
      <c r="BZ52" s="34"/>
      <c r="CA52" s="34"/>
      <c r="CB52" s="34"/>
      <c r="CC52" s="34"/>
      <c r="CD52" s="34">
        <v>3</v>
      </c>
      <c r="CE52" s="40" t="s">
        <v>427</v>
      </c>
      <c r="CF52" s="39">
        <v>1</v>
      </c>
      <c r="CG52" s="139">
        <f>(CJ42*CJ45)/CJ48</f>
        <v>0</v>
      </c>
      <c r="CH52" s="40"/>
      <c r="CI52" s="39"/>
      <c r="CJ52" s="40"/>
      <c r="CK52" s="40"/>
      <c r="CL52" s="40"/>
      <c r="CM52" s="39"/>
      <c r="CN52" s="39"/>
      <c r="CO52" s="40"/>
      <c r="CP52" s="40"/>
      <c r="CQ52" s="34"/>
      <c r="CR52" s="34"/>
      <c r="CS52" s="34"/>
      <c r="CT52" s="34"/>
      <c r="CU52" s="52">
        <v>38</v>
      </c>
      <c r="CV52" s="40" t="str">
        <f>VLOOKUP(38,$DB$8:$DK$79,CY$5,TRUE)</f>
        <v>WF-400X200x7x11 mm.</v>
      </c>
      <c r="CW52" s="34"/>
      <c r="CX52" s="34"/>
      <c r="CY52" s="34"/>
      <c r="CZ52" s="34"/>
      <c r="DA52" s="41"/>
      <c r="DB52" s="40">
        <v>45</v>
      </c>
      <c r="DC52" s="40" t="str">
        <f>'Steel Table'!C50</f>
        <v>WF-400X400x18x18 mm.</v>
      </c>
      <c r="DD52" s="34"/>
      <c r="DE52" s="34"/>
      <c r="DF52" s="34"/>
      <c r="DG52" s="34"/>
      <c r="DH52" s="40"/>
      <c r="DI52" s="40" t="str">
        <f>'Steel Table'!CO50</f>
        <v>[-250x75x25x4.5 mm.</v>
      </c>
      <c r="DJ52" s="34"/>
      <c r="DK52" s="40" t="str">
        <f>'Steel Table'!DG50</f>
        <v>2[]-250x75x25x4.5 mm.</v>
      </c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</row>
    <row r="53" spans="1:126" ht="15.75" customHeight="1">
      <c r="A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BY53" s="34"/>
      <c r="BZ53" s="34"/>
      <c r="CA53" s="34"/>
      <c r="CB53" s="34"/>
      <c r="CC53" s="34"/>
      <c r="CD53" s="34">
        <v>4</v>
      </c>
      <c r="CE53" s="40" t="s">
        <v>416</v>
      </c>
      <c r="CF53" s="39">
        <v>2</v>
      </c>
      <c r="CG53" s="139">
        <f>(CJ43*CJ46)/CJ48</f>
        <v>0</v>
      </c>
      <c r="CH53" s="40"/>
      <c r="CI53" s="39"/>
      <c r="CJ53" s="40"/>
      <c r="CK53" s="40"/>
      <c r="CL53" s="40"/>
      <c r="CM53" s="39"/>
      <c r="CN53" s="84"/>
      <c r="CO53" s="40"/>
      <c r="CP53" s="40"/>
      <c r="CQ53" s="34"/>
      <c r="CR53" s="34"/>
      <c r="CS53" s="34"/>
      <c r="CT53" s="34"/>
      <c r="CU53" s="40">
        <v>39</v>
      </c>
      <c r="CV53" s="40" t="str">
        <f>VLOOKUP(39,$DB$8:$DK$79,CY$5,TRUE)</f>
        <v>WF-400X200x8x13 mm.</v>
      </c>
      <c r="CW53" s="143"/>
      <c r="CX53" s="34"/>
      <c r="CY53" s="34"/>
      <c r="CZ53" s="34"/>
      <c r="DA53" s="41"/>
      <c r="DB53" s="40">
        <v>46</v>
      </c>
      <c r="DC53" s="40" t="str">
        <f>'Steel Table'!C51</f>
        <v>WF-400X400x13x21 mm.</v>
      </c>
      <c r="DD53" s="34"/>
      <c r="DE53" s="34"/>
      <c r="DF53" s="34"/>
      <c r="DG53" s="34"/>
      <c r="DH53" s="40"/>
      <c r="DI53" s="40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</row>
    <row r="54" spans="1:1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1"/>
      <c r="M54" s="34"/>
      <c r="N54" s="34"/>
      <c r="O54" s="39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BY54" s="34"/>
      <c r="BZ54" s="34"/>
      <c r="CA54" s="34"/>
      <c r="CB54" s="34"/>
      <c r="CC54" s="34"/>
      <c r="CD54" s="34">
        <v>5</v>
      </c>
      <c r="CE54" s="40" t="s">
        <v>416</v>
      </c>
      <c r="CF54" s="39">
        <v>3</v>
      </c>
      <c r="CG54" s="139">
        <f>(CJ44*CJ47)/CJ48</f>
        <v>0</v>
      </c>
      <c r="CH54" s="40"/>
      <c r="CI54" s="39"/>
      <c r="CJ54" s="75"/>
      <c r="CK54" s="40"/>
      <c r="CL54" s="40"/>
      <c r="CM54" s="39"/>
      <c r="CN54" s="39"/>
      <c r="CO54" s="40"/>
      <c r="CP54" s="40"/>
      <c r="CQ54" s="34"/>
      <c r="CR54" s="34"/>
      <c r="CS54" s="34"/>
      <c r="CT54" s="34"/>
      <c r="CU54" s="40">
        <v>40</v>
      </c>
      <c r="CV54" s="40" t="str">
        <f>VLOOKUP(40,$DB$8:$DK$79,CY$5,TRUE)</f>
        <v>WF-400X200x9x15 mm.</v>
      </c>
      <c r="CW54" s="143"/>
      <c r="CX54" s="34"/>
      <c r="CY54" s="34"/>
      <c r="CZ54" s="34"/>
      <c r="DA54" s="41"/>
      <c r="DB54" s="40">
        <v>47</v>
      </c>
      <c r="DC54" s="40" t="str">
        <f>'Steel Table'!C52</f>
        <v>WF-400X400x21x21 mm.</v>
      </c>
      <c r="DD54" s="34"/>
      <c r="DE54" s="34"/>
      <c r="DF54" s="34"/>
      <c r="DG54" s="34"/>
      <c r="DH54" s="40"/>
      <c r="DI54" s="40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</row>
    <row r="55" spans="1:126" ht="15.75" customHeight="1">
      <c r="A55" s="34"/>
      <c r="L55" s="31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BY55" s="34"/>
      <c r="BZ55" s="34"/>
      <c r="CA55" s="34"/>
      <c r="CB55" s="34"/>
      <c r="CC55" s="34"/>
      <c r="CD55" s="34"/>
      <c r="CF55" s="144" t="s">
        <v>420</v>
      </c>
      <c r="CG55" s="145">
        <f>SUM(CG50:CG54)</f>
        <v>7.05323951141795E-05</v>
      </c>
      <c r="CH55" s="40"/>
      <c r="CI55" s="40"/>
      <c r="CJ55" s="40"/>
      <c r="CK55" s="40"/>
      <c r="CL55" s="40"/>
      <c r="CM55" s="39"/>
      <c r="CN55" s="88"/>
      <c r="CO55" s="40"/>
      <c r="CP55" s="40"/>
      <c r="CQ55" s="34"/>
      <c r="CR55" s="34"/>
      <c r="CS55" s="34"/>
      <c r="CT55" s="34"/>
      <c r="CU55" s="40">
        <v>41</v>
      </c>
      <c r="CV55" s="40" t="str">
        <f>VLOOKUP(41,$DB$8:$DK$79,CY$5,TRUE)</f>
        <v>WF-400X300x9x14 mm.</v>
      </c>
      <c r="CW55" s="143"/>
      <c r="CX55" s="34"/>
      <c r="CY55" s="34"/>
      <c r="CZ55" s="34"/>
      <c r="DA55" s="41"/>
      <c r="DB55" s="40">
        <v>48</v>
      </c>
      <c r="DC55" s="40" t="str">
        <f>'Steel Table'!C53</f>
        <v>WF-400X400x18x28 mm.</v>
      </c>
      <c r="DD55" s="34"/>
      <c r="DE55" s="34"/>
      <c r="DF55" s="34"/>
      <c r="DG55" s="34"/>
      <c r="DH55" s="40"/>
      <c r="DI55" s="40"/>
      <c r="DJ55" s="34"/>
      <c r="DK55" s="34"/>
      <c r="DL55" s="34"/>
      <c r="DM55" s="34"/>
      <c r="DN55" s="41"/>
      <c r="DO55" s="146"/>
      <c r="DP55" s="34"/>
      <c r="DQ55" s="34"/>
      <c r="DR55" s="34"/>
      <c r="DS55" s="34"/>
      <c r="DT55" s="34"/>
      <c r="DU55" s="34"/>
      <c r="DV55" s="34"/>
    </row>
    <row r="56" spans="1:1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41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BY56" s="34"/>
      <c r="BZ56" s="34"/>
      <c r="CA56" s="34"/>
      <c r="CB56" s="34"/>
      <c r="CC56" s="34"/>
      <c r="CD56" s="34">
        <v>1</v>
      </c>
      <c r="CE56" s="40" t="s">
        <v>428</v>
      </c>
      <c r="CF56" s="39"/>
      <c r="CG56" s="139">
        <f>(CH35*CG36^4)/(8*CG48*CG49)</f>
        <v>0.0006771109930961232</v>
      </c>
      <c r="CH56" s="40"/>
      <c r="CI56" s="40"/>
      <c r="CJ56" s="40"/>
      <c r="CK56" s="40"/>
      <c r="CL56" s="40"/>
      <c r="CM56" s="39"/>
      <c r="CN56" s="88"/>
      <c r="CO56" s="40"/>
      <c r="CP56" s="40"/>
      <c r="CQ56" s="34"/>
      <c r="CR56" s="34"/>
      <c r="CS56" s="34"/>
      <c r="CT56" s="34"/>
      <c r="CU56" s="52">
        <v>42</v>
      </c>
      <c r="CV56" s="40" t="str">
        <f>VLOOKUP(42,$DB$8:$DK$79,CY$5,TRUE)</f>
        <v>WF-400X300x10x16 mm.</v>
      </c>
      <c r="CW56" s="143"/>
      <c r="CX56" s="34"/>
      <c r="CY56" s="34"/>
      <c r="CZ56" s="34"/>
      <c r="DA56" s="41"/>
      <c r="DB56" s="40">
        <v>49</v>
      </c>
      <c r="DC56" s="40" t="str">
        <f>'Steel Table'!C54</f>
        <v>WF-450X200x8x12 mm.</v>
      </c>
      <c r="DD56" s="34"/>
      <c r="DE56" s="34"/>
      <c r="DF56" s="34"/>
      <c r="DG56" s="34"/>
      <c r="DH56" s="40"/>
      <c r="DI56" s="40"/>
      <c r="DJ56" s="34"/>
      <c r="DK56" s="34"/>
      <c r="DL56" s="34"/>
      <c r="DM56" s="34"/>
      <c r="DN56" s="41"/>
      <c r="DO56" s="146"/>
      <c r="DP56" s="34"/>
      <c r="DQ56" s="34"/>
      <c r="DR56" s="34"/>
      <c r="DS56" s="34"/>
      <c r="DT56" s="34"/>
      <c r="DU56" s="34"/>
      <c r="DV56" s="34"/>
    </row>
    <row r="57" spans="1:1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41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BY57" s="34"/>
      <c r="BZ57" s="34"/>
      <c r="CA57" s="34"/>
      <c r="CB57" s="34"/>
      <c r="CC57" s="34"/>
      <c r="CD57" s="34">
        <v>2</v>
      </c>
      <c r="CE57" s="40" t="s">
        <v>429</v>
      </c>
      <c r="CF57" s="39"/>
      <c r="CG57" s="88">
        <f>(CG38*CG36^3)/(3*CG48*CG49)</f>
        <v>0</v>
      </c>
      <c r="CH57" s="40"/>
      <c r="CI57" s="40"/>
      <c r="CJ57" s="40"/>
      <c r="CK57" s="40"/>
      <c r="CL57" s="40"/>
      <c r="CM57" s="39"/>
      <c r="CN57" s="39"/>
      <c r="CO57" s="40"/>
      <c r="CP57" s="40"/>
      <c r="CQ57" s="34"/>
      <c r="CR57" s="34"/>
      <c r="CS57" s="34"/>
      <c r="CT57" s="34"/>
      <c r="CU57" s="40">
        <v>43</v>
      </c>
      <c r="CV57" s="40" t="str">
        <f>VLOOKUP(43,$DB$8:$DK$79,CY$5,TRUE)</f>
        <v>WF-400X400x15x15 mm.</v>
      </c>
      <c r="CW57" s="34"/>
      <c r="CX57" s="34"/>
      <c r="CY57" s="34"/>
      <c r="CZ57" s="34"/>
      <c r="DA57" s="41"/>
      <c r="DB57" s="40">
        <v>50</v>
      </c>
      <c r="DC57" s="40" t="str">
        <f>'Steel Table'!C55</f>
        <v>WF-450X200x9x14 mm.</v>
      </c>
      <c r="DD57" s="34"/>
      <c r="DE57" s="34"/>
      <c r="DF57" s="34"/>
      <c r="DG57" s="34"/>
      <c r="DH57" s="40"/>
      <c r="DI57" s="40"/>
      <c r="DJ57" s="34"/>
      <c r="DK57" s="34"/>
      <c r="DL57" s="34"/>
      <c r="DM57" s="34"/>
      <c r="DN57" s="41"/>
      <c r="DO57" s="146"/>
      <c r="DP57" s="34"/>
      <c r="DQ57" s="34"/>
      <c r="DR57" s="34"/>
      <c r="DS57" s="34"/>
      <c r="DT57" s="34"/>
      <c r="DU57" s="34"/>
      <c r="DV57" s="34"/>
    </row>
    <row r="58" spans="1:1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41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BY58" s="34"/>
      <c r="BZ58" s="34"/>
      <c r="CA58" s="34"/>
      <c r="CB58" s="34"/>
      <c r="CC58" s="34"/>
      <c r="CD58" s="34">
        <v>3</v>
      </c>
      <c r="CE58" s="40" t="s">
        <v>430</v>
      </c>
      <c r="CF58" s="39"/>
      <c r="CG58" s="139">
        <f>(CG45*CG42^2*((3*CG$36)-CG42))/(6*CG$48*CG$49)</f>
        <v>0</v>
      </c>
      <c r="CH58" s="92"/>
      <c r="CI58" s="40"/>
      <c r="CJ58" s="40"/>
      <c r="CK58" s="40"/>
      <c r="CL58" s="40"/>
      <c r="CM58" s="40"/>
      <c r="CN58" s="40"/>
      <c r="CO58" s="40"/>
      <c r="CP58" s="40"/>
      <c r="CQ58" s="34"/>
      <c r="CR58" s="34"/>
      <c r="CS58" s="34"/>
      <c r="CT58" s="34"/>
      <c r="CU58" s="40">
        <v>44</v>
      </c>
      <c r="CV58" s="40" t="str">
        <f>VLOOKUP(44,$DB$8:$DK$79,CY$5,TRUE)</f>
        <v>WF-400X400x11x18 mm.</v>
      </c>
      <c r="CW58" s="146"/>
      <c r="CX58" s="34"/>
      <c r="CY58" s="34"/>
      <c r="CZ58" s="34"/>
      <c r="DA58" s="41"/>
      <c r="DB58" s="40">
        <v>51</v>
      </c>
      <c r="DC58" s="40" t="str">
        <f>'Steel Table'!C56</f>
        <v>WF-450X200x10x17 mm.</v>
      </c>
      <c r="DD58" s="34"/>
      <c r="DE58" s="34"/>
      <c r="DF58" s="34"/>
      <c r="DG58" s="34"/>
      <c r="DH58" s="40"/>
      <c r="DI58" s="40"/>
      <c r="DJ58" s="34"/>
      <c r="DK58" s="34"/>
      <c r="DL58" s="34"/>
      <c r="DM58" s="34"/>
      <c r="DN58" s="41"/>
      <c r="DO58" s="146"/>
      <c r="DP58" s="34"/>
      <c r="DQ58" s="34"/>
      <c r="DR58" s="34"/>
      <c r="DS58" s="34"/>
      <c r="DT58" s="34"/>
      <c r="DU58" s="34"/>
      <c r="DV58" s="34"/>
    </row>
    <row r="59" spans="1:126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41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BY59" s="34"/>
      <c r="BZ59" s="34"/>
      <c r="CA59" s="34"/>
      <c r="CB59" s="34"/>
      <c r="CC59" s="34"/>
      <c r="CD59" s="34">
        <v>4</v>
      </c>
      <c r="CE59" s="40" t="s">
        <v>421</v>
      </c>
      <c r="CF59" s="39"/>
      <c r="CG59" s="139">
        <f>(CG46*CG43^2*((3*CG$36)-CG43))/(6*CG$48*CG$49)</f>
        <v>0</v>
      </c>
      <c r="CH59" s="92"/>
      <c r="CI59" s="40"/>
      <c r="CJ59" s="40"/>
      <c r="CK59" s="40"/>
      <c r="CL59" s="40"/>
      <c r="CM59" s="94"/>
      <c r="CN59" s="94"/>
      <c r="CO59" s="117"/>
      <c r="CP59" s="40"/>
      <c r="CQ59" s="34"/>
      <c r="CR59" s="34"/>
      <c r="CS59" s="34"/>
      <c r="CT59" s="34"/>
      <c r="CU59" s="40">
        <v>45</v>
      </c>
      <c r="CV59" s="40" t="str">
        <f>VLOOKUP(45,$DB$8:$DK$79,CY$5,TRUE)</f>
        <v>WF-400X400x18x18 mm.</v>
      </c>
      <c r="CW59" s="146"/>
      <c r="CX59" s="34"/>
      <c r="CY59" s="34"/>
      <c r="CZ59" s="34"/>
      <c r="DA59" s="41"/>
      <c r="DB59" s="40">
        <v>52</v>
      </c>
      <c r="DC59" s="40" t="str">
        <f>'Steel Table'!C57</f>
        <v>WF-450X300x10x17 mm.</v>
      </c>
      <c r="DD59" s="34"/>
      <c r="DE59" s="34"/>
      <c r="DF59" s="34"/>
      <c r="DG59" s="34"/>
      <c r="DH59" s="40"/>
      <c r="DI59" s="34"/>
      <c r="DJ59" s="34"/>
      <c r="DK59" s="34"/>
      <c r="DL59" s="34"/>
      <c r="DM59" s="34"/>
      <c r="DN59" s="41"/>
      <c r="DO59" s="147"/>
      <c r="DP59" s="34"/>
      <c r="DQ59" s="34"/>
      <c r="DR59" s="34"/>
      <c r="DS59" s="34"/>
      <c r="DT59" s="34"/>
      <c r="DU59" s="34"/>
      <c r="DV59" s="34"/>
    </row>
    <row r="60" spans="1:1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41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BY60" s="34"/>
      <c r="BZ60" s="34"/>
      <c r="CA60" s="34"/>
      <c r="CB60" s="34"/>
      <c r="CC60" s="34"/>
      <c r="CD60" s="34">
        <v>5</v>
      </c>
      <c r="CE60" s="40" t="s">
        <v>421</v>
      </c>
      <c r="CF60" s="39"/>
      <c r="CG60" s="139">
        <f>(CG47*CG44^2*((3*CG$36)-CG44))/(6*CG$48*CG$49)</f>
        <v>0</v>
      </c>
      <c r="CH60" s="92"/>
      <c r="CI60" s="40"/>
      <c r="CJ60" s="40"/>
      <c r="CK60" s="40"/>
      <c r="CL60" s="40"/>
      <c r="CM60" s="94"/>
      <c r="CN60" s="94"/>
      <c r="CO60" s="40"/>
      <c r="CP60" s="101"/>
      <c r="CQ60" s="34"/>
      <c r="CR60" s="34"/>
      <c r="CS60" s="34"/>
      <c r="CT60" s="34"/>
      <c r="CU60" s="52">
        <v>46</v>
      </c>
      <c r="CV60" s="40" t="str">
        <f>VLOOKUP(46,$DB$8:$DK$79,CY$5,TRUE)</f>
        <v>WF-400X400x13x21 mm.</v>
      </c>
      <c r="CW60" s="146"/>
      <c r="CX60" s="34"/>
      <c r="CY60" s="34"/>
      <c r="CZ60" s="34"/>
      <c r="DA60" s="41"/>
      <c r="DB60" s="40">
        <v>53</v>
      </c>
      <c r="DC60" s="40" t="str">
        <f>'Steel Table'!C58</f>
        <v>WF-450X300x11x18 mm.</v>
      </c>
      <c r="DD60" s="34"/>
      <c r="DE60" s="34"/>
      <c r="DF60" s="34"/>
      <c r="DG60" s="34"/>
      <c r="DH60" s="40"/>
      <c r="DI60" s="34"/>
      <c r="DJ60" s="34"/>
      <c r="DK60" s="34"/>
      <c r="DL60" s="34"/>
      <c r="DM60" s="34"/>
      <c r="DN60" s="41"/>
      <c r="DO60" s="147"/>
      <c r="DP60" s="34"/>
      <c r="DQ60" s="34"/>
      <c r="DR60" s="34"/>
      <c r="DS60" s="34"/>
      <c r="DT60" s="34"/>
      <c r="DU60" s="34"/>
      <c r="DV60" s="34"/>
    </row>
    <row r="61" spans="77:126" ht="15.75" customHeight="1">
      <c r="BY61" s="34"/>
      <c r="BZ61" s="34"/>
      <c r="CA61" s="34"/>
      <c r="CB61" s="34"/>
      <c r="CC61" s="34"/>
      <c r="CD61" s="34"/>
      <c r="CE61" s="40"/>
      <c r="CF61" s="144" t="s">
        <v>420</v>
      </c>
      <c r="CG61" s="139">
        <f>SUM(CG56:CG60)</f>
        <v>0.0006771109930961232</v>
      </c>
      <c r="CH61" s="92"/>
      <c r="CI61" s="40"/>
      <c r="CJ61" s="40"/>
      <c r="CK61" s="40"/>
      <c r="CL61" s="40"/>
      <c r="CM61" s="94"/>
      <c r="CN61" s="94"/>
      <c r="CO61" s="40"/>
      <c r="CP61" s="101"/>
      <c r="CQ61" s="34"/>
      <c r="CR61" s="34"/>
      <c r="CS61" s="34"/>
      <c r="CT61" s="34"/>
      <c r="CU61" s="40">
        <v>47</v>
      </c>
      <c r="CV61" s="40" t="str">
        <f>VLOOKUP(47,$DB$8:$DK$79,CY$5,TRUE)</f>
        <v>WF-400X400x21x21 mm.</v>
      </c>
      <c r="CW61" s="143"/>
      <c r="CX61" s="34"/>
      <c r="CY61" s="34"/>
      <c r="CZ61" s="34"/>
      <c r="DA61" s="41"/>
      <c r="DB61" s="40">
        <v>54</v>
      </c>
      <c r="DC61" s="40" t="str">
        <f>'Steel Table'!C59</f>
        <v>WF-450X300x13x21 mm.</v>
      </c>
      <c r="DD61" s="34"/>
      <c r="DE61" s="34"/>
      <c r="DF61" s="34"/>
      <c r="DG61" s="34"/>
      <c r="DH61" s="40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</row>
    <row r="62" spans="77:126" ht="15.75" customHeight="1">
      <c r="BY62" s="34"/>
      <c r="BZ62" s="34"/>
      <c r="CA62" s="34"/>
      <c r="CB62" s="34"/>
      <c r="CC62" s="34"/>
      <c r="CD62" s="34"/>
      <c r="CE62" s="40"/>
      <c r="CF62" s="39"/>
      <c r="CG62" s="135">
        <f>IF(CY17=1,CG55,IF(CY17=2,CG61,IF(CY17=3,AC39)))</f>
        <v>7.05323951141795E-05</v>
      </c>
      <c r="CH62" s="92"/>
      <c r="CI62" s="40"/>
      <c r="CJ62" s="40"/>
      <c r="CK62" s="40"/>
      <c r="CL62" s="40"/>
      <c r="CM62" s="94"/>
      <c r="CN62" s="94"/>
      <c r="CO62" s="40"/>
      <c r="CP62" s="40"/>
      <c r="CQ62" s="34"/>
      <c r="CR62" s="34"/>
      <c r="CS62" s="34"/>
      <c r="CT62" s="34"/>
      <c r="CU62" s="40">
        <v>48</v>
      </c>
      <c r="CV62" s="40" t="str">
        <f>VLOOKUP(48,$DB$8:$DK$79,CY$5,TRUE)</f>
        <v>WF-400X400x18x28 mm.</v>
      </c>
      <c r="CW62" s="143"/>
      <c r="CX62" s="34"/>
      <c r="CY62" s="34"/>
      <c r="CZ62" s="34"/>
      <c r="DA62" s="41"/>
      <c r="DB62" s="40">
        <v>55</v>
      </c>
      <c r="DC62" s="40" t="str">
        <f>'Steel Table'!C60</f>
        <v>WF-500X200x9x14 mm.</v>
      </c>
      <c r="DD62" s="34"/>
      <c r="DE62" s="34"/>
      <c r="DF62" s="34"/>
      <c r="DG62" s="34"/>
      <c r="DH62" s="41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</row>
    <row r="63" spans="77:126" ht="15.75" customHeight="1">
      <c r="BY63" s="34"/>
      <c r="BZ63" s="34"/>
      <c r="CA63" s="34"/>
      <c r="CB63" s="34"/>
      <c r="CC63" s="34"/>
      <c r="CD63" s="34"/>
      <c r="CE63" s="40"/>
      <c r="CF63" s="39"/>
      <c r="CG63" s="39"/>
      <c r="CH63" s="40"/>
      <c r="CI63" s="40"/>
      <c r="CJ63" s="40"/>
      <c r="CK63" s="40"/>
      <c r="CL63" s="40"/>
      <c r="CM63" s="40"/>
      <c r="CN63" s="40"/>
      <c r="CO63" s="40"/>
      <c r="CP63" s="40"/>
      <c r="CQ63" s="34"/>
      <c r="CR63" s="34"/>
      <c r="CS63" s="34"/>
      <c r="CT63" s="34"/>
      <c r="CU63" s="40">
        <v>49</v>
      </c>
      <c r="CV63" s="40" t="str">
        <f>VLOOKUP(49,$DB$8:$DK$79,CY$5,TRUE)</f>
        <v>WF-450X200x8x12 mm.</v>
      </c>
      <c r="CW63" s="143"/>
      <c r="CX63" s="34"/>
      <c r="CY63" s="34"/>
      <c r="CZ63" s="34"/>
      <c r="DA63" s="41"/>
      <c r="DB63" s="40">
        <v>56</v>
      </c>
      <c r="DC63" s="40" t="str">
        <f>'Steel Table'!C61</f>
        <v>WF-500X200x10x16 mm.</v>
      </c>
      <c r="DD63" s="34"/>
      <c r="DE63" s="34"/>
      <c r="DF63" s="34"/>
      <c r="DG63" s="34"/>
      <c r="DH63" s="41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</row>
    <row r="64" spans="77:126" ht="15.75" customHeight="1">
      <c r="BY64" s="34"/>
      <c r="BZ64" s="34"/>
      <c r="CA64" s="34"/>
      <c r="CB64" s="34"/>
      <c r="CC64" s="34"/>
      <c r="CD64" s="34"/>
      <c r="CE64" s="40"/>
      <c r="CF64" s="39"/>
      <c r="CG64" s="39"/>
      <c r="CH64" s="40"/>
      <c r="CI64" s="40"/>
      <c r="CJ64" s="40"/>
      <c r="CK64" s="40"/>
      <c r="CL64" s="40"/>
      <c r="CM64" s="40"/>
      <c r="CN64" s="40"/>
      <c r="CO64" s="40"/>
      <c r="CP64" s="40"/>
      <c r="CQ64" s="34"/>
      <c r="CR64" s="34"/>
      <c r="CS64" s="34"/>
      <c r="CT64" s="34"/>
      <c r="CU64" s="52">
        <v>50</v>
      </c>
      <c r="CV64" s="40" t="str">
        <f>VLOOKUP(50,$DB$8:$DK$79,CY$5,TRUE)</f>
        <v>WF-450X200x9x14 mm.</v>
      </c>
      <c r="CW64" s="34"/>
      <c r="CX64" s="34"/>
      <c r="CY64" s="34"/>
      <c r="CZ64" s="34"/>
      <c r="DA64" s="41"/>
      <c r="DB64" s="40">
        <v>57</v>
      </c>
      <c r="DC64" s="40" t="str">
        <f>'Steel Table'!C62</f>
        <v>WF-500X200x11x19 mm.</v>
      </c>
      <c r="DD64" s="34"/>
      <c r="DE64" s="34"/>
      <c r="DF64" s="34"/>
      <c r="DG64" s="34"/>
      <c r="DH64" s="41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</row>
    <row r="65" spans="77:126" ht="15.75" customHeight="1">
      <c r="BY65" s="34"/>
      <c r="BZ65" s="34"/>
      <c r="CA65" s="34"/>
      <c r="CB65" s="34"/>
      <c r="CC65" s="34"/>
      <c r="CD65" s="34"/>
      <c r="CE65" s="40"/>
      <c r="CF65" s="39"/>
      <c r="CG65" s="39"/>
      <c r="CH65" s="40"/>
      <c r="CI65" s="40"/>
      <c r="CJ65" s="40"/>
      <c r="CK65" s="40"/>
      <c r="CL65" s="40"/>
      <c r="CM65" s="40"/>
      <c r="CN65" s="40"/>
      <c r="CO65" s="40"/>
      <c r="CP65" s="40"/>
      <c r="CQ65" s="34"/>
      <c r="CR65" s="34"/>
      <c r="CS65" s="34"/>
      <c r="CT65" s="34"/>
      <c r="CU65" s="40">
        <v>51</v>
      </c>
      <c r="CV65" s="40" t="str">
        <f>VLOOKUP(51,$DB$8:$DK$79,CY$5,TRUE)</f>
        <v>WF-450X200x10x17 mm.</v>
      </c>
      <c r="CW65" s="34"/>
      <c r="CX65" s="34"/>
      <c r="CY65" s="34"/>
      <c r="CZ65" s="34"/>
      <c r="DA65" s="41"/>
      <c r="DB65" s="40">
        <v>58</v>
      </c>
      <c r="DC65" s="40" t="str">
        <f>'Steel Table'!C63</f>
        <v>WF-500X300x11x15 mm.</v>
      </c>
      <c r="DD65" s="34"/>
      <c r="DE65" s="34"/>
      <c r="DF65" s="34"/>
      <c r="DG65" s="34"/>
      <c r="DH65" s="41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</row>
    <row r="66" spans="77:126" ht="15.75" customHeight="1">
      <c r="BY66" s="34"/>
      <c r="BZ66" s="34"/>
      <c r="CA66" s="34"/>
      <c r="CB66" s="34"/>
      <c r="CC66" s="34"/>
      <c r="CD66" s="34"/>
      <c r="CE66" s="40"/>
      <c r="CF66" s="39"/>
      <c r="CG66" s="39"/>
      <c r="CH66" s="40"/>
      <c r="CI66" s="40"/>
      <c r="CJ66" s="40"/>
      <c r="CK66" s="40"/>
      <c r="CL66" s="40"/>
      <c r="CM66" s="40"/>
      <c r="CN66" s="40"/>
      <c r="CO66" s="40"/>
      <c r="CP66" s="40"/>
      <c r="CQ66" s="34"/>
      <c r="CR66" s="34"/>
      <c r="CS66" s="34"/>
      <c r="CT66" s="34"/>
      <c r="CU66" s="40">
        <v>52</v>
      </c>
      <c r="CV66" s="40" t="str">
        <f>VLOOKUP(52,$DB$8:$DK$79,CY$5,TRUE)</f>
        <v>WF-450X300x10x17 mm.</v>
      </c>
      <c r="CW66" s="34"/>
      <c r="CX66" s="34"/>
      <c r="CY66" s="34"/>
      <c r="CZ66" s="34"/>
      <c r="DA66" s="34"/>
      <c r="DB66" s="40">
        <v>59</v>
      </c>
      <c r="DC66" s="40" t="str">
        <f>'Steel Table'!C64</f>
        <v>WF-500X300x11x18 mm.</v>
      </c>
      <c r="DD66" s="34"/>
      <c r="DE66" s="34"/>
      <c r="DF66" s="34"/>
      <c r="DG66" s="34"/>
      <c r="DH66" s="41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</row>
    <row r="67" spans="77:126" ht="15.75" customHeight="1">
      <c r="BY67" s="34"/>
      <c r="BZ67" s="34"/>
      <c r="CA67" s="34"/>
      <c r="CB67" s="34"/>
      <c r="CC67" s="34"/>
      <c r="CD67" s="34"/>
      <c r="CE67" s="40"/>
      <c r="CF67" s="39"/>
      <c r="CG67" s="39"/>
      <c r="CH67" s="40"/>
      <c r="CI67" s="40"/>
      <c r="CJ67" s="40"/>
      <c r="CK67" s="40"/>
      <c r="CL67" s="40"/>
      <c r="CM67" s="40"/>
      <c r="CN67" s="40"/>
      <c r="CO67" s="40"/>
      <c r="CP67" s="40"/>
      <c r="CQ67" s="34"/>
      <c r="CR67" s="34"/>
      <c r="CS67" s="34"/>
      <c r="CT67" s="34"/>
      <c r="CU67" s="40">
        <v>53</v>
      </c>
      <c r="CV67" s="40" t="str">
        <f>VLOOKUP(53,$DB$8:$DK$79,CY$5,TRUE)</f>
        <v>WF-450X300x11x18 mm.</v>
      </c>
      <c r="CW67" s="34"/>
      <c r="CX67" s="34"/>
      <c r="CY67" s="34"/>
      <c r="CZ67" s="34"/>
      <c r="DA67" s="34"/>
      <c r="DB67" s="40">
        <v>60</v>
      </c>
      <c r="DC67" s="40" t="str">
        <f>'Steel Table'!C65</f>
        <v>WF-500X300x13x21 mm.</v>
      </c>
      <c r="DD67" s="34"/>
      <c r="DE67" s="34"/>
      <c r="DF67" s="34"/>
      <c r="DG67" s="34"/>
      <c r="DH67" s="41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</row>
    <row r="68" spans="77:126" ht="15.75" customHeight="1">
      <c r="BY68" s="34"/>
      <c r="BZ68" s="34"/>
      <c r="CA68" s="34"/>
      <c r="CB68" s="34"/>
      <c r="CC68" s="34"/>
      <c r="CD68" s="34"/>
      <c r="CE68" s="40"/>
      <c r="CF68" s="39"/>
      <c r="CG68" s="39"/>
      <c r="CH68" s="40"/>
      <c r="CI68" s="40"/>
      <c r="CJ68" s="40"/>
      <c r="CK68" s="40"/>
      <c r="CL68" s="40"/>
      <c r="CM68" s="40"/>
      <c r="CN68" s="66"/>
      <c r="CO68" s="40"/>
      <c r="CP68" s="40"/>
      <c r="CQ68" s="34"/>
      <c r="CR68" s="34"/>
      <c r="CS68" s="34"/>
      <c r="CT68" s="34"/>
      <c r="CU68" s="52">
        <v>54</v>
      </c>
      <c r="CV68" s="40" t="str">
        <f>VLOOKUP(54,$DB$8:$DK$79,CY$5,TRUE)</f>
        <v>WF-450X300x13x21 mm.</v>
      </c>
      <c r="CW68" s="34"/>
      <c r="CX68" s="34"/>
      <c r="CY68" s="34"/>
      <c r="CZ68" s="34"/>
      <c r="DA68" s="34"/>
      <c r="DB68" s="40">
        <v>61</v>
      </c>
      <c r="DC68" s="40" t="str">
        <f>'Steel Table'!C66</f>
        <v>WF-600X200x10x15 mm.</v>
      </c>
      <c r="DD68" s="34"/>
      <c r="DE68" s="34"/>
      <c r="DF68" s="34"/>
      <c r="DG68" s="34"/>
      <c r="DH68" s="41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</row>
    <row r="69" spans="77:126" ht="15.75" customHeight="1">
      <c r="BY69" s="34"/>
      <c r="BZ69" s="34"/>
      <c r="CA69" s="34"/>
      <c r="CB69" s="34"/>
      <c r="CC69" s="34"/>
      <c r="CD69" s="34"/>
      <c r="CE69" s="40"/>
      <c r="CF69" s="39"/>
      <c r="CG69" s="39"/>
      <c r="CH69" s="40"/>
      <c r="CI69" s="40"/>
      <c r="CJ69" s="40"/>
      <c r="CK69" s="40"/>
      <c r="CL69" s="40"/>
      <c r="CM69" s="40"/>
      <c r="CN69" s="117"/>
      <c r="CO69" s="40"/>
      <c r="CP69" s="40"/>
      <c r="CQ69" s="34"/>
      <c r="CR69" s="34"/>
      <c r="CS69" s="34"/>
      <c r="CT69" s="34"/>
      <c r="CU69" s="40">
        <v>55</v>
      </c>
      <c r="CV69" s="40" t="str">
        <f>VLOOKUP(55,$DB$8:$DK$79,CY$5,TRUE)</f>
        <v>WF-500X200x9x14 mm.</v>
      </c>
      <c r="CW69" s="34"/>
      <c r="CX69" s="34"/>
      <c r="CY69" s="34"/>
      <c r="CZ69" s="34"/>
      <c r="DA69" s="34"/>
      <c r="DB69" s="40">
        <v>62</v>
      </c>
      <c r="DC69" s="40" t="str">
        <f>'Steel Table'!C67</f>
        <v>WF-600X200x11x17 mm.</v>
      </c>
      <c r="DD69" s="34"/>
      <c r="DE69" s="34"/>
      <c r="DF69" s="34"/>
      <c r="DG69" s="34"/>
      <c r="DH69" s="41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</row>
    <row r="70" spans="77:126" ht="15.75" customHeight="1">
      <c r="BY70" s="34"/>
      <c r="BZ70" s="34"/>
      <c r="CA70" s="34"/>
      <c r="CB70" s="34"/>
      <c r="CC70" s="34"/>
      <c r="CD70" s="34"/>
      <c r="CE70" s="40"/>
      <c r="CF70" s="39"/>
      <c r="CG70" s="39"/>
      <c r="CH70" s="40"/>
      <c r="CI70" s="40"/>
      <c r="CJ70" s="40"/>
      <c r="CK70" s="40"/>
      <c r="CL70" s="40"/>
      <c r="CM70" s="40"/>
      <c r="CN70" s="40"/>
      <c r="CO70" s="40"/>
      <c r="CP70" s="40"/>
      <c r="CQ70" s="34"/>
      <c r="CR70" s="34"/>
      <c r="CS70" s="34"/>
      <c r="CT70" s="34"/>
      <c r="CU70" s="40">
        <v>56</v>
      </c>
      <c r="CV70" s="40" t="str">
        <f>VLOOKUP(56,$DB$8:$DK$79,CY$5,TRUE)</f>
        <v>WF-500X200x10x16 mm.</v>
      </c>
      <c r="CW70" s="34"/>
      <c r="CX70" s="34"/>
      <c r="CY70" s="34"/>
      <c r="CZ70" s="34"/>
      <c r="DA70" s="34"/>
      <c r="DB70" s="40">
        <v>63</v>
      </c>
      <c r="DC70" s="40" t="str">
        <f>'Steel Table'!C68</f>
        <v>WF-600X200x12x20 mm.</v>
      </c>
      <c r="DD70" s="34"/>
      <c r="DE70" s="34"/>
      <c r="DF70" s="34"/>
      <c r="DG70" s="34"/>
      <c r="DH70" s="41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</row>
    <row r="71" spans="77:126" ht="15.75" customHeight="1">
      <c r="BY71" s="34"/>
      <c r="BZ71" s="34"/>
      <c r="CA71" s="34"/>
      <c r="CB71" s="34"/>
      <c r="CC71" s="34"/>
      <c r="CD71" s="34"/>
      <c r="CE71" s="40"/>
      <c r="CF71" s="39"/>
      <c r="CG71" s="39"/>
      <c r="CH71" s="40"/>
      <c r="CI71" s="40"/>
      <c r="CJ71" s="40"/>
      <c r="CK71" s="40"/>
      <c r="CL71" s="40"/>
      <c r="CM71" s="40"/>
      <c r="CN71" s="40"/>
      <c r="CO71" s="40"/>
      <c r="CP71" s="40"/>
      <c r="CQ71" s="34"/>
      <c r="CR71" s="34"/>
      <c r="CS71" s="34"/>
      <c r="CT71" s="34"/>
      <c r="CU71" s="40">
        <v>57</v>
      </c>
      <c r="CV71" s="40" t="str">
        <f>VLOOKUP(57,$DB$8:$DK$79,CY$5,TRUE)</f>
        <v>WF-500X200x11x19 mm.</v>
      </c>
      <c r="CW71" s="34"/>
      <c r="CX71" s="34"/>
      <c r="CY71" s="34"/>
      <c r="CZ71" s="34"/>
      <c r="DA71" s="34"/>
      <c r="DB71" s="40">
        <v>64</v>
      </c>
      <c r="DC71" s="40" t="str">
        <f>'Steel Table'!C69</f>
        <v>WF-600X200x13x23 mm.</v>
      </c>
      <c r="DD71" s="34"/>
      <c r="DE71" s="34"/>
      <c r="DF71" s="34"/>
      <c r="DG71" s="34"/>
      <c r="DH71" s="41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</row>
    <row r="72" spans="77:126" ht="15.75" customHeight="1">
      <c r="BY72" s="34"/>
      <c r="BZ72" s="34"/>
      <c r="CA72" s="34"/>
      <c r="CB72" s="34"/>
      <c r="CC72" s="34"/>
      <c r="CD72" s="34"/>
      <c r="CE72" s="40"/>
      <c r="CF72" s="39"/>
      <c r="CG72" s="39"/>
      <c r="CH72" s="40"/>
      <c r="CI72" s="40"/>
      <c r="CJ72" s="40"/>
      <c r="CK72" s="40"/>
      <c r="CL72" s="40"/>
      <c r="CM72" s="40"/>
      <c r="CN72" s="40"/>
      <c r="CO72" s="40"/>
      <c r="CP72" s="40"/>
      <c r="CQ72" s="34"/>
      <c r="CR72" s="34"/>
      <c r="CS72" s="34"/>
      <c r="CT72" s="34"/>
      <c r="CU72" s="52">
        <v>58</v>
      </c>
      <c r="CV72" s="40" t="str">
        <f>VLOOKUP(58,$DB$8:$DK$79,CY$5,TRUE)</f>
        <v>WF-500X300x11x15 mm.</v>
      </c>
      <c r="CW72" s="34"/>
      <c r="CX72" s="34"/>
      <c r="CY72" s="34"/>
      <c r="CZ72" s="34"/>
      <c r="DA72" s="34"/>
      <c r="DB72" s="40">
        <v>65</v>
      </c>
      <c r="DC72" s="40" t="str">
        <f>'Steel Table'!C70</f>
        <v>WF-600X300x12x17 mm.</v>
      </c>
      <c r="DD72" s="34"/>
      <c r="DE72" s="34"/>
      <c r="DF72" s="34"/>
      <c r="DG72" s="34"/>
      <c r="DH72" s="41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</row>
    <row r="73" spans="77:126" ht="15.75" customHeight="1">
      <c r="BY73" s="34"/>
      <c r="BZ73" s="34"/>
      <c r="CA73" s="34"/>
      <c r="CB73" s="34"/>
      <c r="CC73" s="34"/>
      <c r="CD73" s="34"/>
      <c r="CE73" s="40"/>
      <c r="CF73" s="39"/>
      <c r="CG73" s="39"/>
      <c r="CH73" s="40"/>
      <c r="CI73" s="40"/>
      <c r="CJ73" s="40"/>
      <c r="CK73" s="40"/>
      <c r="CL73" s="40"/>
      <c r="CM73" s="40"/>
      <c r="CN73" s="40"/>
      <c r="CO73" s="40"/>
      <c r="CP73" s="40"/>
      <c r="CQ73" s="34"/>
      <c r="CR73" s="34"/>
      <c r="CS73" s="34"/>
      <c r="CT73" s="34"/>
      <c r="CU73" s="40">
        <v>59</v>
      </c>
      <c r="CV73" s="40" t="str">
        <f>VLOOKUP(59,$DB$8:$DK$79,CY$5,TRUE)</f>
        <v>WF-500X300x11x18 mm.</v>
      </c>
      <c r="CW73" s="34"/>
      <c r="CX73" s="34"/>
      <c r="CY73" s="34"/>
      <c r="CZ73" s="34"/>
      <c r="DA73" s="34"/>
      <c r="DB73" s="40">
        <v>66</v>
      </c>
      <c r="DC73" s="40" t="str">
        <f>'Steel Table'!C71</f>
        <v>WF-600X300x12x20 mm.</v>
      </c>
      <c r="DD73" s="34"/>
      <c r="DE73" s="34"/>
      <c r="DF73" s="34"/>
      <c r="DG73" s="34"/>
      <c r="DH73" s="41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</row>
    <row r="74" spans="77:126" ht="15.75" customHeight="1">
      <c r="BY74" s="34"/>
      <c r="BZ74" s="34"/>
      <c r="CA74" s="34"/>
      <c r="CB74" s="34"/>
      <c r="CC74" s="34"/>
      <c r="CD74" s="34"/>
      <c r="CE74" s="40"/>
      <c r="CF74" s="39"/>
      <c r="CG74" s="39"/>
      <c r="CH74" s="40"/>
      <c r="CI74" s="40"/>
      <c r="CJ74" s="40"/>
      <c r="CK74" s="40"/>
      <c r="CL74" s="40"/>
      <c r="CM74" s="40"/>
      <c r="CN74" s="40"/>
      <c r="CO74" s="40"/>
      <c r="CP74" s="40"/>
      <c r="CQ74" s="34"/>
      <c r="CR74" s="34"/>
      <c r="CS74" s="34"/>
      <c r="CT74" s="34"/>
      <c r="CU74" s="40">
        <v>60</v>
      </c>
      <c r="CV74" s="40" t="str">
        <f>VLOOKUP(60,$DB$8:$DK$79,CY$5,TRUE)</f>
        <v>WF-500X300x13x21 mm.</v>
      </c>
      <c r="CW74" s="34"/>
      <c r="CX74" s="34"/>
      <c r="CY74" s="34"/>
      <c r="CZ74" s="34"/>
      <c r="DA74" s="34"/>
      <c r="DB74" s="40">
        <v>67</v>
      </c>
      <c r="DC74" s="40" t="str">
        <f>'Steel Table'!C72</f>
        <v>WF-600X300x14x23 mm.</v>
      </c>
      <c r="DD74" s="34"/>
      <c r="DE74" s="34"/>
      <c r="DF74" s="34"/>
      <c r="DG74" s="34"/>
      <c r="DH74" s="41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</row>
    <row r="75" spans="77:126" ht="15.75" customHeight="1">
      <c r="BY75" s="34"/>
      <c r="BZ75" s="34"/>
      <c r="CA75" s="34"/>
      <c r="CB75" s="34"/>
      <c r="CC75" s="34"/>
      <c r="CD75" s="34"/>
      <c r="CE75" s="40"/>
      <c r="CF75" s="39"/>
      <c r="CG75" s="39"/>
      <c r="CH75" s="40"/>
      <c r="CI75" s="40"/>
      <c r="CJ75" s="40"/>
      <c r="CK75" s="40"/>
      <c r="CL75" s="40"/>
      <c r="CM75" s="40"/>
      <c r="CN75" s="40"/>
      <c r="CO75" s="40"/>
      <c r="CP75" s="40"/>
      <c r="CQ75" s="34"/>
      <c r="CR75" s="34"/>
      <c r="CS75" s="34"/>
      <c r="CT75" s="34"/>
      <c r="CU75" s="40">
        <v>61</v>
      </c>
      <c r="CV75" s="40" t="str">
        <f>VLOOKUP(61,$DB$8:$DK$79,CY$5,TRUE)</f>
        <v>WF-600X200x10x15 mm.</v>
      </c>
      <c r="CW75" s="34"/>
      <c r="CX75" s="34"/>
      <c r="CY75" s="34"/>
      <c r="CZ75" s="34"/>
      <c r="DA75" s="34"/>
      <c r="DB75" s="40">
        <v>68</v>
      </c>
      <c r="DC75" s="40" t="str">
        <f>'Steel Table'!C73</f>
        <v>WF-700x300x13x20 mm.</v>
      </c>
      <c r="DD75" s="34"/>
      <c r="DE75" s="34"/>
      <c r="DF75" s="34"/>
      <c r="DG75" s="34"/>
      <c r="DH75" s="41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</row>
    <row r="76" spans="77:126" ht="15.75" customHeight="1">
      <c r="BY76" s="34"/>
      <c r="BZ76" s="34"/>
      <c r="CA76" s="34"/>
      <c r="CB76" s="34"/>
      <c r="CC76" s="34"/>
      <c r="CD76" s="34"/>
      <c r="CE76" s="40"/>
      <c r="CF76" s="39"/>
      <c r="CG76" s="39"/>
      <c r="CH76" s="40"/>
      <c r="CI76" s="40"/>
      <c r="CJ76" s="40"/>
      <c r="CK76" s="40"/>
      <c r="CL76" s="40"/>
      <c r="CM76" s="40"/>
      <c r="CN76" s="40"/>
      <c r="CO76" s="40"/>
      <c r="CP76" s="40"/>
      <c r="CQ76" s="34"/>
      <c r="CR76" s="34"/>
      <c r="CS76" s="34"/>
      <c r="CT76" s="34"/>
      <c r="CU76" s="52">
        <v>62</v>
      </c>
      <c r="CV76" s="40" t="str">
        <f>VLOOKUP(62,$DB$8:$DK$79,CY$5,TRUE)</f>
        <v>WF-600X200x11x17 mm.</v>
      </c>
      <c r="CW76" s="34"/>
      <c r="CX76" s="34"/>
      <c r="CY76" s="34"/>
      <c r="CZ76" s="34"/>
      <c r="DA76" s="34"/>
      <c r="DB76" s="40">
        <v>69</v>
      </c>
      <c r="DC76" s="40" t="str">
        <f>'Steel Table'!C74</f>
        <v>WF-700x300x13x24 mm.</v>
      </c>
      <c r="DD76" s="34"/>
      <c r="DE76" s="34"/>
      <c r="DF76" s="34"/>
      <c r="DG76" s="34"/>
      <c r="DH76" s="41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</row>
    <row r="77" spans="77:126" ht="15.75" customHeight="1">
      <c r="BY77" s="34"/>
      <c r="BZ77" s="34"/>
      <c r="CA77" s="34"/>
      <c r="CB77" s="34"/>
      <c r="CC77" s="34"/>
      <c r="CD77" s="34"/>
      <c r="CE77" s="40"/>
      <c r="CF77" s="39"/>
      <c r="CG77" s="39"/>
      <c r="CH77" s="40"/>
      <c r="CI77" s="40"/>
      <c r="CJ77" s="40"/>
      <c r="CK77" s="40"/>
      <c r="CL77" s="40"/>
      <c r="CM77" s="40"/>
      <c r="CN77" s="40"/>
      <c r="CO77" s="40"/>
      <c r="CP77" s="40"/>
      <c r="CQ77" s="34"/>
      <c r="CR77" s="34"/>
      <c r="CS77" s="34"/>
      <c r="CT77" s="34"/>
      <c r="CU77" s="40">
        <v>63</v>
      </c>
      <c r="CV77" s="40" t="str">
        <f>VLOOKUP(63,$DB$8:$DK$79,CY$5,TRUE)</f>
        <v>WF-600X200x12x20 mm.</v>
      </c>
      <c r="CW77" s="34"/>
      <c r="CX77" s="34"/>
      <c r="CY77" s="34"/>
      <c r="CZ77" s="34"/>
      <c r="DA77" s="34"/>
      <c r="DB77" s="40">
        <v>70</v>
      </c>
      <c r="DC77" s="40" t="str">
        <f>'Steel Table'!C75</f>
        <v>WF-800x300x14x22 mm.</v>
      </c>
      <c r="DD77" s="34"/>
      <c r="DE77" s="34"/>
      <c r="DF77" s="34"/>
      <c r="DG77" s="34"/>
      <c r="DH77" s="41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</row>
    <row r="78" spans="77:126" ht="15.75" customHeight="1">
      <c r="BY78" s="34"/>
      <c r="BZ78" s="34"/>
      <c r="CA78" s="34"/>
      <c r="CB78" s="34"/>
      <c r="CC78" s="34"/>
      <c r="CD78" s="34"/>
      <c r="CE78" s="40"/>
      <c r="CF78" s="39"/>
      <c r="CG78" s="39"/>
      <c r="CH78" s="40"/>
      <c r="CI78" s="40"/>
      <c r="CJ78" s="40"/>
      <c r="CK78" s="40"/>
      <c r="CL78" s="40"/>
      <c r="CM78" s="40"/>
      <c r="CN78" s="40"/>
      <c r="CO78" s="40"/>
      <c r="CP78" s="40"/>
      <c r="CQ78" s="34"/>
      <c r="CR78" s="34"/>
      <c r="CS78" s="34"/>
      <c r="CT78" s="34"/>
      <c r="CU78" s="40">
        <v>64</v>
      </c>
      <c r="CV78" s="40" t="str">
        <f>VLOOKUP(64,$DB$8:$DK$79,CY$5,TRUE)</f>
        <v>WF-600X200x13x23 mm.</v>
      </c>
      <c r="CW78" s="34"/>
      <c r="CX78" s="34"/>
      <c r="CY78" s="34"/>
      <c r="CZ78" s="34"/>
      <c r="DA78" s="34"/>
      <c r="DB78" s="40">
        <v>71</v>
      </c>
      <c r="DC78" s="40" t="str">
        <f>'Steel Table'!C76</f>
        <v>WF-800x300x14x26 mm.</v>
      </c>
      <c r="DD78" s="34"/>
      <c r="DE78" s="34"/>
      <c r="DF78" s="34"/>
      <c r="DG78" s="34"/>
      <c r="DH78" s="41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</row>
    <row r="79" spans="77:126" ht="15.75" customHeight="1">
      <c r="BY79" s="34"/>
      <c r="BZ79" s="34"/>
      <c r="CA79" s="34"/>
      <c r="CB79" s="34"/>
      <c r="CC79" s="34"/>
      <c r="CD79" s="34"/>
      <c r="CE79" s="40"/>
      <c r="CF79" s="39"/>
      <c r="CG79" s="39"/>
      <c r="CH79" s="40"/>
      <c r="CI79" s="40"/>
      <c r="CJ79" s="40"/>
      <c r="CK79" s="40"/>
      <c r="CL79" s="40"/>
      <c r="CM79" s="40"/>
      <c r="CN79" s="40"/>
      <c r="CO79" s="40"/>
      <c r="CP79" s="40"/>
      <c r="CQ79" s="34"/>
      <c r="CR79" s="34"/>
      <c r="CS79" s="34"/>
      <c r="CT79" s="34"/>
      <c r="CU79" s="40">
        <v>65</v>
      </c>
      <c r="CV79" s="40" t="str">
        <f>VLOOKUP(65,$DB$8:$DK$79,CY$5,TRUE)</f>
        <v>WF-600X300x12x17 mm.</v>
      </c>
      <c r="CW79" s="34"/>
      <c r="CX79" s="34"/>
      <c r="CY79" s="34"/>
      <c r="CZ79" s="34"/>
      <c r="DA79" s="34"/>
      <c r="DB79" s="40">
        <v>72</v>
      </c>
      <c r="DC79" s="40" t="str">
        <f>'Steel Table'!C77</f>
        <v>WF-900x300x16x28 mm.</v>
      </c>
      <c r="DD79" s="34"/>
      <c r="DE79" s="34"/>
      <c r="DF79" s="34"/>
      <c r="DG79" s="34"/>
      <c r="DH79" s="41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</row>
    <row r="80" spans="77:126" ht="15.75" customHeight="1">
      <c r="BY80" s="34"/>
      <c r="BZ80" s="34"/>
      <c r="CA80" s="34"/>
      <c r="CB80" s="34"/>
      <c r="CC80" s="34"/>
      <c r="CD80" s="34"/>
      <c r="CE80" s="40"/>
      <c r="CF80" s="39"/>
      <c r="CG80" s="39"/>
      <c r="CH80" s="40"/>
      <c r="CI80" s="40"/>
      <c r="CJ80" s="40"/>
      <c r="CK80" s="40"/>
      <c r="CL80" s="40"/>
      <c r="CM80" s="40"/>
      <c r="CN80" s="40"/>
      <c r="CO80" s="40"/>
      <c r="CP80" s="40"/>
      <c r="CQ80" s="34"/>
      <c r="CR80" s="34"/>
      <c r="CS80" s="34"/>
      <c r="CT80" s="34"/>
      <c r="CU80" s="52">
        <v>66</v>
      </c>
      <c r="CV80" s="40" t="str">
        <f>VLOOKUP(66,$DB$8:$DK$79,CY$5,TRUE)</f>
        <v>WF-600X300x12x20 mm.</v>
      </c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</row>
    <row r="81" spans="77:126" ht="15.75" customHeight="1">
      <c r="BY81" s="34"/>
      <c r="BZ81" s="34"/>
      <c r="CA81" s="34"/>
      <c r="CB81" s="34"/>
      <c r="CC81" s="34"/>
      <c r="CD81" s="34"/>
      <c r="CE81" s="40"/>
      <c r="CF81" s="39"/>
      <c r="CG81" s="39"/>
      <c r="CH81" s="40"/>
      <c r="CI81" s="40"/>
      <c r="CJ81" s="40"/>
      <c r="CK81" s="40"/>
      <c r="CL81" s="40"/>
      <c r="CM81" s="40"/>
      <c r="CN81" s="40"/>
      <c r="CO81" s="40"/>
      <c r="CP81" s="40"/>
      <c r="CQ81" s="34"/>
      <c r="CR81" s="34"/>
      <c r="CS81" s="34"/>
      <c r="CT81" s="34"/>
      <c r="CU81" s="40">
        <v>67</v>
      </c>
      <c r="CV81" s="40" t="str">
        <f>VLOOKUP(67,$DB$8:$DK$79,CY$5,TRUE)</f>
        <v>WF-600X300x14x23 mm.</v>
      </c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</row>
    <row r="82" spans="77:126" ht="15.75" customHeight="1">
      <c r="BY82" s="34"/>
      <c r="BZ82" s="34"/>
      <c r="CA82" s="34"/>
      <c r="CB82" s="34"/>
      <c r="CC82" s="34"/>
      <c r="CD82" s="34"/>
      <c r="CE82" s="40"/>
      <c r="CF82" s="39"/>
      <c r="CG82" s="39"/>
      <c r="CH82" s="40"/>
      <c r="CI82" s="40"/>
      <c r="CJ82" s="40"/>
      <c r="CK82" s="40"/>
      <c r="CL82" s="40"/>
      <c r="CM82" s="40"/>
      <c r="CN82" s="40"/>
      <c r="CO82" s="40"/>
      <c r="CP82" s="40"/>
      <c r="CQ82" s="34"/>
      <c r="CR82" s="34"/>
      <c r="CS82" s="34"/>
      <c r="CT82" s="34"/>
      <c r="CU82" s="40">
        <v>68</v>
      </c>
      <c r="CV82" s="40" t="str">
        <f>VLOOKUP(68,$DB$8:$DK$79,CY$5,TRUE)</f>
        <v>WF-700x300x13x20 mm.</v>
      </c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</row>
    <row r="83" spans="77:126" ht="15.75" customHeight="1">
      <c r="BY83" s="34"/>
      <c r="BZ83" s="34"/>
      <c r="CA83" s="34"/>
      <c r="CB83" s="34"/>
      <c r="CC83" s="34"/>
      <c r="CD83" s="34"/>
      <c r="CE83" s="40"/>
      <c r="CF83" s="39"/>
      <c r="CG83" s="39"/>
      <c r="CH83" s="40"/>
      <c r="CI83" s="40"/>
      <c r="CJ83" s="40"/>
      <c r="CK83" s="40"/>
      <c r="CL83" s="40"/>
      <c r="CM83" s="40"/>
      <c r="CN83" s="40"/>
      <c r="CO83" s="40"/>
      <c r="CP83" s="40"/>
      <c r="CQ83" s="34"/>
      <c r="CR83" s="34"/>
      <c r="CS83" s="34"/>
      <c r="CT83" s="34"/>
      <c r="CU83" s="40">
        <v>69</v>
      </c>
      <c r="CV83" s="40" t="str">
        <f>VLOOKUP(69,$DB$8:$DK$79,CY$5,TRUE)</f>
        <v>WF-700x300x13x24 mm.</v>
      </c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</row>
    <row r="84" spans="77:126" ht="15.75" customHeight="1">
      <c r="BY84" s="34"/>
      <c r="BZ84" s="34"/>
      <c r="CA84" s="34"/>
      <c r="CB84" s="34"/>
      <c r="CC84" s="34"/>
      <c r="CD84" s="34"/>
      <c r="CE84" s="40"/>
      <c r="CF84" s="39"/>
      <c r="CG84" s="39"/>
      <c r="CH84" s="40"/>
      <c r="CI84" s="40"/>
      <c r="CJ84" s="40"/>
      <c r="CK84" s="40"/>
      <c r="CL84" s="40"/>
      <c r="CM84" s="40"/>
      <c r="CN84" s="40"/>
      <c r="CO84" s="40"/>
      <c r="CP84" s="40"/>
      <c r="CQ84" s="34"/>
      <c r="CR84" s="34"/>
      <c r="CS84" s="34"/>
      <c r="CT84" s="34"/>
      <c r="CU84" s="52">
        <v>70</v>
      </c>
      <c r="CV84" s="40" t="str">
        <f>VLOOKUP(70,$DB$8:$DK$79,CY$5,TRUE)</f>
        <v>WF-800x300x14x22 mm.</v>
      </c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</row>
    <row r="85" spans="77:126" ht="15.75" customHeight="1">
      <c r="BY85" s="34"/>
      <c r="BZ85" s="34"/>
      <c r="CA85" s="34"/>
      <c r="CB85" s="34"/>
      <c r="CC85" s="34"/>
      <c r="CD85" s="34"/>
      <c r="CE85" s="40"/>
      <c r="CF85" s="39"/>
      <c r="CG85" s="39"/>
      <c r="CH85" s="40"/>
      <c r="CI85" s="40"/>
      <c r="CJ85" s="40"/>
      <c r="CK85" s="40"/>
      <c r="CL85" s="40"/>
      <c r="CM85" s="40"/>
      <c r="CN85" s="40"/>
      <c r="CO85" s="40"/>
      <c r="CP85" s="40"/>
      <c r="CQ85" s="34"/>
      <c r="CR85" s="34"/>
      <c r="CS85" s="34"/>
      <c r="CT85" s="34"/>
      <c r="CU85" s="40">
        <v>71</v>
      </c>
      <c r="CV85" s="40" t="str">
        <f>VLOOKUP(71,$DB$8:$DK$79,CY$5,TRUE)</f>
        <v>WF-800x300x14x26 mm.</v>
      </c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</row>
    <row r="86" spans="77:126" ht="15.75" customHeight="1">
      <c r="BY86" s="34"/>
      <c r="BZ86" s="34"/>
      <c r="CA86" s="34"/>
      <c r="CB86" s="34"/>
      <c r="CC86" s="34"/>
      <c r="CD86" s="34"/>
      <c r="CE86" s="40"/>
      <c r="CF86" s="39"/>
      <c r="CG86" s="39"/>
      <c r="CH86" s="40"/>
      <c r="CI86" s="40"/>
      <c r="CJ86" s="40"/>
      <c r="CK86" s="40"/>
      <c r="CL86" s="40"/>
      <c r="CM86" s="40"/>
      <c r="CN86" s="40"/>
      <c r="CO86" s="40"/>
      <c r="CP86" s="40"/>
      <c r="CQ86" s="34"/>
      <c r="CR86" s="34"/>
      <c r="CS86" s="34"/>
      <c r="CT86" s="34"/>
      <c r="CU86" s="40">
        <v>72</v>
      </c>
      <c r="CV86" s="40" t="str">
        <f>VLOOKUP(72,$DB$8:$DK$79,CY$5,TRUE)</f>
        <v>WF-900x300x16x28 mm.</v>
      </c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</row>
    <row r="87" spans="77:126" ht="15.75" customHeight="1">
      <c r="BY87" s="34"/>
      <c r="BZ87" s="34"/>
      <c r="CA87" s="34"/>
      <c r="CB87" s="34"/>
      <c r="CC87" s="34"/>
      <c r="CD87" s="34"/>
      <c r="CE87" s="40"/>
      <c r="CF87" s="39"/>
      <c r="CG87" s="39"/>
      <c r="CH87" s="40"/>
      <c r="CI87" s="40"/>
      <c r="CJ87" s="40"/>
      <c r="CK87" s="40"/>
      <c r="CL87" s="40"/>
      <c r="CM87" s="40"/>
      <c r="CN87" s="40"/>
      <c r="CO87" s="40"/>
      <c r="CP87" s="40"/>
      <c r="CQ87" s="34"/>
      <c r="CR87" s="34"/>
      <c r="CS87" s="34"/>
      <c r="CT87" s="34"/>
      <c r="CU87" s="40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</row>
    <row r="88" spans="77:126" ht="15.75" customHeight="1">
      <c r="BY88" s="34"/>
      <c r="BZ88" s="34"/>
      <c r="CA88" s="34"/>
      <c r="CB88" s="34"/>
      <c r="CC88" s="34"/>
      <c r="CD88" s="34"/>
      <c r="CE88" s="40"/>
      <c r="CF88" s="39"/>
      <c r="CG88" s="39"/>
      <c r="CH88" s="40"/>
      <c r="CI88" s="40"/>
      <c r="CJ88" s="40"/>
      <c r="CK88" s="40"/>
      <c r="CL88" s="40"/>
      <c r="CM88" s="40"/>
      <c r="CN88" s="40"/>
      <c r="CO88" s="40"/>
      <c r="CP88" s="40"/>
      <c r="CQ88" s="34"/>
      <c r="CR88" s="34"/>
      <c r="CS88" s="34"/>
      <c r="CT88" s="34"/>
      <c r="CU88" s="52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</row>
    <row r="89" spans="77:126" ht="15.75" customHeight="1">
      <c r="BY89" s="34"/>
      <c r="BZ89" s="34"/>
      <c r="CA89" s="34"/>
      <c r="CB89" s="34"/>
      <c r="CC89" s="34"/>
      <c r="CD89" s="34"/>
      <c r="CE89" s="40"/>
      <c r="CF89" s="39"/>
      <c r="CG89" s="39"/>
      <c r="CH89" s="40"/>
      <c r="CI89" s="40"/>
      <c r="CJ89" s="40"/>
      <c r="CK89" s="40"/>
      <c r="CL89" s="40"/>
      <c r="CM89" s="40"/>
      <c r="CN89" s="40"/>
      <c r="CO89" s="40"/>
      <c r="CP89" s="40"/>
      <c r="CQ89" s="34"/>
      <c r="CR89" s="34"/>
      <c r="CS89" s="34"/>
      <c r="CT89" s="34"/>
      <c r="CU89" s="40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</row>
    <row r="90" ht="15.75" customHeight="1">
      <c r="CU90" s="40"/>
    </row>
    <row r="91" ht="15.75" customHeight="1">
      <c r="CU91" s="40"/>
    </row>
    <row r="92" ht="15.75" customHeight="1">
      <c r="CU92" s="52"/>
    </row>
    <row r="93" ht="15.75" customHeight="1">
      <c r="CU93" s="40"/>
    </row>
    <row r="94" ht="15.75" customHeight="1">
      <c r="CU94" s="40"/>
    </row>
    <row r="95" ht="15.75" customHeight="1">
      <c r="CU95" s="40"/>
    </row>
    <row r="96" ht="15.75" customHeight="1">
      <c r="CU96" s="52"/>
    </row>
    <row r="97" ht="15.75" customHeight="1">
      <c r="CU97" s="40"/>
    </row>
    <row r="98" ht="15.75" customHeight="1">
      <c r="CU98" s="40"/>
    </row>
    <row r="99" ht="15.75" customHeight="1">
      <c r="CU99" s="40"/>
    </row>
    <row r="100" ht="15.75" customHeight="1">
      <c r="CU100" s="52"/>
    </row>
    <row r="101" ht="15.75" customHeight="1">
      <c r="CU101" s="40"/>
    </row>
    <row r="102" ht="15.75" customHeight="1">
      <c r="CU102" s="40"/>
    </row>
    <row r="103" ht="15.75" customHeight="1">
      <c r="CU103" s="40"/>
    </row>
    <row r="104" ht="15.75" customHeight="1">
      <c r="CU104" s="52"/>
    </row>
    <row r="105" ht="15.75" customHeight="1">
      <c r="CU105" s="40"/>
    </row>
    <row r="106" ht="15.75" customHeight="1">
      <c r="CU106" s="40"/>
    </row>
    <row r="107" ht="15.75" customHeight="1">
      <c r="CU107" s="40"/>
    </row>
    <row r="108" ht="15.75" customHeight="1">
      <c r="CU108" s="52"/>
    </row>
    <row r="109" ht="15.75" customHeight="1">
      <c r="CU109" s="40"/>
    </row>
    <row r="110" ht="15.75" customHeight="1">
      <c r="CU110" s="40"/>
    </row>
    <row r="111" ht="15.75" customHeight="1">
      <c r="CU111" s="40"/>
    </row>
    <row r="112" ht="15.75" customHeight="1">
      <c r="CU112" s="52"/>
    </row>
    <row r="113" ht="15.75" customHeight="1">
      <c r="CU113" s="40"/>
    </row>
    <row r="114" ht="15.75" customHeight="1">
      <c r="CU114" s="40"/>
    </row>
    <row r="115" ht="15.75" customHeight="1">
      <c r="CU115" s="40"/>
    </row>
    <row r="116" ht="15.75" customHeight="1">
      <c r="CU116" s="52"/>
    </row>
    <row r="117" ht="15.75" customHeight="1">
      <c r="CU117" s="40"/>
    </row>
    <row r="118" ht="15.75" customHeight="1">
      <c r="CU118" s="40"/>
    </row>
    <row r="119" ht="15.75" customHeight="1">
      <c r="CU119" s="40"/>
    </row>
    <row r="120" ht="15.75" customHeight="1">
      <c r="CU120" s="52"/>
    </row>
    <row r="121" ht="15.75" customHeight="1">
      <c r="CU121" s="40"/>
    </row>
    <row r="122" ht="15.75" customHeight="1">
      <c r="CU122" s="40"/>
    </row>
    <row r="123" ht="15.75" customHeight="1">
      <c r="CU123" s="40"/>
    </row>
    <row r="124" ht="15.75" customHeight="1">
      <c r="CU124" s="52"/>
    </row>
    <row r="125" ht="15.75" customHeight="1">
      <c r="CU125" s="40"/>
    </row>
    <row r="126" ht="15.75" customHeight="1">
      <c r="CU126" s="40"/>
    </row>
    <row r="127" ht="15.75" customHeight="1">
      <c r="CU127" s="40"/>
    </row>
    <row r="128" ht="15.75" customHeight="1">
      <c r="CU128" s="52"/>
    </row>
    <row r="129" ht="15.75" customHeight="1">
      <c r="CU129" s="40"/>
    </row>
    <row r="130" ht="15.75" customHeight="1">
      <c r="CU130" s="40"/>
    </row>
    <row r="131" ht="15.75" customHeight="1">
      <c r="CU131" s="40"/>
    </row>
    <row r="132" ht="15.75" customHeight="1">
      <c r="CU132" s="52"/>
    </row>
    <row r="133" ht="15.75" customHeight="1">
      <c r="CU133" s="40"/>
    </row>
    <row r="134" ht="15.75" customHeight="1">
      <c r="CU134" s="40"/>
    </row>
    <row r="135" ht="15.75" customHeight="1">
      <c r="CU135" s="40"/>
    </row>
    <row r="136" ht="15.75" customHeight="1">
      <c r="CU136" s="52"/>
    </row>
    <row r="137" ht="15.75" customHeight="1">
      <c r="CU137" s="40"/>
    </row>
    <row r="138" ht="15.75" customHeight="1">
      <c r="CU138" s="40"/>
    </row>
    <row r="139" ht="15.75" customHeight="1">
      <c r="CU139" s="40"/>
    </row>
    <row r="140" ht="15.75" customHeight="1">
      <c r="CU140" s="52"/>
    </row>
    <row r="141" ht="15.75" customHeight="1">
      <c r="CU141" s="40"/>
    </row>
    <row r="142" ht="15.75" customHeight="1">
      <c r="CU142" s="40"/>
    </row>
    <row r="143" ht="15.75" customHeight="1">
      <c r="CU143" s="40"/>
    </row>
    <row r="144" ht="15.75" customHeight="1">
      <c r="CU144" s="52"/>
    </row>
  </sheetData>
  <sheetProtection password="DA3E" sheet="1"/>
  <mergeCells count="155">
    <mergeCell ref="AC9:AE9"/>
    <mergeCell ref="AC10:AE10"/>
    <mergeCell ref="AC39:AE39"/>
    <mergeCell ref="AC38:AE38"/>
    <mergeCell ref="X30:Y30"/>
    <mergeCell ref="U36:V36"/>
    <mergeCell ref="U33:V33"/>
    <mergeCell ref="AC31:AD31"/>
    <mergeCell ref="AC30:AD30"/>
    <mergeCell ref="R27:T27"/>
    <mergeCell ref="N25:P25"/>
    <mergeCell ref="Q25:R25"/>
    <mergeCell ref="N36:P36"/>
    <mergeCell ref="N35:P35"/>
    <mergeCell ref="R33:T33"/>
    <mergeCell ref="N33:P33"/>
    <mergeCell ref="N31:P31"/>
    <mergeCell ref="R36:T36"/>
    <mergeCell ref="H30:I30"/>
    <mergeCell ref="N29:P29"/>
    <mergeCell ref="K30:L30"/>
    <mergeCell ref="J27:L27"/>
    <mergeCell ref="N27:P27"/>
    <mergeCell ref="N30:P30"/>
    <mergeCell ref="Q24:R24"/>
    <mergeCell ref="Y19:Z19"/>
    <mergeCell ref="N19:P19"/>
    <mergeCell ref="B20:D20"/>
    <mergeCell ref="B19:D19"/>
    <mergeCell ref="Y21:Z21"/>
    <mergeCell ref="Y20:Z20"/>
    <mergeCell ref="S21:T21"/>
    <mergeCell ref="Q21:R21"/>
    <mergeCell ref="Q20:R20"/>
    <mergeCell ref="F20:H20"/>
    <mergeCell ref="K21:L21"/>
    <mergeCell ref="F19:H19"/>
    <mergeCell ref="AU24:AV24"/>
    <mergeCell ref="AR24:AS24"/>
    <mergeCell ref="AM24:AN24"/>
    <mergeCell ref="AP24:AQ24"/>
    <mergeCell ref="I19:J19"/>
    <mergeCell ref="V21:X21"/>
    <mergeCell ref="V20:X20"/>
    <mergeCell ref="AM25:AN25"/>
    <mergeCell ref="AP25:AQ25"/>
    <mergeCell ref="AR25:AS25"/>
    <mergeCell ref="AU25:AV25"/>
    <mergeCell ref="I20:J20"/>
    <mergeCell ref="K20:L20"/>
    <mergeCell ref="S20:T20"/>
    <mergeCell ref="AS15:AT15"/>
    <mergeCell ref="V19:X19"/>
    <mergeCell ref="S19:T19"/>
    <mergeCell ref="Q19:R19"/>
    <mergeCell ref="K19:L19"/>
    <mergeCell ref="AC19:AI19"/>
    <mergeCell ref="AR23:AS23"/>
    <mergeCell ref="AU23:AV23"/>
    <mergeCell ref="AM11:AN11"/>
    <mergeCell ref="AP11:AR11"/>
    <mergeCell ref="AS11:AT11"/>
    <mergeCell ref="AQ12:AQ13"/>
    <mergeCell ref="AN15:AO15"/>
    <mergeCell ref="AP18:AP19"/>
    <mergeCell ref="AM23:AN23"/>
    <mergeCell ref="AM38:AN38"/>
    <mergeCell ref="AM17:AN17"/>
    <mergeCell ref="AM28:AM29"/>
    <mergeCell ref="AN28:AT28"/>
    <mergeCell ref="AM34:AM35"/>
    <mergeCell ref="AM32:AN32"/>
    <mergeCell ref="AP32:AR32"/>
    <mergeCell ref="AS17:AT17"/>
    <mergeCell ref="AS32:AT32"/>
    <mergeCell ref="AP23:AQ23"/>
    <mergeCell ref="V51:AA51"/>
    <mergeCell ref="V52:AA52"/>
    <mergeCell ref="AM40:AM41"/>
    <mergeCell ref="AM44:AN44"/>
    <mergeCell ref="AM45:AN45"/>
    <mergeCell ref="AM46:AN46"/>
    <mergeCell ref="T40:V40"/>
    <mergeCell ref="W40:X40"/>
    <mergeCell ref="X48:Y48"/>
    <mergeCell ref="X43:Y43"/>
    <mergeCell ref="N11:P11"/>
    <mergeCell ref="N24:P24"/>
    <mergeCell ref="N20:P20"/>
    <mergeCell ref="N21:P21"/>
    <mergeCell ref="N12:P12"/>
    <mergeCell ref="N14:P14"/>
    <mergeCell ref="N15:P15"/>
    <mergeCell ref="N16:P16"/>
    <mergeCell ref="N17:P17"/>
    <mergeCell ref="N13:P13"/>
    <mergeCell ref="N10:P10"/>
    <mergeCell ref="E5:U5"/>
    <mergeCell ref="V5:X5"/>
    <mergeCell ref="Y5:AA5"/>
    <mergeCell ref="B7:AA7"/>
    <mergeCell ref="N9:X9"/>
    <mergeCell ref="E3:U3"/>
    <mergeCell ref="V3:X3"/>
    <mergeCell ref="Y3:AA3"/>
    <mergeCell ref="E4:U4"/>
    <mergeCell ref="V4:X4"/>
    <mergeCell ref="Y4:AA4"/>
    <mergeCell ref="AO42:AP42"/>
    <mergeCell ref="AP44:AQ44"/>
    <mergeCell ref="AR44:AS44"/>
    <mergeCell ref="AP38:AR38"/>
    <mergeCell ref="AS38:AT38"/>
    <mergeCell ref="AU46:AV46"/>
    <mergeCell ref="AK4:AW4"/>
    <mergeCell ref="AM7:AU7"/>
    <mergeCell ref="CO39:CO41"/>
    <mergeCell ref="AU44:AV44"/>
    <mergeCell ref="AP45:AQ45"/>
    <mergeCell ref="AR45:AS45"/>
    <mergeCell ref="AU45:AV45"/>
    <mergeCell ref="CI11:CJ11"/>
    <mergeCell ref="AP17:AR17"/>
    <mergeCell ref="AP46:AQ46"/>
    <mergeCell ref="AR46:AS46"/>
    <mergeCell ref="N44:P44"/>
    <mergeCell ref="N43:P43"/>
    <mergeCell ref="R44:S44"/>
    <mergeCell ref="N46:P46"/>
    <mergeCell ref="U43:W43"/>
    <mergeCell ref="U44:W44"/>
    <mergeCell ref="X46:Z46"/>
    <mergeCell ref="X44:Y44"/>
    <mergeCell ref="N47:P47"/>
    <mergeCell ref="N48:P48"/>
    <mergeCell ref="X47:Y47"/>
    <mergeCell ref="R47:S47"/>
    <mergeCell ref="U47:W47"/>
    <mergeCell ref="R48:S48"/>
    <mergeCell ref="U48:W48"/>
    <mergeCell ref="N39:P39"/>
    <mergeCell ref="Q39:R39"/>
    <mergeCell ref="R43:S43"/>
    <mergeCell ref="N40:P40"/>
    <mergeCell ref="Q40:R40"/>
    <mergeCell ref="AF31:AG31"/>
    <mergeCell ref="AF30:AG30"/>
    <mergeCell ref="AG16:AI16"/>
    <mergeCell ref="N42:P42"/>
    <mergeCell ref="X42:Z42"/>
    <mergeCell ref="AC16:AF16"/>
    <mergeCell ref="AC28:AF28"/>
    <mergeCell ref="V27:X27"/>
    <mergeCell ref="AC17:AF17"/>
    <mergeCell ref="AG17:AI17"/>
  </mergeCells>
  <conditionalFormatting sqref="N48:P48">
    <cfRule type="cellIs" priority="1" dxfId="1" operator="lessThan" stopIfTrue="1">
      <formula>$U$48</formula>
    </cfRule>
  </conditionalFormatting>
  <conditionalFormatting sqref="X44">
    <cfRule type="expression" priority="2" dxfId="1" stopIfTrue="1">
      <formula>IF($N$44&lt;$U$44,1)</formula>
    </cfRule>
  </conditionalFormatting>
  <conditionalFormatting sqref="X43 Z43">
    <cfRule type="expression" priority="3" dxfId="1" stopIfTrue="1">
      <formula>IF($N$43&gt;$U$43,1)</formula>
    </cfRule>
  </conditionalFormatting>
  <conditionalFormatting sqref="N47:P47">
    <cfRule type="cellIs" priority="4" dxfId="1" operator="greaterThan" stopIfTrue="1">
      <formula>$U$47</formula>
    </cfRule>
  </conditionalFormatting>
  <conditionalFormatting sqref="Z47 X47">
    <cfRule type="expression" priority="5" dxfId="1" stopIfTrue="1">
      <formula>IF($N$47&gt;$U$47,1)</formula>
    </cfRule>
  </conditionalFormatting>
  <conditionalFormatting sqref="Z48 X48">
    <cfRule type="expression" priority="6" dxfId="1" stopIfTrue="1">
      <formula>IF($N$48&lt;$U$48,1)</formula>
    </cfRule>
  </conditionalFormatting>
  <conditionalFormatting sqref="N44:P44">
    <cfRule type="cellIs" priority="7" dxfId="1" operator="lessThan" stopIfTrue="1">
      <formula>$U$44</formula>
    </cfRule>
  </conditionalFormatting>
  <conditionalFormatting sqref="N43:P43">
    <cfRule type="cellIs" priority="8" dxfId="1" operator="greaterThan" stopIfTrue="1">
      <formula>$U$43</formula>
    </cfRule>
  </conditionalFormatting>
  <conditionalFormatting sqref="L45:O45 L37:O37 M41:O41 L39:L41">
    <cfRule type="cellIs" priority="9" dxfId="1" operator="lessThan" stopIfTrue="1">
      <formula>$CF$18</formula>
    </cfRule>
  </conditionalFormatting>
  <conditionalFormatting sqref="I45:K45 I41 J40:K41">
    <cfRule type="cellIs" priority="10" dxfId="0" operator="greaterThan" stopIfTrue="1">
      <formula>$F$40</formula>
    </cfRule>
  </conditionalFormatting>
  <conditionalFormatting sqref="AA15:AB15">
    <cfRule type="expression" priority="11" dxfId="1" stopIfTrue="1">
      <formula>IF($Y$15&gt;$V$15,1)</formula>
    </cfRule>
  </conditionalFormatting>
  <conditionalFormatting sqref="N20:P20">
    <cfRule type="cellIs" priority="12" dxfId="1" operator="lessThan" stopIfTrue="1">
      <formula>$N$17</formula>
    </cfRule>
  </conditionalFormatting>
  <conditionalFormatting sqref="F19:H19">
    <cfRule type="expression" priority="13" dxfId="1" stopIfTrue="1">
      <formula>IF($N$20&lt;$N$17,1)</formula>
    </cfRule>
  </conditionalFormatting>
  <conditionalFormatting sqref="N19:P19 F20:H20 N21:P21 V19:X21">
    <cfRule type="expression" priority="14" dxfId="1" stopIfTrue="1">
      <formula>IF($N$20&lt;$N$17,1)</formula>
    </cfRule>
  </conditionalFormatting>
  <conditionalFormatting sqref="J39:K39 I37:K37">
    <cfRule type="cellIs" priority="15" dxfId="0" operator="greaterThan" stopIfTrue="1">
      <formula>$F$37</formula>
    </cfRule>
  </conditionalFormatting>
  <conditionalFormatting sqref="Y10:AB10">
    <cfRule type="expression" priority="16" dxfId="1" stopIfTrue="1">
      <formula>IF($V$10&lt;$Y$10,1)</formula>
    </cfRule>
  </conditionalFormatting>
  <conditionalFormatting sqref="V12:W12 AA12:AB12">
    <cfRule type="expression" priority="17" dxfId="1" stopIfTrue="1">
      <formula>IF($V$12&lt;$Y$12,1)</formula>
    </cfRule>
  </conditionalFormatting>
  <conditionalFormatting sqref="U39:V39">
    <cfRule type="expression" priority="18" dxfId="1" stopIfTrue="1">
      <formula>IF($N$39&gt;$R$39,1)</formula>
    </cfRule>
  </conditionalFormatting>
  <conditionalFormatting sqref="N33:P33">
    <cfRule type="cellIs" priority="19" dxfId="1" operator="greaterThan" stopIfTrue="1">
      <formula>$R$33</formula>
    </cfRule>
  </conditionalFormatting>
  <conditionalFormatting sqref="U33:V33">
    <cfRule type="expression" priority="20" dxfId="1" stopIfTrue="1">
      <formula>IF($N$33&gt;=$R$33,1)</formula>
    </cfRule>
  </conditionalFormatting>
  <conditionalFormatting sqref="N36:P36">
    <cfRule type="cellIs" priority="21" dxfId="1" operator="greaterThan" stopIfTrue="1">
      <formula>$N$35</formula>
    </cfRule>
  </conditionalFormatting>
  <conditionalFormatting sqref="U36:V36">
    <cfRule type="expression" priority="22" dxfId="1" stopIfTrue="1">
      <formula>IF($N$36&gt;$N$35,1)</formula>
    </cfRule>
  </conditionalFormatting>
  <conditionalFormatting sqref="N40:P40">
    <cfRule type="cellIs" priority="23" dxfId="1" operator="lessThan" stopIfTrue="1">
      <formula>$N$39</formula>
    </cfRule>
  </conditionalFormatting>
  <conditionalFormatting sqref="W40:X40">
    <cfRule type="expression" priority="24" dxfId="1" stopIfTrue="1">
      <formula>IF($N$40&lt;$N$39,1)</formula>
    </cfRule>
  </conditionalFormatting>
  <dataValidations count="5">
    <dataValidation type="list" allowBlank="1" showInputMessage="1" showErrorMessage="1" sqref="AG17">
      <formula1>"Vertical,Horizontal"</formula1>
    </dataValidation>
    <dataValidation type="list" allowBlank="1" showInputMessage="1" showErrorMessage="1" sqref="AC17">
      <formula1>"Wide Flange,I-Beam,C-Channels,Square Tube,Rectangular Tube,Steel Pipe,Light Lip Channels"</formula1>
    </dataValidation>
    <dataValidation type="list" allowBlank="1" showInputMessage="1" showErrorMessage="1" sqref="N9:X9">
      <formula1>"TIS 1227 OR JIS G3101 OR ASTM A-36,TIS 1227 OR JIS G3106 OR ASTM A-572 Gr.42,TIS 1227 OR JIS G3106 OR ASTM A-572 Gr.50, TIS 1227 OR JIS G3106"</formula1>
    </dataValidation>
    <dataValidation type="list" allowBlank="1" showInputMessage="1" showErrorMessage="1" sqref="N10:P10">
      <formula1>"SS 400,SS 490,SS 540,SM 400,SM 490,SM 520,SM 570"</formula1>
    </dataValidation>
    <dataValidation type="list" allowBlank="1" showInputMessage="1" showErrorMessage="1" sqref="AC19:AI19">
      <formula1>"One Channel,Two Channels"</formula1>
    </dataValidation>
  </dataValidations>
  <printOptions/>
  <pageMargins left="0.35433070866141736" right="0.1968503937007874" top="0.29527559055118113" bottom="0.11811023622047245" header="0.5118110236220472" footer="0.5118110236220472"/>
  <pageSetup orientation="portrait" paperSize="9" scale="97" r:id="rId3"/>
  <rowBreaks count="1" manualBreakCount="1">
    <brk id="52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C1:ER9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" sqref="J7"/>
    </sheetView>
  </sheetViews>
  <sheetFormatPr defaultColWidth="9.140625" defaultRowHeight="12.75"/>
  <cols>
    <col min="1" max="2" width="8.7109375" style="21" customWidth="1"/>
    <col min="3" max="3" width="20.7109375" style="21" hidden="1" customWidth="1"/>
    <col min="4" max="4" width="9.7109375" style="21" customWidth="1"/>
    <col min="5" max="7" width="5.7109375" style="21" customWidth="1"/>
    <col min="8" max="15" width="9.7109375" style="21" customWidth="1"/>
    <col min="16" max="17" width="6.7109375" style="22" hidden="1" customWidth="1"/>
    <col min="18" max="18" width="17.7109375" style="21" hidden="1" customWidth="1"/>
    <col min="19" max="19" width="20.57421875" style="21" hidden="1" customWidth="1"/>
    <col min="20" max="20" width="9.7109375" style="21" hidden="1" customWidth="1"/>
    <col min="21" max="24" width="5.7109375" style="21" hidden="1" customWidth="1"/>
    <col min="25" max="32" width="9.7109375" style="21" hidden="1" customWidth="1"/>
    <col min="33" max="34" width="6.7109375" style="21" hidden="1" customWidth="1"/>
    <col min="35" max="35" width="17.28125" style="21" hidden="1" customWidth="1"/>
    <col min="36" max="36" width="19.57421875" style="21" hidden="1" customWidth="1"/>
    <col min="37" max="37" width="9.7109375" style="21" hidden="1" customWidth="1"/>
    <col min="38" max="41" width="5.7109375" style="21" hidden="1" customWidth="1"/>
    <col min="42" max="51" width="9.7109375" style="21" hidden="1" customWidth="1"/>
    <col min="52" max="53" width="6.7109375" style="21" hidden="1" customWidth="1"/>
    <col min="54" max="54" width="16.140625" style="21" hidden="1" customWidth="1"/>
    <col min="55" max="55" width="18.8515625" style="21" hidden="1" customWidth="1"/>
    <col min="56" max="56" width="8.7109375" style="21" hidden="1" customWidth="1"/>
    <col min="57" max="60" width="9.7109375" style="21" hidden="1" customWidth="1"/>
    <col min="61" max="61" width="10.57421875" style="21" hidden="1" customWidth="1"/>
    <col min="62" max="62" width="12.57421875" style="21" hidden="1" customWidth="1"/>
    <col min="63" max="63" width="15.00390625" style="21" hidden="1" customWidth="1"/>
    <col min="64" max="65" width="6.7109375" style="21" hidden="1" customWidth="1"/>
    <col min="66" max="66" width="15.421875" style="21" hidden="1" customWidth="1"/>
    <col min="67" max="67" width="19.140625" style="21" hidden="1" customWidth="1"/>
    <col min="68" max="72" width="9.7109375" style="21" hidden="1" customWidth="1"/>
    <col min="73" max="73" width="10.57421875" style="21" hidden="1" customWidth="1"/>
    <col min="74" max="78" width="9.7109375" style="21" hidden="1" customWidth="1"/>
    <col min="79" max="80" width="6.7109375" style="21" hidden="1" customWidth="1"/>
    <col min="81" max="81" width="15.7109375" style="21" hidden="1" customWidth="1"/>
    <col min="82" max="82" width="17.28125" style="21" hidden="1" customWidth="1"/>
    <col min="83" max="86" width="9.7109375" style="21" hidden="1" customWidth="1"/>
    <col min="87" max="87" width="12.00390625" style="21" hidden="1" customWidth="1"/>
    <col min="88" max="88" width="15.8515625" style="21" hidden="1" customWidth="1"/>
    <col min="89" max="91" width="9.7109375" style="21" hidden="1" customWidth="1"/>
    <col min="92" max="92" width="18.7109375" style="21" hidden="1" customWidth="1"/>
    <col min="93" max="93" width="18.421875" style="21" hidden="1" customWidth="1"/>
    <col min="94" max="94" width="12.7109375" style="21" hidden="1" customWidth="1"/>
    <col min="95" max="95" width="5.7109375" style="21" hidden="1" customWidth="1"/>
    <col min="96" max="105" width="9.7109375" style="21" hidden="1" customWidth="1"/>
    <col min="106" max="110" width="6.7109375" style="21" hidden="1" customWidth="1"/>
    <col min="111" max="111" width="18.421875" style="21" hidden="1" customWidth="1"/>
    <col min="112" max="112" width="12.7109375" style="21" hidden="1" customWidth="1"/>
    <col min="113" max="113" width="5.7109375" style="21" hidden="1" customWidth="1"/>
    <col min="114" max="123" width="9.7109375" style="21" hidden="1" customWidth="1"/>
    <col min="124" max="131" width="6.7109375" style="21" hidden="1" customWidth="1"/>
    <col min="132" max="132" width="9.7109375" style="21" hidden="1" customWidth="1"/>
    <col min="133" max="133" width="18.140625" style="21" hidden="1" customWidth="1"/>
    <col min="134" max="134" width="20.421875" style="21" hidden="1" customWidth="1"/>
    <col min="135" max="149" width="8.7109375" style="21" hidden="1" customWidth="1"/>
    <col min="150" max="16384" width="8.7109375" style="21" customWidth="1"/>
  </cols>
  <sheetData>
    <row r="1" spans="4:131" ht="24.75" thickBot="1">
      <c r="D1" s="506" t="s">
        <v>134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T1" s="484" t="s">
        <v>171</v>
      </c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K1" s="484" t="s">
        <v>188</v>
      </c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BE1" s="484" t="s">
        <v>218</v>
      </c>
      <c r="BF1" s="484"/>
      <c r="BG1" s="484"/>
      <c r="BH1" s="484"/>
      <c r="BI1" s="484"/>
      <c r="BJ1" s="484"/>
      <c r="BK1" s="484"/>
      <c r="BQ1" s="484" t="s">
        <v>253</v>
      </c>
      <c r="BR1" s="484"/>
      <c r="BS1" s="484"/>
      <c r="BT1" s="484"/>
      <c r="BU1" s="484"/>
      <c r="BV1" s="484"/>
      <c r="BW1" s="484"/>
      <c r="BX1" s="484"/>
      <c r="BY1" s="484"/>
      <c r="BZ1" s="23"/>
      <c r="CE1" s="506" t="s">
        <v>278</v>
      </c>
      <c r="CF1" s="506"/>
      <c r="CG1" s="506"/>
      <c r="CH1" s="506"/>
      <c r="CI1" s="506"/>
      <c r="CJ1" s="506"/>
      <c r="CK1" s="506"/>
      <c r="CL1" s="506"/>
      <c r="CP1" s="484" t="s">
        <v>304</v>
      </c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164"/>
      <c r="DC1" s="164"/>
      <c r="DD1" s="164"/>
      <c r="DE1" s="164"/>
      <c r="DF1" s="164"/>
      <c r="DH1" s="484" t="s">
        <v>304</v>
      </c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164"/>
      <c r="DU1" s="164"/>
      <c r="DV1" s="164"/>
      <c r="DW1" s="164"/>
      <c r="DX1" s="164"/>
      <c r="DY1" s="164"/>
      <c r="DZ1" s="164"/>
      <c r="EA1" s="164"/>
    </row>
    <row r="2" spans="4:90" ht="15" customHeight="1" thickBot="1"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BE2" s="164"/>
      <c r="BF2" s="164"/>
      <c r="BG2" s="164"/>
      <c r="BH2" s="164"/>
      <c r="BI2" s="164"/>
      <c r="BJ2" s="164"/>
      <c r="BK2" s="164"/>
      <c r="BQ2" s="164"/>
      <c r="BR2" s="164"/>
      <c r="BS2" s="164"/>
      <c r="BT2" s="164"/>
      <c r="BU2" s="164"/>
      <c r="BV2" s="164"/>
      <c r="BW2" s="164"/>
      <c r="BX2" s="164"/>
      <c r="BY2" s="164"/>
      <c r="BZ2" s="23"/>
      <c r="CE2" s="303" t="s">
        <v>254</v>
      </c>
      <c r="CF2" s="292" t="s">
        <v>257</v>
      </c>
      <c r="CG2" s="510" t="s">
        <v>201</v>
      </c>
      <c r="CH2" s="292" t="s">
        <v>261</v>
      </c>
      <c r="CI2" s="293" t="s">
        <v>262</v>
      </c>
      <c r="CJ2" s="292" t="s">
        <v>265</v>
      </c>
      <c r="CK2" s="292" t="s">
        <v>268</v>
      </c>
      <c r="CL2" s="294" t="s">
        <v>269</v>
      </c>
    </row>
    <row r="3" spans="4:131" ht="15" thickBot="1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BD3" s="509" t="s">
        <v>235</v>
      </c>
      <c r="BE3" s="510"/>
      <c r="BF3" s="292" t="s">
        <v>201</v>
      </c>
      <c r="BG3" s="293" t="s">
        <v>140</v>
      </c>
      <c r="BH3" s="292" t="s">
        <v>205</v>
      </c>
      <c r="BI3" s="293" t="s">
        <v>206</v>
      </c>
      <c r="BJ3" s="292" t="s">
        <v>140</v>
      </c>
      <c r="BK3" s="294" t="s">
        <v>209</v>
      </c>
      <c r="BL3" s="24"/>
      <c r="BM3" s="24"/>
      <c r="BN3" s="22"/>
      <c r="BP3" s="509" t="s">
        <v>235</v>
      </c>
      <c r="BQ3" s="510"/>
      <c r="BR3" s="292" t="s">
        <v>201</v>
      </c>
      <c r="BS3" s="293" t="s">
        <v>140</v>
      </c>
      <c r="BT3" s="292" t="s">
        <v>205</v>
      </c>
      <c r="BU3" s="510" t="s">
        <v>143</v>
      </c>
      <c r="BV3" s="510"/>
      <c r="BW3" s="520" t="s">
        <v>225</v>
      </c>
      <c r="BX3" s="521"/>
      <c r="BY3" s="525" t="s">
        <v>228</v>
      </c>
      <c r="BZ3" s="521"/>
      <c r="CE3" s="295" t="s">
        <v>255</v>
      </c>
      <c r="CF3" s="308" t="s">
        <v>258</v>
      </c>
      <c r="CG3" s="528"/>
      <c r="CH3" s="308" t="s">
        <v>142</v>
      </c>
      <c r="CI3" s="296" t="s">
        <v>263</v>
      </c>
      <c r="CJ3" s="308" t="s">
        <v>143</v>
      </c>
      <c r="CK3" s="308" t="s">
        <v>140</v>
      </c>
      <c r="CL3" s="309" t="s">
        <v>270</v>
      </c>
      <c r="CP3" s="485" t="s">
        <v>279</v>
      </c>
      <c r="CQ3" s="486"/>
      <c r="CR3" s="292" t="s">
        <v>140</v>
      </c>
      <c r="CS3" s="293" t="s">
        <v>205</v>
      </c>
      <c r="CT3" s="489" t="s">
        <v>283</v>
      </c>
      <c r="CU3" s="490"/>
      <c r="CV3" s="491" t="s">
        <v>287</v>
      </c>
      <c r="CW3" s="492"/>
      <c r="CX3" s="489" t="s">
        <v>144</v>
      </c>
      <c r="CY3" s="490"/>
      <c r="CZ3" s="491" t="s">
        <v>146</v>
      </c>
      <c r="DA3" s="490"/>
      <c r="DB3" s="24"/>
      <c r="DC3" s="24"/>
      <c r="DD3" s="24"/>
      <c r="DE3" s="24"/>
      <c r="DF3" s="24"/>
      <c r="DH3" s="485" t="s">
        <v>279</v>
      </c>
      <c r="DI3" s="486"/>
      <c r="DJ3" s="292" t="s">
        <v>140</v>
      </c>
      <c r="DK3" s="293" t="s">
        <v>205</v>
      </c>
      <c r="DL3" s="489" t="s">
        <v>283</v>
      </c>
      <c r="DM3" s="490"/>
      <c r="DN3" s="491" t="s">
        <v>287</v>
      </c>
      <c r="DO3" s="492"/>
      <c r="DP3" s="489" t="s">
        <v>144</v>
      </c>
      <c r="DQ3" s="490"/>
      <c r="DR3" s="491" t="s">
        <v>146</v>
      </c>
      <c r="DS3" s="490"/>
      <c r="DT3" s="24"/>
      <c r="DU3" s="24"/>
      <c r="DV3" s="24"/>
      <c r="DW3" s="24"/>
      <c r="DX3" s="24"/>
      <c r="DY3" s="24"/>
      <c r="DZ3" s="24"/>
      <c r="EA3" s="24"/>
    </row>
    <row r="4" spans="4:131" ht="15.75">
      <c r="D4" s="500" t="s">
        <v>135</v>
      </c>
      <c r="E4" s="501"/>
      <c r="F4" s="501"/>
      <c r="G4" s="507"/>
      <c r="H4" s="235" t="s">
        <v>140</v>
      </c>
      <c r="I4" s="192" t="s">
        <v>142</v>
      </c>
      <c r="J4" s="502" t="s">
        <v>143</v>
      </c>
      <c r="K4" s="499"/>
      <c r="L4" s="498" t="s">
        <v>144</v>
      </c>
      <c r="M4" s="499"/>
      <c r="N4" s="498" t="s">
        <v>146</v>
      </c>
      <c r="O4" s="499"/>
      <c r="T4" s="500" t="s">
        <v>135</v>
      </c>
      <c r="U4" s="501"/>
      <c r="V4" s="501"/>
      <c r="W4" s="501"/>
      <c r="X4" s="501"/>
      <c r="Y4" s="235" t="s">
        <v>140</v>
      </c>
      <c r="Z4" s="193" t="s">
        <v>142</v>
      </c>
      <c r="AA4" s="502" t="s">
        <v>143</v>
      </c>
      <c r="AB4" s="499"/>
      <c r="AC4" s="498" t="s">
        <v>144</v>
      </c>
      <c r="AD4" s="499"/>
      <c r="AE4" s="498" t="s">
        <v>146</v>
      </c>
      <c r="AF4" s="499"/>
      <c r="AK4" s="500" t="s">
        <v>135</v>
      </c>
      <c r="AL4" s="501"/>
      <c r="AM4" s="501"/>
      <c r="AN4" s="501"/>
      <c r="AO4" s="501"/>
      <c r="AP4" s="235" t="s">
        <v>140</v>
      </c>
      <c r="AQ4" s="193" t="s">
        <v>142</v>
      </c>
      <c r="AR4" s="500" t="s">
        <v>198</v>
      </c>
      <c r="AS4" s="507"/>
      <c r="AT4" s="498" t="s">
        <v>143</v>
      </c>
      <c r="AU4" s="513"/>
      <c r="AV4" s="502" t="s">
        <v>144</v>
      </c>
      <c r="AW4" s="499"/>
      <c r="AX4" s="498" t="s">
        <v>146</v>
      </c>
      <c r="AY4" s="499"/>
      <c r="BD4" s="511" t="s">
        <v>236</v>
      </c>
      <c r="BE4" s="512"/>
      <c r="BF4" s="297" t="s">
        <v>202</v>
      </c>
      <c r="BG4" s="298" t="s">
        <v>167</v>
      </c>
      <c r="BH4" s="297" t="s">
        <v>142</v>
      </c>
      <c r="BI4" s="298" t="s">
        <v>207</v>
      </c>
      <c r="BJ4" s="297" t="s">
        <v>467</v>
      </c>
      <c r="BK4" s="299" t="s">
        <v>210</v>
      </c>
      <c r="BL4" s="22"/>
      <c r="BM4" s="22"/>
      <c r="BN4" s="22"/>
      <c r="BP4" s="511" t="s">
        <v>236</v>
      </c>
      <c r="BQ4" s="512"/>
      <c r="BR4" s="297" t="s">
        <v>202</v>
      </c>
      <c r="BS4" s="298" t="s">
        <v>167</v>
      </c>
      <c r="BT4" s="297" t="s">
        <v>142</v>
      </c>
      <c r="BU4" s="524" t="s">
        <v>469</v>
      </c>
      <c r="BV4" s="524"/>
      <c r="BW4" s="522" t="s">
        <v>470</v>
      </c>
      <c r="BX4" s="523"/>
      <c r="BY4" s="526" t="s">
        <v>227</v>
      </c>
      <c r="BZ4" s="523"/>
      <c r="CE4" s="310" t="s">
        <v>256</v>
      </c>
      <c r="CF4" s="301" t="s">
        <v>259</v>
      </c>
      <c r="CG4" s="300" t="s">
        <v>260</v>
      </c>
      <c r="CH4" s="301" t="s">
        <v>91</v>
      </c>
      <c r="CI4" s="300" t="s">
        <v>264</v>
      </c>
      <c r="CJ4" s="301" t="s">
        <v>266</v>
      </c>
      <c r="CK4" s="301" t="s">
        <v>271</v>
      </c>
      <c r="CL4" s="302" t="s">
        <v>139</v>
      </c>
      <c r="CP4" s="487"/>
      <c r="CQ4" s="488"/>
      <c r="CR4" s="297" t="s">
        <v>263</v>
      </c>
      <c r="CS4" s="298" t="s">
        <v>142</v>
      </c>
      <c r="CT4" s="493" t="s">
        <v>284</v>
      </c>
      <c r="CU4" s="494"/>
      <c r="CV4" s="495" t="s">
        <v>469</v>
      </c>
      <c r="CW4" s="496"/>
      <c r="CX4" s="493" t="s">
        <v>227</v>
      </c>
      <c r="CY4" s="494"/>
      <c r="CZ4" s="495" t="s">
        <v>474</v>
      </c>
      <c r="DA4" s="494"/>
      <c r="DB4" s="24"/>
      <c r="DC4" s="24"/>
      <c r="DD4" s="24"/>
      <c r="DE4" s="24"/>
      <c r="DF4" s="24"/>
      <c r="DH4" s="487"/>
      <c r="DI4" s="488"/>
      <c r="DJ4" s="297" t="s">
        <v>263</v>
      </c>
      <c r="DK4" s="298" t="s">
        <v>142</v>
      </c>
      <c r="DL4" s="493" t="s">
        <v>284</v>
      </c>
      <c r="DM4" s="494"/>
      <c r="DN4" s="495" t="s">
        <v>469</v>
      </c>
      <c r="DO4" s="496"/>
      <c r="DP4" s="493" t="s">
        <v>227</v>
      </c>
      <c r="DQ4" s="494"/>
      <c r="DR4" s="495" t="s">
        <v>474</v>
      </c>
      <c r="DS4" s="494"/>
      <c r="DT4" s="24"/>
      <c r="DU4" s="24"/>
      <c r="DV4" s="24"/>
      <c r="DW4" s="24"/>
      <c r="DX4" s="24"/>
      <c r="DY4" s="24"/>
      <c r="DZ4" s="24"/>
      <c r="EA4" s="24"/>
    </row>
    <row r="5" spans="4:131" ht="16.5" thickBot="1">
      <c r="D5" s="214" t="s">
        <v>136</v>
      </c>
      <c r="E5" s="215" t="s">
        <v>137</v>
      </c>
      <c r="F5" s="215" t="s">
        <v>138</v>
      </c>
      <c r="G5" s="216" t="s">
        <v>139</v>
      </c>
      <c r="H5" s="236" t="s">
        <v>167</v>
      </c>
      <c r="I5" s="237" t="s">
        <v>141</v>
      </c>
      <c r="J5" s="214" t="s">
        <v>79</v>
      </c>
      <c r="K5" s="216" t="s">
        <v>80</v>
      </c>
      <c r="L5" s="234" t="s">
        <v>145</v>
      </c>
      <c r="M5" s="216" t="s">
        <v>83</v>
      </c>
      <c r="N5" s="234" t="s">
        <v>168</v>
      </c>
      <c r="O5" s="216" t="s">
        <v>169</v>
      </c>
      <c r="R5" s="22"/>
      <c r="T5" s="214" t="s">
        <v>136</v>
      </c>
      <c r="U5" s="215" t="s">
        <v>137</v>
      </c>
      <c r="V5" s="215" t="s">
        <v>138</v>
      </c>
      <c r="W5" s="215" t="s">
        <v>172</v>
      </c>
      <c r="X5" s="288" t="s">
        <v>173</v>
      </c>
      <c r="Y5" s="236" t="s">
        <v>167</v>
      </c>
      <c r="Z5" s="289" t="s">
        <v>141</v>
      </c>
      <c r="AA5" s="214" t="s">
        <v>79</v>
      </c>
      <c r="AB5" s="216" t="s">
        <v>80</v>
      </c>
      <c r="AC5" s="234" t="s">
        <v>145</v>
      </c>
      <c r="AD5" s="216" t="s">
        <v>83</v>
      </c>
      <c r="AE5" s="234" t="s">
        <v>168</v>
      </c>
      <c r="AF5" s="216" t="s">
        <v>169</v>
      </c>
      <c r="AK5" s="214" t="s">
        <v>136</v>
      </c>
      <c r="AL5" s="215" t="s">
        <v>137</v>
      </c>
      <c r="AM5" s="215" t="s">
        <v>138</v>
      </c>
      <c r="AN5" s="215" t="s">
        <v>172</v>
      </c>
      <c r="AO5" s="288" t="s">
        <v>173</v>
      </c>
      <c r="AP5" s="236" t="s">
        <v>167</v>
      </c>
      <c r="AQ5" s="289" t="s">
        <v>141</v>
      </c>
      <c r="AR5" s="214" t="s">
        <v>199</v>
      </c>
      <c r="AS5" s="216" t="s">
        <v>200</v>
      </c>
      <c r="AT5" s="234" t="s">
        <v>79</v>
      </c>
      <c r="AU5" s="288" t="s">
        <v>80</v>
      </c>
      <c r="AV5" s="214" t="s">
        <v>145</v>
      </c>
      <c r="AW5" s="216" t="s">
        <v>83</v>
      </c>
      <c r="AX5" s="234" t="s">
        <v>168</v>
      </c>
      <c r="AY5" s="216" t="s">
        <v>169</v>
      </c>
      <c r="BD5" s="214" t="s">
        <v>237</v>
      </c>
      <c r="BE5" s="289" t="s">
        <v>73</v>
      </c>
      <c r="BF5" s="236" t="s">
        <v>203</v>
      </c>
      <c r="BG5" s="289" t="s">
        <v>204</v>
      </c>
      <c r="BH5" s="236" t="s">
        <v>141</v>
      </c>
      <c r="BI5" s="289" t="s">
        <v>468</v>
      </c>
      <c r="BJ5" s="236" t="s">
        <v>208</v>
      </c>
      <c r="BK5" s="305" t="s">
        <v>211</v>
      </c>
      <c r="BL5" s="22"/>
      <c r="BM5" s="22"/>
      <c r="BN5" s="22"/>
      <c r="BP5" s="214" t="s">
        <v>237</v>
      </c>
      <c r="BQ5" s="288" t="s">
        <v>73</v>
      </c>
      <c r="BR5" s="236" t="s">
        <v>203</v>
      </c>
      <c r="BS5" s="289" t="s">
        <v>204</v>
      </c>
      <c r="BT5" s="236" t="s">
        <v>141</v>
      </c>
      <c r="BU5" s="234" t="s">
        <v>226</v>
      </c>
      <c r="BV5" s="288" t="s">
        <v>88</v>
      </c>
      <c r="BW5" s="214" t="s">
        <v>89</v>
      </c>
      <c r="BX5" s="216" t="s">
        <v>90</v>
      </c>
      <c r="BY5" s="289" t="s">
        <v>229</v>
      </c>
      <c r="BZ5" s="216" t="s">
        <v>230</v>
      </c>
      <c r="CE5" s="237" t="s">
        <v>237</v>
      </c>
      <c r="CF5" s="236" t="s">
        <v>73</v>
      </c>
      <c r="CG5" s="289" t="s">
        <v>73</v>
      </c>
      <c r="CH5" s="236" t="s">
        <v>74</v>
      </c>
      <c r="CI5" s="289" t="s">
        <v>471</v>
      </c>
      <c r="CJ5" s="236" t="s">
        <v>472</v>
      </c>
      <c r="CK5" s="236" t="s">
        <v>473</v>
      </c>
      <c r="CL5" s="305" t="s">
        <v>104</v>
      </c>
      <c r="CP5" s="214" t="s">
        <v>280</v>
      </c>
      <c r="CQ5" s="288" t="s">
        <v>203</v>
      </c>
      <c r="CR5" s="236" t="s">
        <v>281</v>
      </c>
      <c r="CS5" s="289" t="s">
        <v>282</v>
      </c>
      <c r="CT5" s="214" t="s">
        <v>285</v>
      </c>
      <c r="CU5" s="216" t="s">
        <v>286</v>
      </c>
      <c r="CV5" s="234" t="s">
        <v>87</v>
      </c>
      <c r="CW5" s="288" t="s">
        <v>88</v>
      </c>
      <c r="CX5" s="214" t="s">
        <v>229</v>
      </c>
      <c r="CY5" s="216" t="s">
        <v>230</v>
      </c>
      <c r="CZ5" s="234" t="s">
        <v>89</v>
      </c>
      <c r="DA5" s="216" t="s">
        <v>90</v>
      </c>
      <c r="DB5" s="24"/>
      <c r="DC5" s="24"/>
      <c r="DD5" s="24"/>
      <c r="DE5" s="24"/>
      <c r="DF5" s="24"/>
      <c r="DG5" s="191"/>
      <c r="DH5" s="214" t="s">
        <v>280</v>
      </c>
      <c r="DI5" s="288" t="s">
        <v>203</v>
      </c>
      <c r="DJ5" s="236" t="s">
        <v>281</v>
      </c>
      <c r="DK5" s="289" t="s">
        <v>282</v>
      </c>
      <c r="DL5" s="214" t="s">
        <v>285</v>
      </c>
      <c r="DM5" s="216" t="s">
        <v>286</v>
      </c>
      <c r="DN5" s="234" t="s">
        <v>87</v>
      </c>
      <c r="DO5" s="288" t="s">
        <v>88</v>
      </c>
      <c r="DP5" s="214" t="s">
        <v>229</v>
      </c>
      <c r="DQ5" s="216" t="s">
        <v>230</v>
      </c>
      <c r="DR5" s="234" t="s">
        <v>89</v>
      </c>
      <c r="DS5" s="216" t="s">
        <v>90</v>
      </c>
      <c r="DT5" s="24"/>
      <c r="DU5" s="24"/>
      <c r="DV5" s="24"/>
      <c r="DW5" s="24"/>
      <c r="DX5" s="24"/>
      <c r="DY5" s="24"/>
      <c r="DZ5" s="24"/>
      <c r="EA5" s="24"/>
    </row>
    <row r="6" spans="3:131" ht="14.25">
      <c r="C6" s="160" t="str">
        <f aca="true" t="shared" si="0" ref="C6:C11">"WF-"&amp;D6&amp;"x"&amp;E6&amp;"x"&amp;F6&amp;" mm."</f>
        <v>WF-100x100x6x8 mm.</v>
      </c>
      <c r="D6" s="195" t="s">
        <v>148</v>
      </c>
      <c r="E6" s="173">
        <v>6</v>
      </c>
      <c r="F6" s="167">
        <v>8</v>
      </c>
      <c r="G6" s="217">
        <v>10</v>
      </c>
      <c r="H6" s="227">
        <v>21.9</v>
      </c>
      <c r="I6" s="24">
        <v>17.2</v>
      </c>
      <c r="J6" s="248">
        <v>383</v>
      </c>
      <c r="K6" s="249">
        <v>134</v>
      </c>
      <c r="L6" s="179">
        <v>4.18</v>
      </c>
      <c r="M6" s="196">
        <v>2.47</v>
      </c>
      <c r="N6" s="179">
        <v>76.5</v>
      </c>
      <c r="O6" s="196">
        <v>26.7</v>
      </c>
      <c r="P6" s="22">
        <v>100</v>
      </c>
      <c r="Q6" s="22">
        <v>100</v>
      </c>
      <c r="S6" s="160" t="str">
        <f>"I-"&amp;T6&amp;"x"&amp;U6&amp;"x"&amp;V6&amp;" mm."</f>
        <v>I-100x75x5x8 mm.</v>
      </c>
      <c r="T6" s="276" t="s">
        <v>174</v>
      </c>
      <c r="U6" s="167">
        <v>5</v>
      </c>
      <c r="V6" s="24">
        <v>8</v>
      </c>
      <c r="W6" s="167">
        <v>7</v>
      </c>
      <c r="X6" s="24">
        <v>3.5</v>
      </c>
      <c r="Y6" s="212">
        <v>16.43</v>
      </c>
      <c r="Z6" s="24">
        <v>12.9</v>
      </c>
      <c r="AA6" s="195">
        <v>281</v>
      </c>
      <c r="AB6" s="277">
        <v>47.3</v>
      </c>
      <c r="AC6" s="179">
        <v>4.14</v>
      </c>
      <c r="AD6" s="277">
        <v>1.7</v>
      </c>
      <c r="AE6" s="179">
        <v>56.2</v>
      </c>
      <c r="AF6" s="277">
        <v>12.6</v>
      </c>
      <c r="AG6" s="22">
        <v>100</v>
      </c>
      <c r="AH6" s="22">
        <v>75</v>
      </c>
      <c r="AJ6" s="160" t="str">
        <f>"[-"&amp;AK6&amp;"x"&amp;AL6&amp;"x"&amp;AM6&amp;" mm."</f>
        <v>[-75x40x5x7 mm.</v>
      </c>
      <c r="AK6" s="195" t="s">
        <v>189</v>
      </c>
      <c r="AL6" s="167">
        <v>5</v>
      </c>
      <c r="AM6" s="167">
        <v>7</v>
      </c>
      <c r="AN6" s="167">
        <v>8</v>
      </c>
      <c r="AO6" s="178">
        <v>4</v>
      </c>
      <c r="AP6" s="212">
        <v>8.82</v>
      </c>
      <c r="AQ6" s="24">
        <v>6.92</v>
      </c>
      <c r="AR6" s="195">
        <v>0</v>
      </c>
      <c r="AS6" s="196">
        <v>1.28</v>
      </c>
      <c r="AT6" s="179">
        <v>75.3</v>
      </c>
      <c r="AU6" s="178">
        <v>12.2</v>
      </c>
      <c r="AV6" s="195">
        <v>2.92</v>
      </c>
      <c r="AW6" s="196">
        <v>1.17</v>
      </c>
      <c r="AX6" s="179">
        <v>20.1</v>
      </c>
      <c r="AY6" s="196">
        <v>4.47</v>
      </c>
      <c r="AZ6" s="22">
        <v>75</v>
      </c>
      <c r="BA6" s="22">
        <v>40</v>
      </c>
      <c r="BC6" s="21" t="str">
        <f>"Tube-"&amp;BE$6&amp;"x"&amp;BF6&amp;" mm."</f>
        <v>Tube-25x25x2 mm.</v>
      </c>
      <c r="BD6" s="482" t="s">
        <v>238</v>
      </c>
      <c r="BE6" s="504" t="s">
        <v>212</v>
      </c>
      <c r="BF6" s="212">
        <v>2</v>
      </c>
      <c r="BG6" s="24">
        <v>1.737</v>
      </c>
      <c r="BH6" s="212">
        <v>1.36</v>
      </c>
      <c r="BI6" s="24">
        <v>1.48</v>
      </c>
      <c r="BJ6" s="212">
        <v>1.19</v>
      </c>
      <c r="BK6" s="277">
        <v>0.92</v>
      </c>
      <c r="BL6" s="22">
        <v>25</v>
      </c>
      <c r="BO6" s="21" t="str">
        <f>"Tube-"&amp;BQ$6&amp;"x"&amp;BR6&amp;" mm."</f>
        <v>Tube-50x25x2 mm.</v>
      </c>
      <c r="BP6" s="482" t="s">
        <v>246</v>
      </c>
      <c r="BQ6" s="504" t="s">
        <v>231</v>
      </c>
      <c r="BR6" s="212">
        <v>2</v>
      </c>
      <c r="BS6" s="24">
        <v>2.7</v>
      </c>
      <c r="BT6" s="212">
        <v>2.12</v>
      </c>
      <c r="BU6" s="179">
        <v>8.17</v>
      </c>
      <c r="BV6" s="178">
        <v>2.76</v>
      </c>
      <c r="BW6" s="195">
        <v>3.27</v>
      </c>
      <c r="BX6" s="196">
        <v>2.2</v>
      </c>
      <c r="BY6" s="179">
        <v>1.74</v>
      </c>
      <c r="BZ6" s="196">
        <v>1.01</v>
      </c>
      <c r="CA6" s="22">
        <v>50</v>
      </c>
      <c r="CB6" s="22">
        <v>25</v>
      </c>
      <c r="CD6" s="21" t="str">
        <f>"Pipe-D"&amp;CF6&amp;"x"&amp;CG6&amp;" mm."</f>
        <v>Pipe-D21.7x2 mm.</v>
      </c>
      <c r="CE6" s="307" t="s">
        <v>272</v>
      </c>
      <c r="CF6" s="311">
        <v>21.7</v>
      </c>
      <c r="CG6" s="28">
        <v>2</v>
      </c>
      <c r="CH6" s="284">
        <v>0.97</v>
      </c>
      <c r="CI6" s="28">
        <v>1.24</v>
      </c>
      <c r="CJ6" s="284">
        <v>0.61</v>
      </c>
      <c r="CK6" s="284">
        <v>0.56</v>
      </c>
      <c r="CL6" s="278">
        <v>0.7</v>
      </c>
      <c r="CM6" s="21">
        <v>21.4</v>
      </c>
      <c r="CO6" s="21" t="str">
        <f>"[-"&amp;CP$6&amp;"x"&amp;CQ6&amp;" mm."</f>
        <v>[-60x30x10x1.6 mm.</v>
      </c>
      <c r="CP6" s="482" t="s">
        <v>288</v>
      </c>
      <c r="CQ6" s="178">
        <v>1.6</v>
      </c>
      <c r="CR6" s="212">
        <v>2.072</v>
      </c>
      <c r="CS6" s="24">
        <v>1.63</v>
      </c>
      <c r="CT6" s="195">
        <v>0</v>
      </c>
      <c r="CU6" s="196">
        <v>1.06</v>
      </c>
      <c r="CV6" s="179">
        <v>11.6</v>
      </c>
      <c r="CW6" s="178">
        <v>2.56</v>
      </c>
      <c r="CX6" s="195">
        <v>2.37</v>
      </c>
      <c r="CY6" s="196">
        <v>1.11</v>
      </c>
      <c r="CZ6" s="179">
        <v>3.88</v>
      </c>
      <c r="DA6" s="196">
        <v>1.32</v>
      </c>
      <c r="DB6" s="24">
        <v>60</v>
      </c>
      <c r="DC6" s="24">
        <v>30</v>
      </c>
      <c r="DD6" s="24">
        <v>10</v>
      </c>
      <c r="DE6" s="24"/>
      <c r="DF6" s="24"/>
      <c r="DG6" s="21" t="str">
        <f>"2[]-"&amp;DH$6&amp;"x"&amp;DI6&amp;" mm."</f>
        <v>2[]-60x30x10x1.6 mm.</v>
      </c>
      <c r="DH6" s="482" t="s">
        <v>288</v>
      </c>
      <c r="DI6" s="178">
        <v>1.6</v>
      </c>
      <c r="DJ6" s="212">
        <f>CR6*2</f>
        <v>4.144</v>
      </c>
      <c r="DK6" s="24">
        <f>CS6*2</f>
        <v>3.26</v>
      </c>
      <c r="DL6" s="195">
        <v>0</v>
      </c>
      <c r="DM6" s="196">
        <v>1.06</v>
      </c>
      <c r="DN6" s="179">
        <f>CV6*2</f>
        <v>23.2</v>
      </c>
      <c r="DO6" s="178">
        <f>CW6*2</f>
        <v>5.12</v>
      </c>
      <c r="DP6" s="195">
        <v>2.37</v>
      </c>
      <c r="DQ6" s="196">
        <v>1.11</v>
      </c>
      <c r="DR6" s="179">
        <f>CZ6*2</f>
        <v>7.76</v>
      </c>
      <c r="DS6" s="196">
        <f>DA6*2</f>
        <v>2.64</v>
      </c>
      <c r="DT6" s="24">
        <f>DB6</f>
        <v>60</v>
      </c>
      <c r="DU6" s="24">
        <f>DC6*2</f>
        <v>60</v>
      </c>
      <c r="DV6" s="24">
        <f>DD6</f>
        <v>10</v>
      </c>
      <c r="DW6" s="24"/>
      <c r="DX6" s="24"/>
      <c r="DY6" s="24"/>
      <c r="DZ6" s="24"/>
      <c r="EA6" s="24"/>
    </row>
    <row r="7" spans="3:135" ht="14.25" customHeight="1">
      <c r="C7" s="160" t="str">
        <f t="shared" si="0"/>
        <v>WF-125X125x6.5x9 mm.</v>
      </c>
      <c r="D7" s="197" t="s">
        <v>149</v>
      </c>
      <c r="E7" s="176">
        <v>6.5</v>
      </c>
      <c r="F7" s="168">
        <v>9</v>
      </c>
      <c r="G7" s="218">
        <v>10</v>
      </c>
      <c r="H7" s="213">
        <v>30.31</v>
      </c>
      <c r="I7" s="177">
        <v>23.8</v>
      </c>
      <c r="J7" s="250">
        <v>847</v>
      </c>
      <c r="K7" s="251">
        <v>294</v>
      </c>
      <c r="L7" s="171">
        <v>5.29</v>
      </c>
      <c r="M7" s="198">
        <v>3.11</v>
      </c>
      <c r="N7" s="171">
        <v>136</v>
      </c>
      <c r="O7" s="198">
        <v>47</v>
      </c>
      <c r="P7" s="22">
        <v>125</v>
      </c>
      <c r="Q7" s="22">
        <v>125</v>
      </c>
      <c r="S7" s="160" t="str">
        <f aca="true" t="shared" si="1" ref="S7:S12">"I-"&amp;T7&amp;"x"&amp;U7&amp;"x"&amp;V7&amp;" mm."</f>
        <v>I-125x75x5.5x9.5 mm.</v>
      </c>
      <c r="T7" s="274" t="s">
        <v>175</v>
      </c>
      <c r="U7" s="168">
        <v>5.5</v>
      </c>
      <c r="V7" s="177">
        <v>9.5</v>
      </c>
      <c r="W7" s="168">
        <v>9</v>
      </c>
      <c r="X7" s="177">
        <v>4.5</v>
      </c>
      <c r="Y7" s="211">
        <v>20.45</v>
      </c>
      <c r="Z7" s="177">
        <v>16.1</v>
      </c>
      <c r="AA7" s="197">
        <v>538</v>
      </c>
      <c r="AB7" s="275">
        <v>57.5</v>
      </c>
      <c r="AC7" s="171">
        <v>5.13</v>
      </c>
      <c r="AD7" s="275">
        <v>1.68</v>
      </c>
      <c r="AE7" s="171">
        <v>86</v>
      </c>
      <c r="AF7" s="275">
        <v>15.3</v>
      </c>
      <c r="AG7" s="22">
        <v>125</v>
      </c>
      <c r="AH7" s="22">
        <v>75</v>
      </c>
      <c r="AJ7" s="160" t="str">
        <f>"[-"&amp;AK7&amp;"x"&amp;AL7&amp;"x"&amp;AM7&amp;" mm."</f>
        <v>[-100x50x5x7.5 mm.</v>
      </c>
      <c r="AK7" s="197" t="s">
        <v>147</v>
      </c>
      <c r="AL7" s="168">
        <v>5</v>
      </c>
      <c r="AM7" s="168">
        <v>7.5</v>
      </c>
      <c r="AN7" s="168">
        <v>8</v>
      </c>
      <c r="AO7" s="172">
        <v>4</v>
      </c>
      <c r="AP7" s="211">
        <v>11.92</v>
      </c>
      <c r="AQ7" s="177">
        <v>9.36</v>
      </c>
      <c r="AR7" s="197">
        <v>0</v>
      </c>
      <c r="AS7" s="198">
        <v>1.54</v>
      </c>
      <c r="AT7" s="171">
        <v>188</v>
      </c>
      <c r="AU7" s="172">
        <v>26</v>
      </c>
      <c r="AV7" s="197">
        <v>3.97</v>
      </c>
      <c r="AW7" s="198">
        <v>1.48</v>
      </c>
      <c r="AX7" s="171">
        <v>37.6</v>
      </c>
      <c r="AY7" s="198">
        <v>7.52</v>
      </c>
      <c r="AZ7" s="22">
        <v>100</v>
      </c>
      <c r="BA7" s="22">
        <v>50</v>
      </c>
      <c r="BC7" s="21" t="str">
        <f>"Tube-"&amp;BE$6&amp;"x"&amp;BF7&amp;" mm."</f>
        <v>Tube-25x25x2.3 mm.</v>
      </c>
      <c r="BD7" s="482"/>
      <c r="BE7" s="504"/>
      <c r="BF7" s="212">
        <v>2.3</v>
      </c>
      <c r="BG7" s="24">
        <v>1.972</v>
      </c>
      <c r="BH7" s="212">
        <v>1.53</v>
      </c>
      <c r="BI7" s="24">
        <v>1.61</v>
      </c>
      <c r="BJ7" s="212">
        <v>1.29</v>
      </c>
      <c r="BK7" s="277">
        <v>0.9</v>
      </c>
      <c r="BL7" s="22">
        <v>25</v>
      </c>
      <c r="BO7" s="21" t="str">
        <f>"Tube-"&amp;BQ$6&amp;"x"&amp;BR7&amp;" mm."</f>
        <v>Tube-50x25x2.3 mm.</v>
      </c>
      <c r="BP7" s="482"/>
      <c r="BQ7" s="504"/>
      <c r="BR7" s="212">
        <v>2.3</v>
      </c>
      <c r="BS7" s="24">
        <v>3.1</v>
      </c>
      <c r="BT7" s="212">
        <v>2.44</v>
      </c>
      <c r="BU7" s="179">
        <v>9.31</v>
      </c>
      <c r="BV7" s="178">
        <v>3.1</v>
      </c>
      <c r="BW7" s="195">
        <v>3.72</v>
      </c>
      <c r="BX7" s="196">
        <v>2.48</v>
      </c>
      <c r="BY7" s="179">
        <v>1.68</v>
      </c>
      <c r="BZ7" s="196">
        <v>0.96</v>
      </c>
      <c r="CA7" s="22">
        <v>50</v>
      </c>
      <c r="CB7" s="22">
        <v>25</v>
      </c>
      <c r="CD7" s="21" t="str">
        <f>"Pipe-D"&amp;CF$7&amp;"x"&amp;CG7&amp;" mm."</f>
        <v>Pipe-D27.2x2 mm.</v>
      </c>
      <c r="CE7" s="534" t="s">
        <v>273</v>
      </c>
      <c r="CF7" s="530">
        <v>27.2</v>
      </c>
      <c r="CG7" s="24">
        <v>2</v>
      </c>
      <c r="CH7" s="212">
        <v>1.24</v>
      </c>
      <c r="CI7" s="24">
        <v>1.58</v>
      </c>
      <c r="CJ7" s="212">
        <v>1.26</v>
      </c>
      <c r="CK7" s="212">
        <v>0.93</v>
      </c>
      <c r="CL7" s="277">
        <v>0.89</v>
      </c>
      <c r="CM7" s="21">
        <v>27.2</v>
      </c>
      <c r="CO7" s="21" t="str">
        <f>"[-"&amp;CP$6&amp;"x"&amp;CQ7&amp;" mm."</f>
        <v>[-60x30x10x2 mm.</v>
      </c>
      <c r="CP7" s="482"/>
      <c r="CQ7" s="178">
        <v>2</v>
      </c>
      <c r="CR7" s="212">
        <v>2.537</v>
      </c>
      <c r="CS7" s="24">
        <v>1.99</v>
      </c>
      <c r="CT7" s="195">
        <v>0</v>
      </c>
      <c r="CU7" s="196">
        <v>1.06</v>
      </c>
      <c r="CV7" s="179">
        <v>14</v>
      </c>
      <c r="CW7" s="178">
        <v>3.01</v>
      </c>
      <c r="CX7" s="195">
        <v>2.35</v>
      </c>
      <c r="CY7" s="196">
        <v>1.09</v>
      </c>
      <c r="CZ7" s="179">
        <v>4.65</v>
      </c>
      <c r="DA7" s="196">
        <v>1.55</v>
      </c>
      <c r="DB7" s="24">
        <v>60</v>
      </c>
      <c r="DC7" s="24">
        <v>30</v>
      </c>
      <c r="DD7" s="24">
        <v>10</v>
      </c>
      <c r="DE7" s="24"/>
      <c r="DF7" s="24"/>
      <c r="DG7" s="21" t="str">
        <f>"2[]-"&amp;DH$6&amp;"x"&amp;DI7&amp;" mm."</f>
        <v>2[]-60x30x10x2 mm.</v>
      </c>
      <c r="DH7" s="482"/>
      <c r="DI7" s="178">
        <v>2</v>
      </c>
      <c r="DJ7" s="212">
        <f aca="true" t="shared" si="2" ref="DJ7:DJ50">CR7*2</f>
        <v>5.074</v>
      </c>
      <c r="DK7" s="24">
        <f aca="true" t="shared" si="3" ref="DK7:DK50">CS7*2</f>
        <v>3.98</v>
      </c>
      <c r="DL7" s="195">
        <v>0</v>
      </c>
      <c r="DM7" s="196">
        <v>1.06</v>
      </c>
      <c r="DN7" s="179">
        <f aca="true" t="shared" si="4" ref="DN7:DN50">CV7*2</f>
        <v>28</v>
      </c>
      <c r="DO7" s="178">
        <f aca="true" t="shared" si="5" ref="DO7:DO50">CW7*2</f>
        <v>6.02</v>
      </c>
      <c r="DP7" s="195">
        <v>2.37</v>
      </c>
      <c r="DQ7" s="196">
        <v>1.11</v>
      </c>
      <c r="DR7" s="179">
        <f aca="true" t="shared" si="6" ref="DR7:DR50">CZ7*2</f>
        <v>9.3</v>
      </c>
      <c r="DS7" s="196">
        <f aca="true" t="shared" si="7" ref="DS7:DS50">DA7*2</f>
        <v>3.1</v>
      </c>
      <c r="DT7" s="24">
        <f aca="true" t="shared" si="8" ref="DT7:DT50">DB7</f>
        <v>60</v>
      </c>
      <c r="DU7" s="24">
        <f aca="true" t="shared" si="9" ref="DU7:DU50">DC7*2</f>
        <v>60</v>
      </c>
      <c r="DV7" s="24">
        <f aca="true" t="shared" si="10" ref="DV7:DV50">DD7</f>
        <v>10</v>
      </c>
      <c r="DW7" s="24"/>
      <c r="DX7" s="24"/>
      <c r="DY7" s="24"/>
      <c r="DZ7" s="24"/>
      <c r="EA7" s="24"/>
      <c r="ED7" s="21" t="str">
        <f>'Steel Beam'!CX15</f>
        <v>WF-200x150x6x9 mm.</v>
      </c>
      <c r="EE7" s="21">
        <f>'Steel Beam'!CX4</f>
        <v>1</v>
      </c>
    </row>
    <row r="8" spans="3:148" ht="14.25" customHeight="1">
      <c r="C8" s="160" t="str">
        <f t="shared" si="0"/>
        <v>WF-150X75x6x9 mm.</v>
      </c>
      <c r="D8" s="195" t="s">
        <v>150</v>
      </c>
      <c r="E8" s="173">
        <v>6</v>
      </c>
      <c r="F8" s="167">
        <v>9</v>
      </c>
      <c r="G8" s="217">
        <v>9</v>
      </c>
      <c r="H8" s="227">
        <v>22.12</v>
      </c>
      <c r="I8" s="24">
        <v>17.4</v>
      </c>
      <c r="J8" s="248">
        <v>815</v>
      </c>
      <c r="K8" s="252">
        <v>63.7</v>
      </c>
      <c r="L8" s="179">
        <v>6.07</v>
      </c>
      <c r="M8" s="196">
        <v>1.7</v>
      </c>
      <c r="N8" s="179">
        <v>109</v>
      </c>
      <c r="O8" s="196">
        <v>17</v>
      </c>
      <c r="P8" s="22">
        <v>150</v>
      </c>
      <c r="Q8" s="22">
        <v>75</v>
      </c>
      <c r="S8" s="160" t="str">
        <f t="shared" si="1"/>
        <v>I-150x75x5.5x9.5 mm.</v>
      </c>
      <c r="T8" s="276" t="s">
        <v>176</v>
      </c>
      <c r="U8" s="167">
        <v>5.5</v>
      </c>
      <c r="V8" s="24">
        <v>9.5</v>
      </c>
      <c r="W8" s="167">
        <v>9</v>
      </c>
      <c r="X8" s="24">
        <v>4.5</v>
      </c>
      <c r="Y8" s="212">
        <v>21.83</v>
      </c>
      <c r="Z8" s="24">
        <v>17.1</v>
      </c>
      <c r="AA8" s="195">
        <v>819</v>
      </c>
      <c r="AB8" s="277">
        <v>57.5</v>
      </c>
      <c r="AC8" s="179">
        <v>6.12</v>
      </c>
      <c r="AD8" s="277">
        <v>1.62</v>
      </c>
      <c r="AE8" s="179">
        <v>109</v>
      </c>
      <c r="AF8" s="277">
        <v>15.3</v>
      </c>
      <c r="AG8" s="22">
        <v>150</v>
      </c>
      <c r="AH8" s="22">
        <v>75</v>
      </c>
      <c r="AJ8" s="160" t="str">
        <f>"[-"&amp;AK8&amp;"x"&amp;AL8&amp;"x"&amp;AM8&amp;" mm."</f>
        <v>[-125x65x6x8 mm.</v>
      </c>
      <c r="AK8" s="195" t="s">
        <v>190</v>
      </c>
      <c r="AL8" s="167">
        <v>6</v>
      </c>
      <c r="AM8" s="167">
        <v>8</v>
      </c>
      <c r="AN8" s="167">
        <v>8</v>
      </c>
      <c r="AO8" s="178">
        <v>4</v>
      </c>
      <c r="AP8" s="212">
        <v>17.11</v>
      </c>
      <c r="AQ8" s="24">
        <v>13.4</v>
      </c>
      <c r="AR8" s="195">
        <v>0</v>
      </c>
      <c r="AS8" s="196">
        <v>1.9</v>
      </c>
      <c r="AT8" s="179">
        <v>424</v>
      </c>
      <c r="AU8" s="178">
        <v>61.8</v>
      </c>
      <c r="AV8" s="195">
        <v>4.98</v>
      </c>
      <c r="AW8" s="196">
        <v>1.9</v>
      </c>
      <c r="AX8" s="179">
        <v>67.8</v>
      </c>
      <c r="AY8" s="196">
        <v>13.4</v>
      </c>
      <c r="AZ8" s="22">
        <v>125</v>
      </c>
      <c r="BA8" s="22">
        <v>65</v>
      </c>
      <c r="BC8" s="21" t="str">
        <f>"Tube-"&amp;BE$6&amp;"x"&amp;BF8&amp;" mm."</f>
        <v>Tube-25x25x2.6 mm.</v>
      </c>
      <c r="BD8" s="482"/>
      <c r="BE8" s="504"/>
      <c r="BF8" s="212">
        <v>2.6</v>
      </c>
      <c r="BG8" s="24">
        <v>2.1</v>
      </c>
      <c r="BH8" s="212">
        <v>1.65</v>
      </c>
      <c r="BI8" s="24">
        <v>1.63</v>
      </c>
      <c r="BJ8" s="212">
        <v>1.31</v>
      </c>
      <c r="BK8" s="277">
        <v>0.88</v>
      </c>
      <c r="BL8" s="22">
        <v>25</v>
      </c>
      <c r="BO8" s="21" t="str">
        <f>"Tube-"&amp;BQ$6&amp;"x"&amp;BR8&amp;" mm."</f>
        <v>Tube-50x25x3.2 mm.</v>
      </c>
      <c r="BP8" s="482"/>
      <c r="BQ8" s="504"/>
      <c r="BR8" s="212">
        <v>3.2</v>
      </c>
      <c r="BS8" s="24">
        <v>4.13</v>
      </c>
      <c r="BT8" s="212">
        <v>3.24</v>
      </c>
      <c r="BU8" s="179">
        <v>11.6</v>
      </c>
      <c r="BV8" s="178">
        <v>3.8</v>
      </c>
      <c r="BW8" s="195">
        <v>4.65</v>
      </c>
      <c r="BX8" s="196">
        <v>3.04</v>
      </c>
      <c r="BY8" s="179">
        <v>1.68</v>
      </c>
      <c r="BZ8" s="196">
        <v>0.96</v>
      </c>
      <c r="CA8" s="22">
        <v>50</v>
      </c>
      <c r="CB8" s="22">
        <v>25</v>
      </c>
      <c r="CD8" s="21" t="str">
        <f>"Pipe-D"&amp;CF$7&amp;"x"&amp;CG8&amp;" mm."</f>
        <v>Pipe-D27.2x2.3 mm.</v>
      </c>
      <c r="CE8" s="534"/>
      <c r="CF8" s="531"/>
      <c r="CG8" s="24">
        <v>2.3</v>
      </c>
      <c r="CH8" s="212">
        <v>1.41</v>
      </c>
      <c r="CI8" s="24">
        <v>1.8</v>
      </c>
      <c r="CJ8" s="212">
        <v>1.41</v>
      </c>
      <c r="CK8" s="212">
        <v>1.03</v>
      </c>
      <c r="CL8" s="277">
        <v>0.88</v>
      </c>
      <c r="CM8" s="21">
        <v>27.2</v>
      </c>
      <c r="CO8" s="21" t="str">
        <f>"[-"&amp;CP$6&amp;"x"&amp;CQ8&amp;" mm."</f>
        <v>[-60x30x10x2.3 mm.</v>
      </c>
      <c r="CP8" s="483"/>
      <c r="CQ8" s="290">
        <v>2.3</v>
      </c>
      <c r="CR8" s="284">
        <v>2.872</v>
      </c>
      <c r="CS8" s="28">
        <v>2.25</v>
      </c>
      <c r="CT8" s="272">
        <v>0</v>
      </c>
      <c r="CU8" s="203">
        <v>1.06</v>
      </c>
      <c r="CV8" s="170">
        <v>15.6</v>
      </c>
      <c r="CW8" s="290">
        <v>3.32</v>
      </c>
      <c r="CX8" s="272">
        <v>2.33</v>
      </c>
      <c r="CY8" s="203">
        <v>1.07</v>
      </c>
      <c r="CZ8" s="170">
        <v>5.2</v>
      </c>
      <c r="DA8" s="203">
        <v>1.71</v>
      </c>
      <c r="DB8" s="24">
        <v>60</v>
      </c>
      <c r="DC8" s="24">
        <v>30</v>
      </c>
      <c r="DD8" s="24">
        <v>10</v>
      </c>
      <c r="DE8" s="24"/>
      <c r="DF8" s="24"/>
      <c r="DG8" s="21" t="str">
        <f>"2[]-"&amp;DH$6&amp;"x"&amp;DI8&amp;" mm."</f>
        <v>2[]-60x30x10x2.3 mm.</v>
      </c>
      <c r="DH8" s="483"/>
      <c r="DI8" s="290">
        <v>2.3</v>
      </c>
      <c r="DJ8" s="284">
        <f t="shared" si="2"/>
        <v>5.744</v>
      </c>
      <c r="DK8" s="28">
        <f t="shared" si="3"/>
        <v>4.5</v>
      </c>
      <c r="DL8" s="272">
        <v>0</v>
      </c>
      <c r="DM8" s="203">
        <v>1.06</v>
      </c>
      <c r="DN8" s="170">
        <f t="shared" si="4"/>
        <v>31.2</v>
      </c>
      <c r="DO8" s="290">
        <f t="shared" si="5"/>
        <v>6.64</v>
      </c>
      <c r="DP8" s="272">
        <v>2.37</v>
      </c>
      <c r="DQ8" s="203">
        <v>1.11</v>
      </c>
      <c r="DR8" s="170">
        <f t="shared" si="6"/>
        <v>10.4</v>
      </c>
      <c r="DS8" s="203">
        <f t="shared" si="7"/>
        <v>3.42</v>
      </c>
      <c r="DT8" s="24">
        <f t="shared" si="8"/>
        <v>60</v>
      </c>
      <c r="DU8" s="24">
        <f t="shared" si="9"/>
        <v>60</v>
      </c>
      <c r="DV8" s="24">
        <f t="shared" si="10"/>
        <v>10</v>
      </c>
      <c r="DW8" s="24"/>
      <c r="DX8" s="24"/>
      <c r="DY8" s="24"/>
      <c r="DZ8" s="24"/>
      <c r="EA8" s="24"/>
      <c r="ED8" s="22" t="s">
        <v>263</v>
      </c>
      <c r="EE8" s="22" t="s">
        <v>142</v>
      </c>
      <c r="EF8" s="22" t="s">
        <v>87</v>
      </c>
      <c r="EG8" s="22" t="s">
        <v>88</v>
      </c>
      <c r="EH8" s="22" t="s">
        <v>89</v>
      </c>
      <c r="EI8" s="22" t="s">
        <v>90</v>
      </c>
      <c r="EJ8" s="22" t="s">
        <v>229</v>
      </c>
      <c r="EK8" s="22" t="s">
        <v>230</v>
      </c>
      <c r="EL8" s="22" t="s">
        <v>324</v>
      </c>
      <c r="EM8" s="22" t="s">
        <v>323</v>
      </c>
      <c r="EN8" s="22" t="s">
        <v>325</v>
      </c>
      <c r="EO8" s="22" t="s">
        <v>137</v>
      </c>
      <c r="EP8" s="22" t="s">
        <v>138</v>
      </c>
      <c r="EQ8" s="22" t="s">
        <v>172</v>
      </c>
      <c r="ER8" s="22" t="s">
        <v>173</v>
      </c>
    </row>
    <row r="9" spans="3:148" ht="14.25" customHeight="1">
      <c r="C9" s="160" t="str">
        <f t="shared" si="0"/>
        <v>WF-150x100x6x9 mm.</v>
      </c>
      <c r="D9" s="197" t="s">
        <v>187</v>
      </c>
      <c r="E9" s="176">
        <v>6</v>
      </c>
      <c r="F9" s="168">
        <v>9</v>
      </c>
      <c r="G9" s="218">
        <v>11</v>
      </c>
      <c r="H9" s="213">
        <v>26.84</v>
      </c>
      <c r="I9" s="177">
        <v>21.1</v>
      </c>
      <c r="J9" s="250">
        <v>1020</v>
      </c>
      <c r="K9" s="253">
        <v>151</v>
      </c>
      <c r="L9" s="171">
        <v>6.2</v>
      </c>
      <c r="M9" s="198">
        <v>2.37</v>
      </c>
      <c r="N9" s="171">
        <v>138</v>
      </c>
      <c r="O9" s="198">
        <v>30</v>
      </c>
      <c r="P9" s="22">
        <v>150</v>
      </c>
      <c r="Q9" s="22">
        <v>100</v>
      </c>
      <c r="S9" s="160" t="str">
        <f t="shared" si="1"/>
        <v>I-150x125x8.5x14 mm.</v>
      </c>
      <c r="T9" s="274" t="s">
        <v>177</v>
      </c>
      <c r="U9" s="168">
        <v>8.5</v>
      </c>
      <c r="V9" s="177">
        <v>14</v>
      </c>
      <c r="W9" s="168">
        <v>13</v>
      </c>
      <c r="X9" s="177">
        <v>6.5</v>
      </c>
      <c r="Y9" s="211">
        <v>46.15</v>
      </c>
      <c r="Z9" s="177">
        <v>36.2</v>
      </c>
      <c r="AA9" s="197">
        <v>1760</v>
      </c>
      <c r="AB9" s="275">
        <v>385</v>
      </c>
      <c r="AC9" s="171">
        <v>6.18</v>
      </c>
      <c r="AD9" s="275">
        <v>2.89</v>
      </c>
      <c r="AE9" s="171">
        <v>235</v>
      </c>
      <c r="AF9" s="275">
        <v>61.6</v>
      </c>
      <c r="AG9" s="22">
        <v>150</v>
      </c>
      <c r="AH9" s="22">
        <v>125</v>
      </c>
      <c r="AJ9" s="160" t="str">
        <f>"[-"&amp;AK$9&amp;"x"&amp;AL9&amp;"x"&amp;AM9&amp;" mm."</f>
        <v>[-150x75x6.5x10 mm.</v>
      </c>
      <c r="AK9" s="481" t="s">
        <v>176</v>
      </c>
      <c r="AL9" s="165">
        <v>6.5</v>
      </c>
      <c r="AM9" s="165">
        <v>10</v>
      </c>
      <c r="AN9" s="165">
        <v>10</v>
      </c>
      <c r="AO9" s="174">
        <v>5</v>
      </c>
      <c r="AP9" s="210">
        <v>23.71</v>
      </c>
      <c r="AQ9" s="158">
        <v>18.6</v>
      </c>
      <c r="AR9" s="287">
        <v>0</v>
      </c>
      <c r="AS9" s="202">
        <v>2.28</v>
      </c>
      <c r="AT9" s="166">
        <v>861</v>
      </c>
      <c r="AU9" s="174">
        <v>117</v>
      </c>
      <c r="AV9" s="287">
        <v>6.03</v>
      </c>
      <c r="AW9" s="202">
        <v>2.22</v>
      </c>
      <c r="AX9" s="166">
        <v>115</v>
      </c>
      <c r="AY9" s="202">
        <v>22.4</v>
      </c>
      <c r="AZ9" s="22">
        <v>150</v>
      </c>
      <c r="BA9" s="22">
        <v>75</v>
      </c>
      <c r="BC9" s="21" t="str">
        <f>"Tube-"&amp;BE$6&amp;"x"&amp;BF9&amp;" mm."</f>
        <v>Tube-25x25x3.2 mm.</v>
      </c>
      <c r="BD9" s="483"/>
      <c r="BE9" s="505"/>
      <c r="BF9" s="284">
        <v>3.2</v>
      </c>
      <c r="BG9" s="28">
        <v>2.44</v>
      </c>
      <c r="BH9" s="284">
        <v>1.91</v>
      </c>
      <c r="BI9" s="28">
        <v>1.75</v>
      </c>
      <c r="BJ9" s="284">
        <v>1.4</v>
      </c>
      <c r="BK9" s="278">
        <v>0.85</v>
      </c>
      <c r="BL9" s="22">
        <v>25</v>
      </c>
      <c r="BO9" s="21" t="str">
        <f>"Tube-"&amp;BQ$6&amp;"x"&amp;BR9&amp;" mm."</f>
        <v>Tube-50x25x3.6 mm.</v>
      </c>
      <c r="BP9" s="483"/>
      <c r="BQ9" s="504"/>
      <c r="BR9" s="212">
        <v>3.6</v>
      </c>
      <c r="BS9" s="24">
        <v>4.44</v>
      </c>
      <c r="BT9" s="212">
        <v>3.48</v>
      </c>
      <c r="BU9" s="179">
        <v>11.7</v>
      </c>
      <c r="BV9" s="178">
        <v>3.86</v>
      </c>
      <c r="BW9" s="195">
        <v>4.7</v>
      </c>
      <c r="BX9" s="196">
        <v>3.09</v>
      </c>
      <c r="BY9" s="179">
        <v>1.63</v>
      </c>
      <c r="BZ9" s="196">
        <v>0.93</v>
      </c>
      <c r="CA9" s="22">
        <v>50</v>
      </c>
      <c r="CB9" s="22">
        <v>25</v>
      </c>
      <c r="CD9" s="21" t="str">
        <f>"Pipe-D"&amp;CF$9&amp;"x"&amp;CG9&amp;" mm."</f>
        <v>Pipe-D34x2.3 mm.</v>
      </c>
      <c r="CE9" s="306">
        <v>1</v>
      </c>
      <c r="CF9" s="312">
        <v>34</v>
      </c>
      <c r="CG9" s="177">
        <v>2.3</v>
      </c>
      <c r="CH9" s="211">
        <v>1.8</v>
      </c>
      <c r="CI9" s="177">
        <v>2.29</v>
      </c>
      <c r="CJ9" s="211">
        <v>2.89</v>
      </c>
      <c r="CK9" s="211">
        <v>1.7</v>
      </c>
      <c r="CL9" s="275">
        <v>1.12</v>
      </c>
      <c r="CM9" s="21">
        <v>34</v>
      </c>
      <c r="CO9" s="21" t="str">
        <f>"[-"&amp;CP$9&amp;"x"&amp;CQ9&amp;" mm."</f>
        <v>[-70x40x25x1.6 mm.</v>
      </c>
      <c r="CP9" s="304" t="s">
        <v>299</v>
      </c>
      <c r="CQ9" s="172">
        <v>1.6</v>
      </c>
      <c r="CR9" s="211">
        <v>3.032</v>
      </c>
      <c r="CS9" s="177">
        <v>2.38</v>
      </c>
      <c r="CT9" s="197">
        <v>0</v>
      </c>
      <c r="CU9" s="198">
        <v>1.8</v>
      </c>
      <c r="CV9" s="171">
        <v>22</v>
      </c>
      <c r="CW9" s="172">
        <v>8</v>
      </c>
      <c r="CX9" s="197">
        <v>2.69</v>
      </c>
      <c r="CY9" s="198">
        <v>1.62</v>
      </c>
      <c r="CZ9" s="171">
        <v>6.29</v>
      </c>
      <c r="DA9" s="198">
        <v>3.67</v>
      </c>
      <c r="DB9" s="24">
        <v>70</v>
      </c>
      <c r="DC9" s="24">
        <v>40</v>
      </c>
      <c r="DD9" s="24">
        <v>25</v>
      </c>
      <c r="DE9" s="24"/>
      <c r="DF9" s="24"/>
      <c r="DG9" s="21" t="str">
        <f>"2[]-"&amp;DH$9&amp;"x"&amp;DI9&amp;" mm."</f>
        <v>2[]-70x40x25x1.6 mm.</v>
      </c>
      <c r="DH9" s="304" t="s">
        <v>299</v>
      </c>
      <c r="DI9" s="172">
        <v>1.6</v>
      </c>
      <c r="DJ9" s="210">
        <f t="shared" si="2"/>
        <v>6.064</v>
      </c>
      <c r="DK9" s="158">
        <f t="shared" si="3"/>
        <v>4.76</v>
      </c>
      <c r="DL9" s="287">
        <v>0</v>
      </c>
      <c r="DM9" s="202">
        <v>1.06</v>
      </c>
      <c r="DN9" s="166">
        <f t="shared" si="4"/>
        <v>44</v>
      </c>
      <c r="DO9" s="174">
        <f t="shared" si="5"/>
        <v>16</v>
      </c>
      <c r="DP9" s="287">
        <v>2.37</v>
      </c>
      <c r="DQ9" s="202">
        <v>1.11</v>
      </c>
      <c r="DR9" s="166">
        <f t="shared" si="6"/>
        <v>12.58</v>
      </c>
      <c r="DS9" s="202">
        <f t="shared" si="7"/>
        <v>7.34</v>
      </c>
      <c r="DT9" s="24">
        <f t="shared" si="8"/>
        <v>70</v>
      </c>
      <c r="DU9" s="24">
        <f t="shared" si="9"/>
        <v>80</v>
      </c>
      <c r="DV9" s="24">
        <f t="shared" si="10"/>
        <v>25</v>
      </c>
      <c r="DW9" s="24"/>
      <c r="DX9" s="24"/>
      <c r="DY9" s="24"/>
      <c r="DZ9" s="24"/>
      <c r="EA9" s="24"/>
      <c r="EB9" s="21">
        <v>1</v>
      </c>
      <c r="EC9" s="21" t="s">
        <v>306</v>
      </c>
      <c r="ED9" s="22">
        <f>VLOOKUP($ED$7,$C$6:$O$77,6,FALSE)</f>
        <v>39.01</v>
      </c>
      <c r="EE9" s="22">
        <f>VLOOKUP($ED$7,$C$6:$O$77,7,FALSE)</f>
        <v>30.6</v>
      </c>
      <c r="EF9" s="22">
        <f>VLOOKUP($ED$7,$C$6:$O$77,8,FALSE)</f>
        <v>2690</v>
      </c>
      <c r="EG9" s="22">
        <f>VLOOKUP($ED$7,$C$6:$O$77,9,FALSE)</f>
        <v>507</v>
      </c>
      <c r="EH9" s="22">
        <f>VLOOKUP($ED$7,$C$6:$O$77,12,FALSE)</f>
        <v>227</v>
      </c>
      <c r="EI9" s="22">
        <f>VLOOKUP($ED$7,$C$6:$O$77,13,FALSE)</f>
        <v>68</v>
      </c>
      <c r="EJ9" s="22">
        <f>VLOOKUP($ED$7,$C$6:$O$77,10,FALSE)</f>
        <v>8.3</v>
      </c>
      <c r="EK9" s="22">
        <f>VLOOKUP($ED$7,$C$6:$O$77,11,FALSE)</f>
        <v>3.61</v>
      </c>
      <c r="EL9" s="22">
        <f>VLOOKUP($ED$7,$C$6:$Q$77,14,FALSE)</f>
        <v>194</v>
      </c>
      <c r="EM9" s="22">
        <f>VLOOKUP($ED$7,$C$6:$Q$77,15,FALSE)</f>
        <v>150</v>
      </c>
      <c r="EN9" s="22"/>
      <c r="EO9" s="22">
        <f>VLOOKUP($ED$7,$C$6:$O$77,3,FALSE)</f>
        <v>6</v>
      </c>
      <c r="EP9" s="22">
        <f>VLOOKUP($ED$7,$C$6:$O$77,4,FALSE)</f>
        <v>9</v>
      </c>
      <c r="EQ9" s="22">
        <f>VLOOKUP($ED$7,$C$6:$O$77,5,FALSE)</f>
        <v>13</v>
      </c>
      <c r="ER9" s="22"/>
    </row>
    <row r="10" spans="3:148" ht="14.25">
      <c r="C10" s="160" t="str">
        <f t="shared" si="0"/>
        <v>WF-150X150x7x10 mm.</v>
      </c>
      <c r="D10" s="195" t="s">
        <v>151</v>
      </c>
      <c r="E10" s="173">
        <v>7</v>
      </c>
      <c r="F10" s="167">
        <v>10</v>
      </c>
      <c r="G10" s="217">
        <v>11</v>
      </c>
      <c r="H10" s="227">
        <v>40.14</v>
      </c>
      <c r="I10" s="24">
        <v>31.5</v>
      </c>
      <c r="J10" s="248">
        <v>1640</v>
      </c>
      <c r="K10" s="249">
        <v>563</v>
      </c>
      <c r="L10" s="179">
        <v>6.39</v>
      </c>
      <c r="M10" s="196">
        <v>3.75</v>
      </c>
      <c r="N10" s="179">
        <v>219</v>
      </c>
      <c r="O10" s="196">
        <v>75.1</v>
      </c>
      <c r="P10" s="22">
        <v>150</v>
      </c>
      <c r="Q10" s="22">
        <v>150</v>
      </c>
      <c r="S10" s="160" t="str">
        <f t="shared" si="1"/>
        <v>I-180x100x6x10 mm.</v>
      </c>
      <c r="T10" s="276" t="s">
        <v>178</v>
      </c>
      <c r="U10" s="167">
        <v>6</v>
      </c>
      <c r="V10" s="24">
        <v>10</v>
      </c>
      <c r="W10" s="167">
        <v>10</v>
      </c>
      <c r="X10" s="24">
        <v>5</v>
      </c>
      <c r="Y10" s="212">
        <v>30.06</v>
      </c>
      <c r="Z10" s="24">
        <v>23.6</v>
      </c>
      <c r="AA10" s="195">
        <v>1670</v>
      </c>
      <c r="AB10" s="277">
        <v>138</v>
      </c>
      <c r="AC10" s="179">
        <v>7.45</v>
      </c>
      <c r="AD10" s="277">
        <v>2.14</v>
      </c>
      <c r="AE10" s="179">
        <v>186</v>
      </c>
      <c r="AF10" s="277">
        <v>27.5</v>
      </c>
      <c r="AG10" s="22">
        <v>180</v>
      </c>
      <c r="AH10" s="22">
        <v>100</v>
      </c>
      <c r="AJ10" s="160" t="str">
        <f>"[-"&amp;AK$9&amp;"x"&amp;AL10&amp;"x"&amp;AM10&amp;" mm."</f>
        <v>[-150x75x9x12.5 mm.</v>
      </c>
      <c r="AK10" s="483"/>
      <c r="AL10" s="169">
        <v>9</v>
      </c>
      <c r="AM10" s="169">
        <v>12.5</v>
      </c>
      <c r="AN10" s="169">
        <v>15</v>
      </c>
      <c r="AO10" s="290">
        <v>7.5</v>
      </c>
      <c r="AP10" s="284">
        <v>30.59</v>
      </c>
      <c r="AQ10" s="28">
        <v>24</v>
      </c>
      <c r="AR10" s="272">
        <v>0</v>
      </c>
      <c r="AS10" s="203">
        <v>2.31</v>
      </c>
      <c r="AT10" s="170">
        <v>1050</v>
      </c>
      <c r="AU10" s="290">
        <v>147</v>
      </c>
      <c r="AV10" s="272">
        <v>5.86</v>
      </c>
      <c r="AW10" s="203">
        <v>2.19</v>
      </c>
      <c r="AX10" s="170">
        <v>140</v>
      </c>
      <c r="AY10" s="203">
        <v>28.3</v>
      </c>
      <c r="AZ10" s="22">
        <v>150</v>
      </c>
      <c r="BA10" s="22">
        <v>75</v>
      </c>
      <c r="BC10" s="21" t="str">
        <f>"Tube-"&amp;BE$10&amp;"x"&amp;BF10&amp;" mm."</f>
        <v>Tube-32x32x2.3 mm.</v>
      </c>
      <c r="BD10" s="481" t="s">
        <v>239</v>
      </c>
      <c r="BE10" s="503" t="s">
        <v>213</v>
      </c>
      <c r="BF10" s="212">
        <v>2.3</v>
      </c>
      <c r="BG10" s="24">
        <v>2.596</v>
      </c>
      <c r="BH10" s="212">
        <v>2.04</v>
      </c>
      <c r="BI10" s="24">
        <v>3.71</v>
      </c>
      <c r="BJ10" s="212">
        <v>2.32</v>
      </c>
      <c r="BK10" s="277">
        <v>1.2</v>
      </c>
      <c r="BL10" s="22">
        <v>32</v>
      </c>
      <c r="BO10" s="21" t="str">
        <f>"Tube-"&amp;BQ$10&amp;"x"&amp;BR10&amp;" mm."</f>
        <v>Tube-75x38x2.3 mm.</v>
      </c>
      <c r="BP10" s="482" t="s">
        <v>247</v>
      </c>
      <c r="BQ10" s="503" t="s">
        <v>232</v>
      </c>
      <c r="BR10" s="210">
        <v>2.3</v>
      </c>
      <c r="BS10" s="158">
        <v>4.85</v>
      </c>
      <c r="BT10" s="210">
        <v>3.81</v>
      </c>
      <c r="BU10" s="166">
        <v>34.6</v>
      </c>
      <c r="BV10" s="174">
        <v>12</v>
      </c>
      <c r="BW10" s="287">
        <v>9.23</v>
      </c>
      <c r="BX10" s="202">
        <v>6.3</v>
      </c>
      <c r="BY10" s="166">
        <v>2.67</v>
      </c>
      <c r="BZ10" s="202">
        <v>1.57</v>
      </c>
      <c r="CA10" s="22">
        <v>75</v>
      </c>
      <c r="CB10" s="22">
        <v>38</v>
      </c>
      <c r="CD10" s="21" t="str">
        <f>"Pipe-D"&amp;CF$10&amp;"x"&amp;CG10&amp;" mm."</f>
        <v>Pipe-D42.7x2.3 mm.</v>
      </c>
      <c r="CE10" s="514" t="s">
        <v>274</v>
      </c>
      <c r="CF10" s="529">
        <v>42.7</v>
      </c>
      <c r="CG10" s="24">
        <v>2.3</v>
      </c>
      <c r="CH10" s="212">
        <v>2.29</v>
      </c>
      <c r="CI10" s="24">
        <v>2.92</v>
      </c>
      <c r="CJ10" s="212">
        <v>5.97</v>
      </c>
      <c r="CK10" s="212">
        <v>2.8</v>
      </c>
      <c r="CL10" s="277">
        <v>1.43</v>
      </c>
      <c r="CM10" s="21">
        <v>42.7</v>
      </c>
      <c r="CO10" s="21" t="str">
        <f>"[-"&amp;CP$9&amp;"x"&amp;CQ10&amp;" mm."</f>
        <v>[-70x40x25x2.3 mm.</v>
      </c>
      <c r="CP10" s="201" t="s">
        <v>289</v>
      </c>
      <c r="CQ10" s="178">
        <v>2.3</v>
      </c>
      <c r="CR10" s="212">
        <v>3.677</v>
      </c>
      <c r="CS10" s="24">
        <v>2.89</v>
      </c>
      <c r="CT10" s="195">
        <v>0</v>
      </c>
      <c r="CU10" s="196">
        <v>1.29</v>
      </c>
      <c r="CV10" s="179">
        <v>31</v>
      </c>
      <c r="CW10" s="178">
        <v>6.58</v>
      </c>
      <c r="CX10" s="195">
        <v>2.91</v>
      </c>
      <c r="CY10" s="196">
        <v>1.34</v>
      </c>
      <c r="CZ10" s="179">
        <v>8.28</v>
      </c>
      <c r="DA10" s="196">
        <v>2.98</v>
      </c>
      <c r="DB10" s="24">
        <v>75</v>
      </c>
      <c r="DC10" s="24">
        <v>35</v>
      </c>
      <c r="DD10" s="24">
        <v>15</v>
      </c>
      <c r="DE10" s="24"/>
      <c r="DF10" s="24"/>
      <c r="DG10" s="21" t="str">
        <f>"2[]-"&amp;DH$9&amp;"x"&amp;DI10&amp;" mm."</f>
        <v>2[]-70x40x25x2.3 mm.</v>
      </c>
      <c r="DH10" s="201" t="s">
        <v>289</v>
      </c>
      <c r="DI10" s="178">
        <v>2.3</v>
      </c>
      <c r="DJ10" s="210">
        <f t="shared" si="2"/>
        <v>7.354</v>
      </c>
      <c r="DK10" s="158">
        <f t="shared" si="3"/>
        <v>5.78</v>
      </c>
      <c r="DL10" s="287">
        <v>0</v>
      </c>
      <c r="DM10" s="202">
        <v>1.06</v>
      </c>
      <c r="DN10" s="166">
        <f t="shared" si="4"/>
        <v>62</v>
      </c>
      <c r="DO10" s="174">
        <f t="shared" si="5"/>
        <v>13.16</v>
      </c>
      <c r="DP10" s="287">
        <v>2.37</v>
      </c>
      <c r="DQ10" s="202">
        <v>1.11</v>
      </c>
      <c r="DR10" s="166">
        <f t="shared" si="6"/>
        <v>16.56</v>
      </c>
      <c r="DS10" s="202">
        <f t="shared" si="7"/>
        <v>5.96</v>
      </c>
      <c r="DT10" s="24">
        <f t="shared" si="8"/>
        <v>75</v>
      </c>
      <c r="DU10" s="24">
        <f t="shared" si="9"/>
        <v>70</v>
      </c>
      <c r="DV10" s="24">
        <f t="shared" si="10"/>
        <v>15</v>
      </c>
      <c r="DW10" s="24"/>
      <c r="DX10" s="24"/>
      <c r="DY10" s="24"/>
      <c r="DZ10" s="24"/>
      <c r="EA10" s="24"/>
      <c r="EB10" s="21">
        <v>2</v>
      </c>
      <c r="EC10" s="21" t="s">
        <v>307</v>
      </c>
      <c r="ED10" s="22" t="e">
        <f>VLOOKUP($ED$7,$S$6:$AF$25,7,FALSE)</f>
        <v>#N/A</v>
      </c>
      <c r="EE10" s="22" t="e">
        <f>VLOOKUP($ED$7,$S$6:$AF$25,8,FALSE)</f>
        <v>#N/A</v>
      </c>
      <c r="EF10" s="22" t="e">
        <f>VLOOKUP($ED$7,$S$6:$AF$25,9,FALSE)</f>
        <v>#N/A</v>
      </c>
      <c r="EG10" s="22" t="e">
        <f>VLOOKUP($ED$7,$S$6:$AF$25,10,FALSE)</f>
        <v>#N/A</v>
      </c>
      <c r="EH10" s="22" t="e">
        <f>VLOOKUP($ED$7,$S$6:$AF$25,13,FALSE)</f>
        <v>#N/A</v>
      </c>
      <c r="EI10" s="22" t="e">
        <f>VLOOKUP($ED$7,$S$6:$AF$25,14,FALSE)</f>
        <v>#N/A</v>
      </c>
      <c r="EJ10" s="22" t="e">
        <f>VLOOKUP($ED$7,$S$6:$AF$25,11,FALSE)</f>
        <v>#N/A</v>
      </c>
      <c r="EK10" s="22" t="e">
        <f>VLOOKUP($ED$7,$S$6:$AF$25,12,FALSE)</f>
        <v>#N/A</v>
      </c>
      <c r="EL10" s="22" t="e">
        <f>VLOOKUP($ED$7,$S$6:$AH$25,15,FALSE)</f>
        <v>#N/A</v>
      </c>
      <c r="EM10" s="22" t="e">
        <f>VLOOKUP($ED$7,$S$6:$AH$25,16,FALSE)</f>
        <v>#N/A</v>
      </c>
      <c r="EN10" s="22"/>
      <c r="EO10" s="22" t="e">
        <f>VLOOKUP($ED$7,$S$6:$AH$25,3,FALSE)</f>
        <v>#N/A</v>
      </c>
      <c r="EP10" s="22" t="e">
        <f>VLOOKUP($ED$7,$S$6:$AH$25,4,FALSE)</f>
        <v>#N/A</v>
      </c>
      <c r="EQ10" s="22" t="e">
        <f>VLOOKUP($ED$7,$S$6:$AH$25,5,FALSE)</f>
        <v>#N/A</v>
      </c>
      <c r="ER10" s="22" t="e">
        <f>VLOOKUP($ED$7,$S$6:$AH$25,6,FALSE)</f>
        <v>#N/A</v>
      </c>
    </row>
    <row r="11" spans="3:148" ht="14.25">
      <c r="C11" s="160" t="str">
        <f t="shared" si="0"/>
        <v>WF-175X175x7.5x11 mm.</v>
      </c>
      <c r="D11" s="199" t="s">
        <v>152</v>
      </c>
      <c r="E11" s="181">
        <v>7.5</v>
      </c>
      <c r="F11" s="175">
        <v>11</v>
      </c>
      <c r="G11" s="219">
        <v>12</v>
      </c>
      <c r="H11" s="209">
        <v>51.21</v>
      </c>
      <c r="I11" s="238">
        <v>40.2</v>
      </c>
      <c r="J11" s="254">
        <v>2880</v>
      </c>
      <c r="K11" s="255">
        <v>984</v>
      </c>
      <c r="L11" s="243">
        <v>7.5</v>
      </c>
      <c r="M11" s="268">
        <v>4.38</v>
      </c>
      <c r="N11" s="171">
        <v>330</v>
      </c>
      <c r="O11" s="198">
        <v>112</v>
      </c>
      <c r="P11" s="22">
        <v>175</v>
      </c>
      <c r="Q11" s="22">
        <v>175</v>
      </c>
      <c r="S11" s="160" t="str">
        <f t="shared" si="1"/>
        <v>I-200x100x7x10 mm.</v>
      </c>
      <c r="T11" s="274" t="s">
        <v>179</v>
      </c>
      <c r="U11" s="168">
        <v>7</v>
      </c>
      <c r="V11" s="177">
        <v>10</v>
      </c>
      <c r="W11" s="168">
        <v>10</v>
      </c>
      <c r="X11" s="177">
        <v>5</v>
      </c>
      <c r="Y11" s="211">
        <v>33.06</v>
      </c>
      <c r="Z11" s="177">
        <v>26</v>
      </c>
      <c r="AA11" s="197">
        <v>2170</v>
      </c>
      <c r="AB11" s="275">
        <v>138</v>
      </c>
      <c r="AC11" s="171">
        <v>8.11</v>
      </c>
      <c r="AD11" s="275">
        <v>2.05</v>
      </c>
      <c r="AE11" s="171">
        <v>217</v>
      </c>
      <c r="AF11" s="275">
        <v>27.7</v>
      </c>
      <c r="AG11" s="22">
        <v>200</v>
      </c>
      <c r="AH11" s="22">
        <v>100</v>
      </c>
      <c r="AJ11" s="160" t="str">
        <f>"[-"&amp;AK$11&amp;"x"&amp;AL11&amp;"x"&amp;AM11&amp;" mm."</f>
        <v>[-180x75x7x10.5 mm.</v>
      </c>
      <c r="AK11" s="195" t="s">
        <v>191</v>
      </c>
      <c r="AL11" s="167">
        <v>7</v>
      </c>
      <c r="AM11" s="167">
        <v>10.5</v>
      </c>
      <c r="AN11" s="167">
        <v>11</v>
      </c>
      <c r="AO11" s="178">
        <v>5.5</v>
      </c>
      <c r="AP11" s="212">
        <v>27.2</v>
      </c>
      <c r="AQ11" s="24">
        <v>21.4</v>
      </c>
      <c r="AR11" s="195">
        <v>0</v>
      </c>
      <c r="AS11" s="196">
        <v>2.13</v>
      </c>
      <c r="AT11" s="179">
        <v>1380</v>
      </c>
      <c r="AU11" s="178">
        <v>131</v>
      </c>
      <c r="AV11" s="195">
        <v>7.12</v>
      </c>
      <c r="AW11" s="196">
        <v>2.19</v>
      </c>
      <c r="AX11" s="179">
        <v>153</v>
      </c>
      <c r="AY11" s="196">
        <v>24.3</v>
      </c>
      <c r="AZ11" s="22">
        <v>180</v>
      </c>
      <c r="BA11" s="22">
        <v>75</v>
      </c>
      <c r="BC11" s="21" t="str">
        <f>"Tube-"&amp;BE$10&amp;"x"&amp;BF11&amp;" mm."</f>
        <v>Tube-32x32x3.2 mm.</v>
      </c>
      <c r="BD11" s="483"/>
      <c r="BE11" s="505"/>
      <c r="BF11" s="284">
        <v>3.2</v>
      </c>
      <c r="BG11" s="28">
        <v>3.423</v>
      </c>
      <c r="BH11" s="284">
        <v>2.69</v>
      </c>
      <c r="BI11" s="28">
        <v>4.54</v>
      </c>
      <c r="BJ11" s="284">
        <v>2.84</v>
      </c>
      <c r="BK11" s="278">
        <v>1.15</v>
      </c>
      <c r="BL11" s="22">
        <v>32</v>
      </c>
      <c r="BO11" s="21" t="str">
        <f>"Tube-"&amp;BQ$10&amp;"x"&amp;BR11&amp;" mm."</f>
        <v>Tube-75x38x3.2 mm.</v>
      </c>
      <c r="BP11" s="482"/>
      <c r="BQ11" s="505"/>
      <c r="BR11" s="284">
        <v>3.2</v>
      </c>
      <c r="BS11" s="28">
        <v>5.15</v>
      </c>
      <c r="BT11" s="284">
        <v>5.15</v>
      </c>
      <c r="BU11" s="170">
        <v>45</v>
      </c>
      <c r="BV11" s="290">
        <v>15.4</v>
      </c>
      <c r="BW11" s="272">
        <v>12</v>
      </c>
      <c r="BX11" s="203">
        <v>8.09</v>
      </c>
      <c r="BY11" s="170">
        <v>2.62</v>
      </c>
      <c r="BZ11" s="203">
        <v>1.53</v>
      </c>
      <c r="CA11" s="22">
        <v>75</v>
      </c>
      <c r="CB11" s="22">
        <v>38</v>
      </c>
      <c r="CD11" s="21" t="str">
        <f>"Pipe-D"&amp;CF$10&amp;"x"&amp;CG11&amp;" mm."</f>
        <v>Pipe-D42.7x2.5 mm.</v>
      </c>
      <c r="CE11" s="514"/>
      <c r="CF11" s="529"/>
      <c r="CG11" s="24">
        <v>2.5</v>
      </c>
      <c r="CH11" s="212">
        <v>2.48</v>
      </c>
      <c r="CI11" s="24">
        <v>3.16</v>
      </c>
      <c r="CJ11" s="212">
        <v>6.4</v>
      </c>
      <c r="CK11" s="212">
        <v>3</v>
      </c>
      <c r="CL11" s="277">
        <v>1.42</v>
      </c>
      <c r="CM11" s="21">
        <v>42.7</v>
      </c>
      <c r="CO11" s="21" t="str">
        <f>"[-"&amp;CP$11&amp;"x"&amp;CQ11&amp;" mm."</f>
        <v>[-75x45x15x1.6 mm.</v>
      </c>
      <c r="CP11" s="481" t="s">
        <v>290</v>
      </c>
      <c r="CQ11" s="174">
        <v>1.6</v>
      </c>
      <c r="CR11" s="210">
        <v>2.952</v>
      </c>
      <c r="CS11" s="158">
        <v>2.32</v>
      </c>
      <c r="CT11" s="287">
        <v>0</v>
      </c>
      <c r="CU11" s="202">
        <v>1.72</v>
      </c>
      <c r="CV11" s="166">
        <v>27.1</v>
      </c>
      <c r="CW11" s="174">
        <v>8.71</v>
      </c>
      <c r="CX11" s="287">
        <v>3.03</v>
      </c>
      <c r="CY11" s="202">
        <v>1.72</v>
      </c>
      <c r="CZ11" s="166">
        <v>7.24</v>
      </c>
      <c r="DA11" s="202">
        <v>3.13</v>
      </c>
      <c r="DB11" s="24">
        <v>75</v>
      </c>
      <c r="DC11" s="24">
        <v>45</v>
      </c>
      <c r="DD11" s="24">
        <v>15</v>
      </c>
      <c r="DE11" s="24"/>
      <c r="DF11" s="24"/>
      <c r="DG11" s="21" t="str">
        <f>"2[]-"&amp;DH$11&amp;"x"&amp;DI11&amp;" mm."</f>
        <v>2[]-75x45x15x1.6 mm.</v>
      </c>
      <c r="DH11" s="481" t="s">
        <v>290</v>
      </c>
      <c r="DI11" s="174">
        <v>1.6</v>
      </c>
      <c r="DJ11" s="210">
        <f t="shared" si="2"/>
        <v>5.904</v>
      </c>
      <c r="DK11" s="158">
        <f t="shared" si="3"/>
        <v>4.64</v>
      </c>
      <c r="DL11" s="287">
        <v>0</v>
      </c>
      <c r="DM11" s="202">
        <v>1.06</v>
      </c>
      <c r="DN11" s="166">
        <f t="shared" si="4"/>
        <v>54.2</v>
      </c>
      <c r="DO11" s="174">
        <f t="shared" si="5"/>
        <v>17.42</v>
      </c>
      <c r="DP11" s="287">
        <v>2.37</v>
      </c>
      <c r="DQ11" s="202">
        <v>1.11</v>
      </c>
      <c r="DR11" s="166">
        <f t="shared" si="6"/>
        <v>14.48</v>
      </c>
      <c r="DS11" s="202">
        <f t="shared" si="7"/>
        <v>6.26</v>
      </c>
      <c r="DT11" s="24">
        <f t="shared" si="8"/>
        <v>75</v>
      </c>
      <c r="DU11" s="24">
        <f t="shared" si="9"/>
        <v>90</v>
      </c>
      <c r="DV11" s="24">
        <f t="shared" si="10"/>
        <v>15</v>
      </c>
      <c r="DW11" s="24"/>
      <c r="DX11" s="24"/>
      <c r="DY11" s="24"/>
      <c r="DZ11" s="24"/>
      <c r="EA11" s="24"/>
      <c r="EB11" s="21">
        <v>3</v>
      </c>
      <c r="EC11" s="21" t="s">
        <v>308</v>
      </c>
      <c r="ED11" s="22" t="e">
        <f>VLOOKUP($ED$7,$AJ$6:$AY$22,7,FALSE)</f>
        <v>#N/A</v>
      </c>
      <c r="EE11" s="22" t="e">
        <f>VLOOKUP($ED$7,$AJ$6:$AY$22,8,FALSE)</f>
        <v>#N/A</v>
      </c>
      <c r="EF11" s="22" t="e">
        <f>VLOOKUP($ED$7,$AJ$6:$AY$22,11,FALSE)</f>
        <v>#N/A</v>
      </c>
      <c r="EG11" s="22" t="e">
        <f>VLOOKUP($ED$7,$AJ$6:$AY$22,12,FALSE)</f>
        <v>#N/A</v>
      </c>
      <c r="EH11" s="22" t="e">
        <f>VLOOKUP($ED$7,$AJ$6:$AY$22,15,FALSE)</f>
        <v>#N/A</v>
      </c>
      <c r="EI11" s="22" t="e">
        <f>VLOOKUP($ED$7,$AJ$6:$AY$22,16,FALSE)</f>
        <v>#N/A</v>
      </c>
      <c r="EJ11" s="22" t="e">
        <f>VLOOKUP($ED$7,$AJ$6:$AY$22,13,FALSE)</f>
        <v>#N/A</v>
      </c>
      <c r="EK11" s="22" t="e">
        <f>VLOOKUP($ED$7,$AJ$6:$AY$22,14,FALSE)</f>
        <v>#N/A</v>
      </c>
      <c r="EL11" s="22" t="e">
        <f>VLOOKUP($ED$7,$AJ$6:$BA$22,17,FALSE)</f>
        <v>#N/A</v>
      </c>
      <c r="EM11" s="22" t="e">
        <f>VLOOKUP($ED$7,$AJ$6:$BA$22,18,FALSE)</f>
        <v>#N/A</v>
      </c>
      <c r="EN11" s="22"/>
      <c r="EO11" s="22" t="e">
        <f>VLOOKUP($ED$7,$AJ$6:$BA$22,3,FALSE)</f>
        <v>#N/A</v>
      </c>
      <c r="EP11" s="22" t="e">
        <f>VLOOKUP($ED$7,$AJ$6:$BA$22,4,FALSE)</f>
        <v>#N/A</v>
      </c>
      <c r="EQ11" s="22" t="e">
        <f>VLOOKUP($ED$7,$AJ$6:$BA$22,5,FALSE)</f>
        <v>#N/A</v>
      </c>
      <c r="ER11" s="22" t="e">
        <f>VLOOKUP($ED$7,$AJ$6:$BA$22,6,FALSE)</f>
        <v>#N/A</v>
      </c>
    </row>
    <row r="12" spans="3:145" ht="14.25">
      <c r="C12" s="160" t="str">
        <f>"WF-"&amp;D$12&amp;"x"&amp;E12&amp;"x"&amp;F12&amp;" mm."</f>
        <v>WF-200x100x4.5x7 mm.</v>
      </c>
      <c r="D12" s="508" t="s">
        <v>179</v>
      </c>
      <c r="E12" s="182">
        <v>4.5</v>
      </c>
      <c r="F12" s="180">
        <v>7</v>
      </c>
      <c r="G12" s="220">
        <v>11</v>
      </c>
      <c r="H12" s="228">
        <v>23.18</v>
      </c>
      <c r="I12" s="239">
        <v>12.2</v>
      </c>
      <c r="J12" s="256">
        <v>1580</v>
      </c>
      <c r="K12" s="257">
        <v>114</v>
      </c>
      <c r="L12" s="244">
        <v>8.3</v>
      </c>
      <c r="M12" s="269">
        <v>2.21</v>
      </c>
      <c r="N12" s="179">
        <v>160</v>
      </c>
      <c r="O12" s="196">
        <v>23</v>
      </c>
      <c r="P12" s="22">
        <v>198</v>
      </c>
      <c r="Q12" s="22">
        <v>99</v>
      </c>
      <c r="S12" s="160" t="str">
        <f t="shared" si="1"/>
        <v>I-200x150x9x16 mm.</v>
      </c>
      <c r="T12" s="276" t="s">
        <v>180</v>
      </c>
      <c r="U12" s="167">
        <v>9</v>
      </c>
      <c r="V12" s="24">
        <v>16</v>
      </c>
      <c r="W12" s="167">
        <v>15</v>
      </c>
      <c r="X12" s="24">
        <v>75</v>
      </c>
      <c r="Y12" s="212">
        <v>64.16</v>
      </c>
      <c r="Z12" s="24">
        <v>50.4</v>
      </c>
      <c r="AA12" s="195">
        <v>4460</v>
      </c>
      <c r="AB12" s="277">
        <v>753</v>
      </c>
      <c r="AC12" s="179">
        <v>8.34</v>
      </c>
      <c r="AD12" s="277">
        <v>3.43</v>
      </c>
      <c r="AE12" s="179">
        <v>446</v>
      </c>
      <c r="AF12" s="277">
        <v>10</v>
      </c>
      <c r="AG12" s="22">
        <v>200</v>
      </c>
      <c r="AH12" s="22">
        <v>150</v>
      </c>
      <c r="AJ12" s="160" t="str">
        <f>"[-"&amp;AK$11&amp;"x"&amp;AL12&amp;"x"&amp;AM12&amp;" mm."</f>
        <v>[-180x75x7.5x11 mm.</v>
      </c>
      <c r="AK12" s="197" t="s">
        <v>192</v>
      </c>
      <c r="AL12" s="168">
        <v>7.5</v>
      </c>
      <c r="AM12" s="168">
        <v>11</v>
      </c>
      <c r="AN12" s="168">
        <v>12</v>
      </c>
      <c r="AO12" s="172">
        <v>6</v>
      </c>
      <c r="AP12" s="211">
        <v>31.33</v>
      </c>
      <c r="AQ12" s="177">
        <v>24.6</v>
      </c>
      <c r="AR12" s="197">
        <v>0</v>
      </c>
      <c r="AS12" s="198">
        <v>2.21</v>
      </c>
      <c r="AT12" s="171">
        <v>1950</v>
      </c>
      <c r="AU12" s="172">
        <v>168</v>
      </c>
      <c r="AV12" s="197">
        <v>7.88</v>
      </c>
      <c r="AW12" s="198">
        <v>2.32</v>
      </c>
      <c r="AX12" s="171">
        <v>195</v>
      </c>
      <c r="AY12" s="198">
        <v>29.1</v>
      </c>
      <c r="AZ12" s="22">
        <v>200</v>
      </c>
      <c r="BA12" s="22">
        <v>80</v>
      </c>
      <c r="BC12" s="21" t="str">
        <f>"Tube-"&amp;BE$12&amp;"x"&amp;BF12&amp;" mm."</f>
        <v>Tube-38x38x2.3 mm.</v>
      </c>
      <c r="BD12" s="481" t="s">
        <v>240</v>
      </c>
      <c r="BE12" s="504" t="s">
        <v>214</v>
      </c>
      <c r="BF12" s="212">
        <v>2.3</v>
      </c>
      <c r="BG12" s="24">
        <v>3.148</v>
      </c>
      <c r="BH12" s="212">
        <v>2.47</v>
      </c>
      <c r="BI12" s="24">
        <v>6.54</v>
      </c>
      <c r="BJ12" s="212">
        <v>3.44</v>
      </c>
      <c r="BK12" s="277">
        <v>1.44</v>
      </c>
      <c r="BL12" s="22">
        <v>38</v>
      </c>
      <c r="BO12" s="21" t="str">
        <f>"Tube-"&amp;BQ$12&amp;"x"&amp;BR12&amp;" mm."</f>
        <v>Tube-75x45x1.6 mm.</v>
      </c>
      <c r="BP12" s="481" t="s">
        <v>248</v>
      </c>
      <c r="BQ12" s="504" t="s">
        <v>233</v>
      </c>
      <c r="BR12" s="212">
        <v>1.6</v>
      </c>
      <c r="BS12" s="24">
        <v>3.67</v>
      </c>
      <c r="BT12" s="212">
        <v>2.88</v>
      </c>
      <c r="BU12" s="179">
        <v>28.4</v>
      </c>
      <c r="BV12" s="178">
        <v>12.9</v>
      </c>
      <c r="BW12" s="195">
        <v>7.56</v>
      </c>
      <c r="BX12" s="196">
        <v>5.75</v>
      </c>
      <c r="BY12" s="179">
        <v>2.78</v>
      </c>
      <c r="BZ12" s="196">
        <v>1.88</v>
      </c>
      <c r="CA12" s="22">
        <v>75</v>
      </c>
      <c r="CB12" s="22">
        <v>45</v>
      </c>
      <c r="CD12" s="21" t="str">
        <f>"Pipe-D"&amp;CF$12&amp;"x"&amp;CG12&amp;" mm."</f>
        <v>Pipe-D48.6x2.3 mm.</v>
      </c>
      <c r="CE12" s="515" t="s">
        <v>275</v>
      </c>
      <c r="CF12" s="530">
        <v>48.6</v>
      </c>
      <c r="CG12" s="158">
        <v>2.3</v>
      </c>
      <c r="CH12" s="210">
        <v>2.63</v>
      </c>
      <c r="CI12" s="158">
        <v>3.35</v>
      </c>
      <c r="CJ12" s="210">
        <v>8.99</v>
      </c>
      <c r="CK12" s="210">
        <v>3.7</v>
      </c>
      <c r="CL12" s="273">
        <v>1.61</v>
      </c>
      <c r="CM12" s="21">
        <v>48.6</v>
      </c>
      <c r="CO12" s="21" t="str">
        <f>"[-"&amp;CP$11&amp;"x"&amp;CQ12&amp;" mm."</f>
        <v>[-75x45x15x2 mm.</v>
      </c>
      <c r="CP12" s="482"/>
      <c r="CQ12" s="178">
        <v>2</v>
      </c>
      <c r="CR12" s="212">
        <v>3.637</v>
      </c>
      <c r="CS12" s="24">
        <v>2.86</v>
      </c>
      <c r="CT12" s="195">
        <v>0</v>
      </c>
      <c r="CU12" s="196">
        <v>1.72</v>
      </c>
      <c r="CV12" s="179">
        <v>33</v>
      </c>
      <c r="CW12" s="178">
        <v>10.5</v>
      </c>
      <c r="CX12" s="195">
        <v>3.01</v>
      </c>
      <c r="CY12" s="196">
        <v>1.7</v>
      </c>
      <c r="CZ12" s="179">
        <v>8.79</v>
      </c>
      <c r="DA12" s="196">
        <v>3.76</v>
      </c>
      <c r="DB12" s="24">
        <v>75</v>
      </c>
      <c r="DC12" s="24">
        <v>45</v>
      </c>
      <c r="DD12" s="24">
        <v>15</v>
      </c>
      <c r="DE12" s="24"/>
      <c r="DF12" s="24"/>
      <c r="DG12" s="21" t="str">
        <f>"2[]-"&amp;DH$11&amp;"x"&amp;DI12&amp;" mm."</f>
        <v>2[]-75x45x15x2 mm.</v>
      </c>
      <c r="DH12" s="482"/>
      <c r="DI12" s="178">
        <v>2</v>
      </c>
      <c r="DJ12" s="212">
        <f t="shared" si="2"/>
        <v>7.274</v>
      </c>
      <c r="DK12" s="24">
        <f t="shared" si="3"/>
        <v>5.72</v>
      </c>
      <c r="DL12" s="195">
        <v>0</v>
      </c>
      <c r="DM12" s="196">
        <v>1.06</v>
      </c>
      <c r="DN12" s="179">
        <f t="shared" si="4"/>
        <v>66</v>
      </c>
      <c r="DO12" s="178">
        <f t="shared" si="5"/>
        <v>21</v>
      </c>
      <c r="DP12" s="195">
        <v>2.37</v>
      </c>
      <c r="DQ12" s="196">
        <v>1.11</v>
      </c>
      <c r="DR12" s="179">
        <f t="shared" si="6"/>
        <v>17.58</v>
      </c>
      <c r="DS12" s="196">
        <f t="shared" si="7"/>
        <v>7.52</v>
      </c>
      <c r="DT12" s="24">
        <f t="shared" si="8"/>
        <v>75</v>
      </c>
      <c r="DU12" s="24">
        <f t="shared" si="9"/>
        <v>90</v>
      </c>
      <c r="DV12" s="24">
        <f t="shared" si="10"/>
        <v>15</v>
      </c>
      <c r="DW12" s="24"/>
      <c r="DX12" s="24"/>
      <c r="DY12" s="24"/>
      <c r="DZ12" s="24"/>
      <c r="EA12" s="24"/>
      <c r="EB12" s="21">
        <v>4</v>
      </c>
      <c r="EC12" s="21" t="s">
        <v>311</v>
      </c>
      <c r="ED12" s="22" t="e">
        <f>VLOOKUP($ED$7,$BC$6:$BK$37,5,FALSE)</f>
        <v>#N/A</v>
      </c>
      <c r="EE12" s="22" t="e">
        <f>VLOOKUP($ED$7,$BC$6:$BK$37,6,FALSE)</f>
        <v>#N/A</v>
      </c>
      <c r="EF12" s="22" t="e">
        <f>VLOOKUP($ED$7,$BC$6:$BK$37,7,FALSE)</f>
        <v>#N/A</v>
      </c>
      <c r="EG12" s="22" t="e">
        <f>VLOOKUP($ED$7,$BC$6:$BK$37,7,FALSE)</f>
        <v>#N/A</v>
      </c>
      <c r="EH12" s="22" t="e">
        <f>VLOOKUP($ED$7,$BC$6:$BK$37,8,FALSE)</f>
        <v>#N/A</v>
      </c>
      <c r="EI12" s="22" t="e">
        <f>VLOOKUP($ED$7,$BC$6:$BK$37,8,FALSE)</f>
        <v>#N/A</v>
      </c>
      <c r="EJ12" s="22" t="e">
        <f>VLOOKUP($ED$7,$BC$6:$BK$37,9,FALSE)</f>
        <v>#N/A</v>
      </c>
      <c r="EK12" s="22" t="e">
        <f>VLOOKUP($ED$7,$BC$6:$BK$37,9,FALSE)</f>
        <v>#N/A</v>
      </c>
      <c r="EL12" s="22" t="e">
        <f>VLOOKUP($ED$7,$BC$6:$BL$37,10,FALSE)</f>
        <v>#N/A</v>
      </c>
      <c r="EM12" s="22" t="e">
        <f>VLOOKUP($ED$7,$BC$6:$BL$37,10,FALSE)</f>
        <v>#N/A</v>
      </c>
      <c r="EN12" s="22"/>
      <c r="EO12" s="22" t="e">
        <f>VLOOKUP($ED$7,$BC$6:$BL$37,4,FALSE)</f>
        <v>#N/A</v>
      </c>
    </row>
    <row r="13" spans="3:145" ht="14.25">
      <c r="C13" s="160" t="str">
        <f>"WF-"&amp;D$12&amp;"x"&amp;E13&amp;"x"&amp;F13&amp;" mm."</f>
        <v>WF-200x100x5.5x8 mm.</v>
      </c>
      <c r="D13" s="508"/>
      <c r="E13" s="182">
        <v>5.5</v>
      </c>
      <c r="F13" s="180">
        <v>8</v>
      </c>
      <c r="G13" s="220">
        <v>11</v>
      </c>
      <c r="H13" s="228">
        <v>27.16</v>
      </c>
      <c r="I13" s="239">
        <v>21.3</v>
      </c>
      <c r="J13" s="256">
        <v>1840</v>
      </c>
      <c r="K13" s="257">
        <v>134</v>
      </c>
      <c r="L13" s="244">
        <v>8.24</v>
      </c>
      <c r="M13" s="269">
        <v>2.22</v>
      </c>
      <c r="N13" s="179">
        <v>184</v>
      </c>
      <c r="O13" s="196">
        <v>26.8</v>
      </c>
      <c r="P13" s="22">
        <v>200</v>
      </c>
      <c r="Q13" s="22">
        <v>100</v>
      </c>
      <c r="S13" s="160" t="str">
        <f>"I-"&amp;T$13&amp;"x"&amp;U13&amp;"x"&amp;V13&amp;" mm."</f>
        <v>I-250x125x7.5x12.5 mm.</v>
      </c>
      <c r="T13" s="515" t="s">
        <v>181</v>
      </c>
      <c r="U13" s="165">
        <v>7.5</v>
      </c>
      <c r="V13" s="158">
        <v>12.5</v>
      </c>
      <c r="W13" s="165">
        <v>12</v>
      </c>
      <c r="X13" s="158">
        <v>6</v>
      </c>
      <c r="Y13" s="210">
        <v>48.79</v>
      </c>
      <c r="Z13" s="158">
        <v>38.3</v>
      </c>
      <c r="AA13" s="287">
        <v>5180</v>
      </c>
      <c r="AB13" s="273">
        <v>337</v>
      </c>
      <c r="AC13" s="166">
        <v>10.3</v>
      </c>
      <c r="AD13" s="273">
        <v>2.63</v>
      </c>
      <c r="AE13" s="166">
        <v>414</v>
      </c>
      <c r="AF13" s="273">
        <v>53.9</v>
      </c>
      <c r="AG13" s="22">
        <v>250</v>
      </c>
      <c r="AH13" s="22">
        <v>125</v>
      </c>
      <c r="AJ13" s="160" t="str">
        <f>"[-"&amp;AK$11&amp;"x"&amp;AL13&amp;"x"&amp;AM13&amp;" mm."</f>
        <v>[-180x75x8x13.5 mm.</v>
      </c>
      <c r="AK13" s="195" t="s">
        <v>193</v>
      </c>
      <c r="AL13" s="167">
        <v>8</v>
      </c>
      <c r="AM13" s="167">
        <v>13.5</v>
      </c>
      <c r="AN13" s="167">
        <v>14</v>
      </c>
      <c r="AO13" s="178">
        <v>7</v>
      </c>
      <c r="AP13" s="212">
        <v>38.65</v>
      </c>
      <c r="AQ13" s="24">
        <v>30.3</v>
      </c>
      <c r="AR13" s="195">
        <v>0</v>
      </c>
      <c r="AS13" s="196">
        <v>2.74</v>
      </c>
      <c r="AT13" s="179">
        <v>2490</v>
      </c>
      <c r="AU13" s="178">
        <v>277</v>
      </c>
      <c r="AV13" s="195">
        <v>8.02</v>
      </c>
      <c r="AW13" s="196">
        <v>2.72</v>
      </c>
      <c r="AX13" s="179">
        <v>249</v>
      </c>
      <c r="AY13" s="196">
        <v>44.2</v>
      </c>
      <c r="AZ13" s="22">
        <v>200</v>
      </c>
      <c r="BA13" s="22">
        <v>90</v>
      </c>
      <c r="BC13" s="21" t="str">
        <f>"Tube-"&amp;BE$12&amp;"x"&amp;BF13&amp;" mm."</f>
        <v>Tube-38x38x3.2 mm.</v>
      </c>
      <c r="BD13" s="483"/>
      <c r="BE13" s="505"/>
      <c r="BF13" s="284">
        <v>3.2</v>
      </c>
      <c r="BG13" s="28">
        <v>4.191</v>
      </c>
      <c r="BH13" s="284">
        <v>3.29</v>
      </c>
      <c r="BI13" s="28">
        <v>8.18</v>
      </c>
      <c r="BJ13" s="284">
        <v>4.3</v>
      </c>
      <c r="BK13" s="278">
        <v>1.4</v>
      </c>
      <c r="BL13" s="22">
        <v>38</v>
      </c>
      <c r="BO13" s="21" t="str">
        <f>"Tube-"&amp;BQ$12&amp;"x"&amp;BR13&amp;" mm."</f>
        <v>Tube-75x45x2.3 mm.</v>
      </c>
      <c r="BP13" s="482"/>
      <c r="BQ13" s="504"/>
      <c r="BR13" s="212">
        <v>2.3</v>
      </c>
      <c r="BS13" s="24">
        <v>5.17</v>
      </c>
      <c r="BT13" s="212">
        <v>4.06</v>
      </c>
      <c r="BU13" s="179">
        <v>38.9</v>
      </c>
      <c r="BV13" s="178">
        <v>17.6</v>
      </c>
      <c r="BW13" s="195">
        <v>10.4</v>
      </c>
      <c r="BX13" s="196">
        <v>7.82</v>
      </c>
      <c r="BY13" s="179">
        <v>2.74</v>
      </c>
      <c r="BZ13" s="196">
        <v>1.84</v>
      </c>
      <c r="CA13" s="22">
        <v>75</v>
      </c>
      <c r="CB13" s="22">
        <v>45</v>
      </c>
      <c r="CD13" s="21" t="str">
        <f>"Pipe-D"&amp;CF$12&amp;"x"&amp;CG13&amp;" mm."</f>
        <v>Pipe-D48.6x2.5 mm.</v>
      </c>
      <c r="CE13" s="514"/>
      <c r="CF13" s="529"/>
      <c r="CG13" s="24">
        <v>2.5</v>
      </c>
      <c r="CH13" s="212">
        <v>2.84</v>
      </c>
      <c r="CI13" s="24">
        <v>3.62</v>
      </c>
      <c r="CJ13" s="212">
        <v>9.65</v>
      </c>
      <c r="CK13" s="212">
        <v>3.97</v>
      </c>
      <c r="CL13" s="277">
        <v>1.63</v>
      </c>
      <c r="CM13" s="21">
        <v>48.6</v>
      </c>
      <c r="CO13" s="21" t="str">
        <f>"[-"&amp;CP$11&amp;"x"&amp;CQ13&amp;" mm."</f>
        <v>[-75x45x15x2.3 mm.</v>
      </c>
      <c r="CP13" s="483"/>
      <c r="CQ13" s="290">
        <v>2.3</v>
      </c>
      <c r="CR13" s="284">
        <v>4.137</v>
      </c>
      <c r="CS13" s="28">
        <v>3.25</v>
      </c>
      <c r="CT13" s="272">
        <v>0</v>
      </c>
      <c r="CU13" s="203">
        <v>1.72</v>
      </c>
      <c r="CV13" s="170">
        <v>37.1</v>
      </c>
      <c r="CW13" s="290">
        <v>11.8</v>
      </c>
      <c r="CX13" s="272">
        <v>3</v>
      </c>
      <c r="CY13" s="203">
        <v>1.69</v>
      </c>
      <c r="CZ13" s="170">
        <v>9.9</v>
      </c>
      <c r="DA13" s="203">
        <v>4.24</v>
      </c>
      <c r="DB13" s="24">
        <v>75</v>
      </c>
      <c r="DC13" s="24">
        <v>45</v>
      </c>
      <c r="DD13" s="24">
        <v>15</v>
      </c>
      <c r="DE13" s="24"/>
      <c r="DF13" s="24"/>
      <c r="DG13" s="21" t="str">
        <f>"2[]-"&amp;DH$11&amp;"x"&amp;DI13&amp;" mm."</f>
        <v>2[]-75x45x15x2.3 mm.</v>
      </c>
      <c r="DH13" s="483"/>
      <c r="DI13" s="290">
        <v>2.3</v>
      </c>
      <c r="DJ13" s="284">
        <f t="shared" si="2"/>
        <v>8.274</v>
      </c>
      <c r="DK13" s="28">
        <f t="shared" si="3"/>
        <v>6.5</v>
      </c>
      <c r="DL13" s="272">
        <v>0</v>
      </c>
      <c r="DM13" s="203">
        <v>1.06</v>
      </c>
      <c r="DN13" s="170">
        <f t="shared" si="4"/>
        <v>74.2</v>
      </c>
      <c r="DO13" s="290">
        <f t="shared" si="5"/>
        <v>23.6</v>
      </c>
      <c r="DP13" s="272">
        <v>2.37</v>
      </c>
      <c r="DQ13" s="203">
        <v>1.11</v>
      </c>
      <c r="DR13" s="170">
        <f t="shared" si="6"/>
        <v>19.8</v>
      </c>
      <c r="DS13" s="203">
        <f t="shared" si="7"/>
        <v>8.48</v>
      </c>
      <c r="DT13" s="24">
        <f t="shared" si="8"/>
        <v>75</v>
      </c>
      <c r="DU13" s="24">
        <f t="shared" si="9"/>
        <v>90</v>
      </c>
      <c r="DV13" s="24">
        <f t="shared" si="10"/>
        <v>15</v>
      </c>
      <c r="DW13" s="24"/>
      <c r="DX13" s="24"/>
      <c r="DY13" s="24"/>
      <c r="DZ13" s="24"/>
      <c r="EA13" s="24"/>
      <c r="EB13" s="21">
        <v>5</v>
      </c>
      <c r="EC13" s="21" t="s">
        <v>309</v>
      </c>
      <c r="ED13" s="22" t="e">
        <f>VLOOKUP($ED$7,$BO$6:$BZ$31,5,FALSE)</f>
        <v>#N/A</v>
      </c>
      <c r="EE13" s="22" t="e">
        <f>VLOOKUP($ED$7,$BO$6:$BZ$31,6,FALSE)</f>
        <v>#N/A</v>
      </c>
      <c r="EF13" s="22" t="e">
        <f>VLOOKUP($ED$7,$BO$6:$BZ$31,7,FALSE)</f>
        <v>#N/A</v>
      </c>
      <c r="EG13" s="22" t="e">
        <f>VLOOKUP($ED$7,$BO$6:$BZ$31,8,FALSE)</f>
        <v>#N/A</v>
      </c>
      <c r="EH13" s="22" t="e">
        <f>VLOOKUP($ED$7,$BO$6:$BZ$31,9,FALSE)</f>
        <v>#N/A</v>
      </c>
      <c r="EI13" s="22" t="e">
        <f>VLOOKUP($ED$7,$BO$6:$BZ$31,10,FALSE)</f>
        <v>#N/A</v>
      </c>
      <c r="EJ13" s="22" t="e">
        <f>VLOOKUP($ED$7,$BO$6:$BZ$31,11,FALSE)</f>
        <v>#N/A</v>
      </c>
      <c r="EK13" s="22" t="e">
        <f>VLOOKUP($ED$7,$BO$6:$BZ$31,12,FALSE)</f>
        <v>#N/A</v>
      </c>
      <c r="EL13" s="22" t="e">
        <f>VLOOKUP($ED$7,$BO$6:$CB$31,13,FALSE)</f>
        <v>#N/A</v>
      </c>
      <c r="EM13" s="22" t="e">
        <f>VLOOKUP($ED$7,$BO$6:$CB$31,14,FALSE)</f>
        <v>#N/A</v>
      </c>
      <c r="EN13" s="22"/>
      <c r="EO13" s="22" t="e">
        <f>VLOOKUP($ED$7,$BO$6:$CB$31,4,FALSE)</f>
        <v>#N/A</v>
      </c>
    </row>
    <row r="14" spans="3:146" ht="14.25">
      <c r="C14" s="160" t="str">
        <f>"WF-"&amp;D$14&amp;"x"&amp;E14&amp;"x"&amp;F14&amp;" mm."</f>
        <v>WF-200x150x6x9 mm.</v>
      </c>
      <c r="D14" s="200" t="s">
        <v>180</v>
      </c>
      <c r="E14" s="181">
        <v>6</v>
      </c>
      <c r="F14" s="175">
        <v>9</v>
      </c>
      <c r="G14" s="219">
        <v>13</v>
      </c>
      <c r="H14" s="209">
        <v>39.01</v>
      </c>
      <c r="I14" s="238">
        <v>30.6</v>
      </c>
      <c r="J14" s="254">
        <v>2690</v>
      </c>
      <c r="K14" s="255">
        <v>507</v>
      </c>
      <c r="L14" s="243">
        <v>8.3</v>
      </c>
      <c r="M14" s="268">
        <v>3.61</v>
      </c>
      <c r="N14" s="171">
        <v>227</v>
      </c>
      <c r="O14" s="198">
        <v>68</v>
      </c>
      <c r="P14" s="22">
        <v>194</v>
      </c>
      <c r="Q14" s="22">
        <v>150</v>
      </c>
      <c r="S14" s="160" t="str">
        <f>"I-"&amp;T$13&amp;"x"&amp;U14&amp;"x"&amp;V14&amp;" mm."</f>
        <v>I-250x125x10x19 mm.</v>
      </c>
      <c r="T14" s="516"/>
      <c r="U14" s="169">
        <v>10</v>
      </c>
      <c r="V14" s="28">
        <v>19</v>
      </c>
      <c r="W14" s="169">
        <v>21</v>
      </c>
      <c r="X14" s="28">
        <v>10.5</v>
      </c>
      <c r="Y14" s="284">
        <v>70.73</v>
      </c>
      <c r="Z14" s="28">
        <v>55.5</v>
      </c>
      <c r="AA14" s="272">
        <v>7310</v>
      </c>
      <c r="AB14" s="278">
        <v>538</v>
      </c>
      <c r="AC14" s="170">
        <v>10.2</v>
      </c>
      <c r="AD14" s="278">
        <v>2.76</v>
      </c>
      <c r="AE14" s="170">
        <v>585</v>
      </c>
      <c r="AF14" s="278">
        <v>86</v>
      </c>
      <c r="AG14" s="22">
        <v>250</v>
      </c>
      <c r="AH14" s="22">
        <v>125</v>
      </c>
      <c r="AJ14" s="160" t="str">
        <f>"[-"&amp;AK$11&amp;"x"&amp;AL14&amp;"x"&amp;AM14&amp;" mm."</f>
        <v>[-180x75x8.5x13.5 mm.</v>
      </c>
      <c r="AK14" s="197" t="s">
        <v>194</v>
      </c>
      <c r="AL14" s="168">
        <v>8.5</v>
      </c>
      <c r="AM14" s="168">
        <v>13.5</v>
      </c>
      <c r="AN14" s="168">
        <v>15</v>
      </c>
      <c r="AO14" s="172">
        <v>7.5</v>
      </c>
      <c r="AP14" s="211">
        <v>42.14</v>
      </c>
      <c r="AQ14" s="177">
        <v>33.1</v>
      </c>
      <c r="AR14" s="197">
        <v>0</v>
      </c>
      <c r="AS14" s="198">
        <v>2.58</v>
      </c>
      <c r="AT14" s="171">
        <v>3490</v>
      </c>
      <c r="AU14" s="172">
        <v>303</v>
      </c>
      <c r="AV14" s="197">
        <v>9.1</v>
      </c>
      <c r="AW14" s="198">
        <v>2.68</v>
      </c>
      <c r="AX14" s="171">
        <v>304</v>
      </c>
      <c r="AY14" s="198">
        <v>47.3</v>
      </c>
      <c r="AZ14" s="22">
        <v>230</v>
      </c>
      <c r="BA14" s="22">
        <v>90</v>
      </c>
      <c r="BC14" s="21" t="str">
        <f>"Tube-"&amp;BE$14&amp;"x"&amp;BF14&amp;" mm."</f>
        <v>Tube-50x50x1.6 mm.</v>
      </c>
      <c r="BD14" s="481" t="s">
        <v>241</v>
      </c>
      <c r="BE14" s="503" t="s">
        <v>215</v>
      </c>
      <c r="BF14" s="212">
        <v>1.6</v>
      </c>
      <c r="BG14" s="24">
        <v>3.03</v>
      </c>
      <c r="BH14" s="212">
        <v>2.38</v>
      </c>
      <c r="BI14" s="24">
        <v>11.7</v>
      </c>
      <c r="BJ14" s="212">
        <v>4.68</v>
      </c>
      <c r="BK14" s="277">
        <v>1.96</v>
      </c>
      <c r="BL14" s="22">
        <v>50</v>
      </c>
      <c r="BO14" s="21" t="str">
        <f>"Tube-"&amp;BQ$12&amp;"x"&amp;BR14&amp;" mm."</f>
        <v>Tube-75x45x3.2 mm.</v>
      </c>
      <c r="BP14" s="483"/>
      <c r="BQ14" s="504"/>
      <c r="BR14" s="212">
        <v>3.2</v>
      </c>
      <c r="BS14" s="24">
        <v>7.01</v>
      </c>
      <c r="BT14" s="212">
        <v>5.5</v>
      </c>
      <c r="BU14" s="179">
        <v>50.8</v>
      </c>
      <c r="BV14" s="178">
        <v>22.8</v>
      </c>
      <c r="BW14" s="195">
        <v>13.5</v>
      </c>
      <c r="BX14" s="196">
        <v>10.1</v>
      </c>
      <c r="BY14" s="179">
        <v>2.69</v>
      </c>
      <c r="BZ14" s="196">
        <v>1.8</v>
      </c>
      <c r="CA14" s="22">
        <v>75</v>
      </c>
      <c r="CB14" s="22">
        <v>45</v>
      </c>
      <c r="CD14" s="21" t="str">
        <f>"Pipe-D"&amp;CF$12&amp;"x"&amp;CG14&amp;" mm."</f>
        <v>Pipe-D48.6x2.8 mm.</v>
      </c>
      <c r="CE14" s="514"/>
      <c r="CF14" s="529"/>
      <c r="CG14" s="24">
        <v>2.8</v>
      </c>
      <c r="CH14" s="212">
        <v>3.16</v>
      </c>
      <c r="CI14" s="24">
        <v>4.03</v>
      </c>
      <c r="CJ14" s="212">
        <v>10.6</v>
      </c>
      <c r="CK14" s="212">
        <v>4.36</v>
      </c>
      <c r="CL14" s="277">
        <v>1.62</v>
      </c>
      <c r="CM14" s="21">
        <v>48.6</v>
      </c>
      <c r="CO14" s="21" t="str">
        <f>"[-"&amp;CP$14&amp;"x"&amp;CQ14&amp;" mm."</f>
        <v>[-90x45x20x1.6 mm.</v>
      </c>
      <c r="CP14" s="481" t="s">
        <v>291</v>
      </c>
      <c r="CQ14" s="178">
        <v>1.6</v>
      </c>
      <c r="CR14" s="212">
        <v>3.352</v>
      </c>
      <c r="CS14" s="24">
        <v>2.63</v>
      </c>
      <c r="CT14" s="195">
        <v>0</v>
      </c>
      <c r="CU14" s="196">
        <v>1.73</v>
      </c>
      <c r="CV14" s="179">
        <v>42.6</v>
      </c>
      <c r="CW14" s="178">
        <v>10.5</v>
      </c>
      <c r="CX14" s="195">
        <v>3.56</v>
      </c>
      <c r="CY14" s="196">
        <v>1.77</v>
      </c>
      <c r="CZ14" s="179">
        <v>9.46</v>
      </c>
      <c r="DA14" s="196">
        <v>5.8</v>
      </c>
      <c r="DB14" s="24">
        <v>90</v>
      </c>
      <c r="DC14" s="24">
        <v>45</v>
      </c>
      <c r="DD14" s="24">
        <v>20</v>
      </c>
      <c r="DE14" s="24"/>
      <c r="DF14" s="24"/>
      <c r="DG14" s="21" t="str">
        <f>"2[]-"&amp;DH$14&amp;"x"&amp;DI14&amp;" mm."</f>
        <v>2[]-90x45x20x1.6 mm.</v>
      </c>
      <c r="DH14" s="481" t="s">
        <v>291</v>
      </c>
      <c r="DI14" s="178">
        <v>1.6</v>
      </c>
      <c r="DJ14" s="210">
        <f t="shared" si="2"/>
        <v>6.704</v>
      </c>
      <c r="DK14" s="158">
        <f t="shared" si="3"/>
        <v>5.26</v>
      </c>
      <c r="DL14" s="287">
        <v>0</v>
      </c>
      <c r="DM14" s="202">
        <v>1.06</v>
      </c>
      <c r="DN14" s="166">
        <f t="shared" si="4"/>
        <v>85.2</v>
      </c>
      <c r="DO14" s="174">
        <f t="shared" si="5"/>
        <v>21</v>
      </c>
      <c r="DP14" s="287">
        <v>2.37</v>
      </c>
      <c r="DQ14" s="202">
        <v>1.11</v>
      </c>
      <c r="DR14" s="166">
        <f t="shared" si="6"/>
        <v>18.92</v>
      </c>
      <c r="DS14" s="202">
        <f t="shared" si="7"/>
        <v>11.6</v>
      </c>
      <c r="DT14" s="24">
        <f t="shared" si="8"/>
        <v>90</v>
      </c>
      <c r="DU14" s="24">
        <f t="shared" si="9"/>
        <v>90</v>
      </c>
      <c r="DV14" s="24">
        <f t="shared" si="10"/>
        <v>20</v>
      </c>
      <c r="DW14" s="24"/>
      <c r="DX14" s="24"/>
      <c r="DY14" s="24"/>
      <c r="DZ14" s="24"/>
      <c r="EA14" s="24"/>
      <c r="EB14" s="21">
        <v>6</v>
      </c>
      <c r="EC14" s="21" t="s">
        <v>278</v>
      </c>
      <c r="ED14" s="22" t="e">
        <f>VLOOKUP($ED$7,$CD$6:$CL$40,6,FALSE)</f>
        <v>#N/A</v>
      </c>
      <c r="EE14" s="22" t="e">
        <f>VLOOKUP($ED$7,$CD$6:$CL$40,5,FALSE)</f>
        <v>#N/A</v>
      </c>
      <c r="EF14" s="22" t="e">
        <f>VLOOKUP($ED$7,$CD$6:$CL$40,7,FALSE)</f>
        <v>#N/A</v>
      </c>
      <c r="EG14" s="22" t="e">
        <f>VLOOKUP($ED$7,$CD$6:$CL$40,7,FALSE)</f>
        <v>#N/A</v>
      </c>
      <c r="EH14" s="22" t="e">
        <f>VLOOKUP($ED$7,$CD$6:$CL$40,8,FALSE)</f>
        <v>#N/A</v>
      </c>
      <c r="EI14" s="22" t="e">
        <f>VLOOKUP($ED$7,$CD$6:$CL$40,8,FALSE)</f>
        <v>#N/A</v>
      </c>
      <c r="EJ14" s="22" t="e">
        <f>VLOOKUP($ED$7,$CD$6:$CL$40,9,FALSE)</f>
        <v>#N/A</v>
      </c>
      <c r="EK14" s="22" t="e">
        <f>VLOOKUP($ED$7,$CD$6:$CL$40,9,FALSE)</f>
        <v>#N/A</v>
      </c>
      <c r="EL14" s="22" t="e">
        <f>VLOOKUP($ED$7,$CD$6:$CM$40,10,FALSE)</f>
        <v>#N/A</v>
      </c>
      <c r="EM14" s="22" t="e">
        <f>VLOOKUP($ED$7,$CD$6:$CM$40,10,FALSE)</f>
        <v>#N/A</v>
      </c>
      <c r="EN14" s="22"/>
      <c r="EO14" s="22" t="e">
        <f>VLOOKUP($ED$7,$CD$6:$CL$40,4,FALSE)</f>
        <v>#N/A</v>
      </c>
      <c r="EP14" s="22" t="e">
        <f>VLOOKUP($ED$7,$CD$6:$CL$40,4,FALSE)</f>
        <v>#N/A</v>
      </c>
    </row>
    <row r="15" spans="3:145" ht="14.25">
      <c r="C15" s="160" t="str">
        <f>"WF-"&amp;D$15&amp;"x"&amp;E15&amp;"x"&amp;F15&amp;" mm."</f>
        <v>WF-200X200x8x12 mm.</v>
      </c>
      <c r="D15" s="482" t="s">
        <v>153</v>
      </c>
      <c r="E15" s="182">
        <v>8</v>
      </c>
      <c r="F15" s="180">
        <v>12</v>
      </c>
      <c r="G15" s="220">
        <v>13</v>
      </c>
      <c r="H15" s="228">
        <v>63.53</v>
      </c>
      <c r="I15" s="239">
        <v>49.9</v>
      </c>
      <c r="J15" s="256">
        <v>4720</v>
      </c>
      <c r="K15" s="257">
        <v>1600</v>
      </c>
      <c r="L15" s="244">
        <v>8.62</v>
      </c>
      <c r="M15" s="269">
        <v>5.02</v>
      </c>
      <c r="N15" s="179">
        <v>472</v>
      </c>
      <c r="O15" s="196">
        <v>160</v>
      </c>
      <c r="P15" s="22">
        <v>200</v>
      </c>
      <c r="Q15" s="22">
        <v>200</v>
      </c>
      <c r="S15" s="160" t="str">
        <f>"I-"&amp;T$15&amp;"x"&amp;U15&amp;"x"&amp;V15&amp;" mm."</f>
        <v>I-300x150x8x13 mm.</v>
      </c>
      <c r="T15" s="514" t="s">
        <v>182</v>
      </c>
      <c r="U15" s="167">
        <v>8</v>
      </c>
      <c r="V15" s="24">
        <v>13</v>
      </c>
      <c r="W15" s="167">
        <v>12</v>
      </c>
      <c r="X15" s="24">
        <v>6</v>
      </c>
      <c r="Y15" s="212">
        <v>61.58</v>
      </c>
      <c r="Z15" s="24">
        <v>48.3</v>
      </c>
      <c r="AA15" s="195">
        <v>9480</v>
      </c>
      <c r="AB15" s="277">
        <v>588</v>
      </c>
      <c r="AC15" s="179">
        <v>12.4</v>
      </c>
      <c r="AD15" s="277">
        <v>3.09</v>
      </c>
      <c r="AE15" s="179">
        <v>632</v>
      </c>
      <c r="AF15" s="277">
        <v>78.4</v>
      </c>
      <c r="AG15" s="22">
        <v>300</v>
      </c>
      <c r="AH15" s="22">
        <v>150</v>
      </c>
      <c r="AJ15" s="160" t="str">
        <f>"[-"&amp;AK$15&amp;"x"&amp;AL15&amp;"x"&amp;AM15&amp;" mm."</f>
        <v>[-250x90x9x13 mm.</v>
      </c>
      <c r="AK15" s="482" t="s">
        <v>195</v>
      </c>
      <c r="AL15" s="167">
        <v>9</v>
      </c>
      <c r="AM15" s="167">
        <v>13</v>
      </c>
      <c r="AN15" s="167">
        <v>14</v>
      </c>
      <c r="AO15" s="178">
        <v>7</v>
      </c>
      <c r="AP15" s="212">
        <v>44.07</v>
      </c>
      <c r="AQ15" s="24">
        <v>34.6</v>
      </c>
      <c r="AR15" s="195">
        <v>0</v>
      </c>
      <c r="AS15" s="196">
        <v>2.42</v>
      </c>
      <c r="AT15" s="179">
        <v>4180</v>
      </c>
      <c r="AU15" s="178">
        <v>294</v>
      </c>
      <c r="AV15" s="195">
        <v>9.74</v>
      </c>
      <c r="AW15" s="196">
        <v>2.58</v>
      </c>
      <c r="AX15" s="179">
        <v>334</v>
      </c>
      <c r="AY15" s="196">
        <v>44.5</v>
      </c>
      <c r="AZ15" s="22">
        <v>250</v>
      </c>
      <c r="BA15" s="22">
        <v>90</v>
      </c>
      <c r="BC15" s="21" t="str">
        <f aca="true" t="shared" si="11" ref="BC15:BC20">"Tube-"&amp;BE$14&amp;"x"&amp;BF15&amp;" mm."</f>
        <v>Tube-50x50x2 mm.</v>
      </c>
      <c r="BD15" s="482"/>
      <c r="BE15" s="504"/>
      <c r="BF15" s="212">
        <v>2</v>
      </c>
      <c r="BG15" s="24">
        <v>3.7</v>
      </c>
      <c r="BH15" s="212">
        <v>2.91</v>
      </c>
      <c r="BI15" s="24">
        <v>13.9</v>
      </c>
      <c r="BJ15" s="212">
        <v>5.57</v>
      </c>
      <c r="BK15" s="277">
        <v>1.94</v>
      </c>
      <c r="BL15" s="22">
        <v>50</v>
      </c>
      <c r="BO15" s="21" t="str">
        <f aca="true" t="shared" si="12" ref="BO15:BO20">"Tube-"&amp;BQ$15&amp;"x"&amp;BR15&amp;" mm."</f>
        <v>Tube-100x50x2 mm.</v>
      </c>
      <c r="BP15" s="481" t="s">
        <v>249</v>
      </c>
      <c r="BQ15" s="503" t="s">
        <v>147</v>
      </c>
      <c r="BR15" s="210">
        <v>2</v>
      </c>
      <c r="BS15" s="158">
        <v>5.7</v>
      </c>
      <c r="BT15" s="210">
        <v>4.48</v>
      </c>
      <c r="BU15" s="166">
        <v>74.1</v>
      </c>
      <c r="BV15" s="174">
        <v>25.5</v>
      </c>
      <c r="BW15" s="287">
        <v>14.8</v>
      </c>
      <c r="BX15" s="202">
        <v>10.2</v>
      </c>
      <c r="BY15" s="166">
        <v>3.61</v>
      </c>
      <c r="BZ15" s="202">
        <v>2.11</v>
      </c>
      <c r="CA15" s="22">
        <v>100</v>
      </c>
      <c r="CB15" s="22">
        <v>50</v>
      </c>
      <c r="CD15" s="21" t="str">
        <f>"Pipe-D"&amp;CF$12&amp;"x"&amp;CG15&amp;" mm."</f>
        <v>Pipe-D48.6x3.2 mm.</v>
      </c>
      <c r="CE15" s="516"/>
      <c r="CF15" s="531"/>
      <c r="CG15" s="28">
        <v>3.2</v>
      </c>
      <c r="CH15" s="284">
        <v>3.58</v>
      </c>
      <c r="CI15" s="28">
        <v>4.56</v>
      </c>
      <c r="CJ15" s="284">
        <v>11.8</v>
      </c>
      <c r="CK15" s="284">
        <v>4.86</v>
      </c>
      <c r="CL15" s="278">
        <v>1.61</v>
      </c>
      <c r="CM15" s="21">
        <v>48.6</v>
      </c>
      <c r="CO15" s="21" t="str">
        <f>"[-"&amp;CP$14&amp;"x"&amp;CQ15&amp;" mm."</f>
        <v>[-90x45x20x2.3 mm.</v>
      </c>
      <c r="CP15" s="482"/>
      <c r="CQ15" s="178">
        <v>2.3</v>
      </c>
      <c r="CR15" s="212">
        <v>4.712</v>
      </c>
      <c r="CS15" s="24">
        <v>3.7</v>
      </c>
      <c r="CT15" s="195">
        <v>0</v>
      </c>
      <c r="CU15" s="196">
        <v>1.73</v>
      </c>
      <c r="CV15" s="179">
        <v>58.6</v>
      </c>
      <c r="CW15" s="178">
        <v>14.2</v>
      </c>
      <c r="CX15" s="195">
        <v>3.53</v>
      </c>
      <c r="CY15" s="196">
        <v>1.74</v>
      </c>
      <c r="CZ15" s="179">
        <v>13</v>
      </c>
      <c r="DA15" s="196">
        <v>5.14</v>
      </c>
      <c r="DB15" s="24">
        <v>90</v>
      </c>
      <c r="DC15" s="24">
        <v>45</v>
      </c>
      <c r="DD15" s="24">
        <v>20</v>
      </c>
      <c r="DE15" s="24"/>
      <c r="DF15" s="24"/>
      <c r="DG15" s="21" t="str">
        <f>"2[]-"&amp;DH$14&amp;"x"&amp;DI15&amp;" mm."</f>
        <v>2[]-90x45x20x2.3 mm.</v>
      </c>
      <c r="DH15" s="482"/>
      <c r="DI15" s="178">
        <v>2.3</v>
      </c>
      <c r="DJ15" s="212">
        <f t="shared" si="2"/>
        <v>9.424</v>
      </c>
      <c r="DK15" s="24">
        <f t="shared" si="3"/>
        <v>7.4</v>
      </c>
      <c r="DL15" s="195">
        <v>0</v>
      </c>
      <c r="DM15" s="196">
        <v>1.06</v>
      </c>
      <c r="DN15" s="179">
        <f t="shared" si="4"/>
        <v>117.2</v>
      </c>
      <c r="DO15" s="178">
        <f t="shared" si="5"/>
        <v>28.4</v>
      </c>
      <c r="DP15" s="195">
        <v>2.37</v>
      </c>
      <c r="DQ15" s="196">
        <v>1.11</v>
      </c>
      <c r="DR15" s="179">
        <f t="shared" si="6"/>
        <v>26</v>
      </c>
      <c r="DS15" s="196">
        <f t="shared" si="7"/>
        <v>10.28</v>
      </c>
      <c r="DT15" s="24">
        <f t="shared" si="8"/>
        <v>90</v>
      </c>
      <c r="DU15" s="24">
        <f t="shared" si="9"/>
        <v>90</v>
      </c>
      <c r="DV15" s="24">
        <f t="shared" si="10"/>
        <v>20</v>
      </c>
      <c r="DW15" s="24"/>
      <c r="DX15" s="24"/>
      <c r="DY15" s="24"/>
      <c r="DZ15" s="24"/>
      <c r="EA15" s="24"/>
      <c r="EB15" s="21">
        <v>7</v>
      </c>
      <c r="EC15" s="21" t="s">
        <v>310</v>
      </c>
      <c r="ED15" s="22" t="e">
        <f>VLOOKUP($ED$7,$CO$6:$DA$50,4,FALSE)</f>
        <v>#N/A</v>
      </c>
      <c r="EE15" s="22" t="e">
        <f>VLOOKUP($ED$7,$CO$6:$DA$50,5,FALSE)</f>
        <v>#N/A</v>
      </c>
      <c r="EF15" s="22" t="e">
        <f>VLOOKUP($ED$7,$CO$6:$DA$50,8,FALSE)</f>
        <v>#N/A</v>
      </c>
      <c r="EG15" s="22" t="e">
        <f>VLOOKUP($ED$7,$CO$6:$DA$50,9,FALSE)</f>
        <v>#N/A</v>
      </c>
      <c r="EH15" s="22" t="e">
        <f>VLOOKUP($ED$7,$CO$6:$DA$50,12,FALSE)</f>
        <v>#N/A</v>
      </c>
      <c r="EI15" s="22" t="e">
        <f>VLOOKUP($ED$7,$CO$6:$DA$50,13,FALSE)</f>
        <v>#N/A</v>
      </c>
      <c r="EJ15" s="22" t="e">
        <f>VLOOKUP($ED$7,$CO$6:$DA$50,10,FALSE)</f>
        <v>#N/A</v>
      </c>
      <c r="EK15" s="22" t="e">
        <f>VLOOKUP($ED$7,$CO$6:$DA$50,11,FALSE)</f>
        <v>#N/A</v>
      </c>
      <c r="EL15" s="22" t="e">
        <f>VLOOKUP($ED$7,$CO$6:$DD$50,14,FALSE)</f>
        <v>#N/A</v>
      </c>
      <c r="EM15" s="22" t="e">
        <f>VLOOKUP($ED$7,$CO$6:$DD$50,15,FALSE)</f>
        <v>#N/A</v>
      </c>
      <c r="EN15" s="22" t="e">
        <f>VLOOKUP($ED$7,$CO$6:$DD$50,16,FALSE)</f>
        <v>#N/A</v>
      </c>
      <c r="EO15" s="22" t="e">
        <f>VLOOKUP($ED$7,$CO$6:$DD$50,3,FALSE)</f>
        <v>#N/A</v>
      </c>
    </row>
    <row r="16" spans="3:148" ht="14.25">
      <c r="C16" s="160" t="str">
        <f>"WF-"&amp;D$15&amp;"x"&amp;E16&amp;"x"&amp;F16&amp;" mm."</f>
        <v>WF-200X200x12x12 mm.</v>
      </c>
      <c r="D16" s="482"/>
      <c r="E16" s="182">
        <v>12</v>
      </c>
      <c r="F16" s="180">
        <v>12</v>
      </c>
      <c r="G16" s="220">
        <v>13</v>
      </c>
      <c r="H16" s="228">
        <v>71.53</v>
      </c>
      <c r="I16" s="239">
        <v>37.8</v>
      </c>
      <c r="J16" s="256">
        <v>4980</v>
      </c>
      <c r="K16" s="257">
        <v>1700</v>
      </c>
      <c r="L16" s="244">
        <v>8.4</v>
      </c>
      <c r="M16" s="269">
        <v>4.88</v>
      </c>
      <c r="N16" s="179">
        <v>498</v>
      </c>
      <c r="O16" s="196">
        <v>167</v>
      </c>
      <c r="P16" s="22">
        <v>200</v>
      </c>
      <c r="Q16" s="22">
        <v>204</v>
      </c>
      <c r="S16" s="160" t="str">
        <f>"I-"&amp;T$15&amp;"x"&amp;U16&amp;"x"&amp;V16&amp;" mm."</f>
        <v>I-300x150x10x18.5 mm.</v>
      </c>
      <c r="T16" s="514"/>
      <c r="U16" s="167">
        <v>10</v>
      </c>
      <c r="V16" s="24">
        <v>18.5</v>
      </c>
      <c r="W16" s="167">
        <v>19</v>
      </c>
      <c r="X16" s="24">
        <v>9.5</v>
      </c>
      <c r="Y16" s="212">
        <v>83.47</v>
      </c>
      <c r="Z16" s="24">
        <v>65.5</v>
      </c>
      <c r="AA16" s="195">
        <v>12700</v>
      </c>
      <c r="AB16" s="277">
        <v>886</v>
      </c>
      <c r="AC16" s="179">
        <v>12.3</v>
      </c>
      <c r="AD16" s="277">
        <v>3.26</v>
      </c>
      <c r="AE16" s="179">
        <v>849</v>
      </c>
      <c r="AF16" s="277">
        <v>118</v>
      </c>
      <c r="AG16" s="22">
        <v>300</v>
      </c>
      <c r="AH16" s="22">
        <v>150</v>
      </c>
      <c r="AJ16" s="160" t="str">
        <f>"[-"&amp;AK$15&amp;"x"&amp;AL16&amp;"x"&amp;AM16&amp;" mm."</f>
        <v>[-250x90x11x14.5 mm.</v>
      </c>
      <c r="AK16" s="482"/>
      <c r="AL16" s="167">
        <v>11</v>
      </c>
      <c r="AM16" s="167">
        <v>14.5</v>
      </c>
      <c r="AN16" s="167">
        <v>17</v>
      </c>
      <c r="AO16" s="178">
        <v>8.5</v>
      </c>
      <c r="AP16" s="212">
        <v>51.17</v>
      </c>
      <c r="AQ16" s="24">
        <v>40.2</v>
      </c>
      <c r="AR16" s="195">
        <v>0</v>
      </c>
      <c r="AS16" s="196">
        <v>2.4</v>
      </c>
      <c r="AT16" s="179">
        <v>4680</v>
      </c>
      <c r="AU16" s="178">
        <v>329</v>
      </c>
      <c r="AV16" s="195">
        <v>9.56</v>
      </c>
      <c r="AW16" s="196">
        <v>2.54</v>
      </c>
      <c r="AX16" s="179">
        <v>374</v>
      </c>
      <c r="AY16" s="196">
        <v>49.9</v>
      </c>
      <c r="AZ16" s="22">
        <v>250</v>
      </c>
      <c r="BA16" s="22">
        <v>90</v>
      </c>
      <c r="BC16" s="21" t="str">
        <f t="shared" si="11"/>
        <v>Tube-50x50x2.3 mm.</v>
      </c>
      <c r="BD16" s="482"/>
      <c r="BE16" s="504"/>
      <c r="BF16" s="212">
        <v>2.3</v>
      </c>
      <c r="BG16" s="24">
        <v>4.252</v>
      </c>
      <c r="BH16" s="212">
        <v>3.34</v>
      </c>
      <c r="BI16" s="24">
        <v>15.9</v>
      </c>
      <c r="BJ16" s="212">
        <v>6.34</v>
      </c>
      <c r="BK16" s="277">
        <v>1.93</v>
      </c>
      <c r="BL16" s="22">
        <v>50</v>
      </c>
      <c r="BO16" s="21" t="str">
        <f t="shared" si="12"/>
        <v>Tube-100x50x2.3 mm.</v>
      </c>
      <c r="BP16" s="482"/>
      <c r="BQ16" s="504"/>
      <c r="BR16" s="212">
        <v>2.3</v>
      </c>
      <c r="BS16" s="24">
        <v>6.55</v>
      </c>
      <c r="BT16" s="212">
        <v>5.14</v>
      </c>
      <c r="BU16" s="179">
        <v>84.8</v>
      </c>
      <c r="BV16" s="178">
        <v>29</v>
      </c>
      <c r="BW16" s="195">
        <v>17</v>
      </c>
      <c r="BX16" s="196">
        <v>11.6</v>
      </c>
      <c r="BY16" s="179">
        <v>3.6</v>
      </c>
      <c r="BZ16" s="196">
        <v>2.1</v>
      </c>
      <c r="CA16" s="22">
        <v>100</v>
      </c>
      <c r="CB16" s="22">
        <v>50</v>
      </c>
      <c r="CD16" s="21" t="str">
        <f>"Pipe-D"&amp;CF$16&amp;"x"&amp;CG16&amp;" mm."</f>
        <v>Pipe-D60.5x2.3 mm.</v>
      </c>
      <c r="CE16" s="514">
        <v>2</v>
      </c>
      <c r="CF16" s="529">
        <v>60.5</v>
      </c>
      <c r="CG16" s="24">
        <v>2.3</v>
      </c>
      <c r="CH16" s="212">
        <v>3.3</v>
      </c>
      <c r="CI16" s="24">
        <v>4.21</v>
      </c>
      <c r="CJ16" s="212">
        <v>17.8</v>
      </c>
      <c r="CK16" s="212">
        <v>5.9</v>
      </c>
      <c r="CL16" s="277">
        <v>2.06</v>
      </c>
      <c r="CM16" s="21">
        <v>60.5</v>
      </c>
      <c r="CO16" s="21" t="str">
        <f>"[-"&amp;CP$14&amp;"x"&amp;CQ16&amp;" mm."</f>
        <v>[-90x45x20x3.2 mm.</v>
      </c>
      <c r="CP16" s="483"/>
      <c r="CQ16" s="290">
        <v>3.2</v>
      </c>
      <c r="CR16" s="284">
        <v>6.367</v>
      </c>
      <c r="CS16" s="28">
        <v>5</v>
      </c>
      <c r="CT16" s="272">
        <v>0</v>
      </c>
      <c r="CU16" s="203">
        <v>1.72</v>
      </c>
      <c r="CV16" s="170">
        <v>76.9</v>
      </c>
      <c r="CW16" s="290">
        <v>18.3</v>
      </c>
      <c r="CX16" s="272">
        <v>3.48</v>
      </c>
      <c r="CY16" s="203">
        <v>1.69</v>
      </c>
      <c r="CZ16" s="170">
        <v>17.1</v>
      </c>
      <c r="DA16" s="203">
        <v>6.57</v>
      </c>
      <c r="DB16" s="24">
        <v>90</v>
      </c>
      <c r="DC16" s="24">
        <v>45</v>
      </c>
      <c r="DD16" s="24">
        <v>20</v>
      </c>
      <c r="DE16" s="24"/>
      <c r="DF16" s="24"/>
      <c r="DG16" s="21" t="str">
        <f>"2[]-"&amp;DH$14&amp;"x"&amp;DI16&amp;" mm."</f>
        <v>2[]-90x45x20x3.2 mm.</v>
      </c>
      <c r="DH16" s="483"/>
      <c r="DI16" s="290">
        <v>3.2</v>
      </c>
      <c r="DJ16" s="284">
        <f t="shared" si="2"/>
        <v>12.734</v>
      </c>
      <c r="DK16" s="28">
        <f t="shared" si="3"/>
        <v>10</v>
      </c>
      <c r="DL16" s="272">
        <v>0</v>
      </c>
      <c r="DM16" s="203">
        <v>1.06</v>
      </c>
      <c r="DN16" s="170">
        <f t="shared" si="4"/>
        <v>153.8</v>
      </c>
      <c r="DO16" s="290">
        <f t="shared" si="5"/>
        <v>36.6</v>
      </c>
      <c r="DP16" s="272">
        <v>2.37</v>
      </c>
      <c r="DQ16" s="203">
        <v>1.11</v>
      </c>
      <c r="DR16" s="170">
        <f t="shared" si="6"/>
        <v>34.2</v>
      </c>
      <c r="DS16" s="203">
        <f t="shared" si="7"/>
        <v>13.14</v>
      </c>
      <c r="DT16" s="24">
        <f t="shared" si="8"/>
        <v>90</v>
      </c>
      <c r="DU16" s="24">
        <f t="shared" si="9"/>
        <v>90</v>
      </c>
      <c r="DV16" s="24">
        <f t="shared" si="10"/>
        <v>20</v>
      </c>
      <c r="DW16" s="24"/>
      <c r="DX16" s="24"/>
      <c r="DY16" s="24"/>
      <c r="DZ16" s="24"/>
      <c r="EA16" s="24"/>
      <c r="EB16" s="21">
        <v>8</v>
      </c>
      <c r="EC16" s="21" t="s">
        <v>465</v>
      </c>
      <c r="ED16" s="22" t="e">
        <f>VLOOKUP($ED$7,$AJ$27:$BA$43,7,FALSE)</f>
        <v>#N/A</v>
      </c>
      <c r="EE16" s="22" t="e">
        <f>VLOOKUP($ED$7,$AJ$27:$BA$43,8,FALSE)</f>
        <v>#N/A</v>
      </c>
      <c r="EF16" s="22" t="e">
        <f>VLOOKUP($ED$7,$AJ$27:$BA$43,11,FALSE)</f>
        <v>#N/A</v>
      </c>
      <c r="EG16" s="22" t="e">
        <f>VLOOKUP($ED$7,$AJ$27:$BA$43,12,FALSE)</f>
        <v>#N/A</v>
      </c>
      <c r="EH16" s="22" t="e">
        <f>VLOOKUP($ED$7,$AJ$27:$BA$43,15,FALSE)</f>
        <v>#N/A</v>
      </c>
      <c r="EI16" s="22" t="e">
        <f>VLOOKUP($ED$7,$AJ$27:$BA$43,16,FALSE)</f>
        <v>#N/A</v>
      </c>
      <c r="EJ16" s="22" t="e">
        <f>VLOOKUP($ED$7,$AJ$27:$BA$43,13,FALSE)</f>
        <v>#N/A</v>
      </c>
      <c r="EK16" s="22" t="e">
        <f>VLOOKUP($ED$7,$AJ$27:$BA$43,14,FALSE)</f>
        <v>#N/A</v>
      </c>
      <c r="EL16" s="22" t="e">
        <f>VLOOKUP($ED$7,$AJ$27:$BA$43,17,FALSE)</f>
        <v>#N/A</v>
      </c>
      <c r="EM16" s="22" t="e">
        <f>VLOOKUP($ED$7,$AJ$27:$BA$43,18,FALSE)</f>
        <v>#N/A</v>
      </c>
      <c r="EN16" s="22"/>
      <c r="EO16" s="22" t="e">
        <f>VLOOKUP($ED$7,$AJ$27:$BA$43,3,FALSE)</f>
        <v>#N/A</v>
      </c>
      <c r="EP16" s="22" t="e">
        <f>VLOOKUP($ED$7,$AJ$27:$BA$43,4,FALSE)</f>
        <v>#N/A</v>
      </c>
      <c r="EQ16" s="22" t="e">
        <f>VLOOKUP($ED$7,$AJ$27:$BA$43,5,FALSE)</f>
        <v>#N/A</v>
      </c>
      <c r="ER16" s="22" t="e">
        <f>VLOOKUP($ED$7,$AJ$27:$BA$43,6,FALSE)</f>
        <v>#N/A</v>
      </c>
    </row>
    <row r="17" spans="3:148" ht="14.25">
      <c r="C17" s="160" t="str">
        <f>"WF-"&amp;D$15&amp;"x"&amp;E17&amp;"x"&amp;F17&amp;" mm."</f>
        <v>WF-200X200x10x16 mm.</v>
      </c>
      <c r="D17" s="482"/>
      <c r="E17" s="182">
        <v>10</v>
      </c>
      <c r="F17" s="180">
        <v>16</v>
      </c>
      <c r="G17" s="220">
        <v>13</v>
      </c>
      <c r="H17" s="228">
        <v>83.69</v>
      </c>
      <c r="I17" s="239">
        <v>44.2</v>
      </c>
      <c r="J17" s="256">
        <v>6530</v>
      </c>
      <c r="K17" s="257">
        <v>2200</v>
      </c>
      <c r="L17" s="244">
        <v>8.8</v>
      </c>
      <c r="M17" s="269">
        <v>5.13</v>
      </c>
      <c r="N17" s="179">
        <v>628</v>
      </c>
      <c r="O17" s="196">
        <v>218</v>
      </c>
      <c r="P17" s="22">
        <v>208</v>
      </c>
      <c r="Q17" s="22">
        <v>202</v>
      </c>
      <c r="S17" s="160" t="str">
        <f>"I-"&amp;T$15&amp;"x"&amp;U17&amp;"x"&amp;V17&amp;" mm."</f>
        <v>I-300x150x11.5x22 mm.</v>
      </c>
      <c r="T17" s="514"/>
      <c r="U17" s="167">
        <v>11.5</v>
      </c>
      <c r="V17" s="24">
        <v>22</v>
      </c>
      <c r="W17" s="167">
        <v>23</v>
      </c>
      <c r="X17" s="24">
        <v>11.5</v>
      </c>
      <c r="Y17" s="212">
        <v>97.88</v>
      </c>
      <c r="Z17" s="24">
        <v>76.8</v>
      </c>
      <c r="AA17" s="195">
        <v>14700</v>
      </c>
      <c r="AB17" s="277">
        <v>10800</v>
      </c>
      <c r="AC17" s="179">
        <v>12.2</v>
      </c>
      <c r="AD17" s="277">
        <v>3.32</v>
      </c>
      <c r="AE17" s="179">
        <v>978</v>
      </c>
      <c r="AF17" s="277">
        <v>143</v>
      </c>
      <c r="AG17" s="22">
        <v>300</v>
      </c>
      <c r="AH17" s="22">
        <v>150</v>
      </c>
      <c r="AJ17" s="160" t="str">
        <f>"[-"&amp;AK$17&amp;"x"&amp;AL17&amp;"x"&amp;AM17&amp;" mm."</f>
        <v>[-300x90x9x13 mm.</v>
      </c>
      <c r="AK17" s="481" t="s">
        <v>196</v>
      </c>
      <c r="AL17" s="165">
        <v>9</v>
      </c>
      <c r="AM17" s="165">
        <v>13</v>
      </c>
      <c r="AN17" s="165">
        <v>14</v>
      </c>
      <c r="AO17" s="174">
        <v>7</v>
      </c>
      <c r="AP17" s="210">
        <v>48.57</v>
      </c>
      <c r="AQ17" s="158">
        <v>38.1</v>
      </c>
      <c r="AR17" s="287">
        <v>0</v>
      </c>
      <c r="AS17" s="202">
        <v>2.22</v>
      </c>
      <c r="AT17" s="166">
        <v>6440</v>
      </c>
      <c r="AU17" s="174">
        <v>309</v>
      </c>
      <c r="AV17" s="287">
        <v>11.5</v>
      </c>
      <c r="AW17" s="202">
        <v>2.52</v>
      </c>
      <c r="AX17" s="166">
        <v>429</v>
      </c>
      <c r="AY17" s="202">
        <v>45.7</v>
      </c>
      <c r="AZ17" s="22">
        <v>300</v>
      </c>
      <c r="BA17" s="22">
        <v>90</v>
      </c>
      <c r="BC17" s="21" t="str">
        <f t="shared" si="11"/>
        <v>Tube-50x50x3.2 mm.</v>
      </c>
      <c r="BD17" s="482"/>
      <c r="BE17" s="504"/>
      <c r="BF17" s="212">
        <v>3.2</v>
      </c>
      <c r="BG17" s="24">
        <v>5.727</v>
      </c>
      <c r="BH17" s="212">
        <v>4.5</v>
      </c>
      <c r="BI17" s="24">
        <v>20.4</v>
      </c>
      <c r="BJ17" s="212">
        <v>8.16</v>
      </c>
      <c r="BK17" s="277">
        <v>1.89</v>
      </c>
      <c r="BL17" s="22">
        <v>50</v>
      </c>
      <c r="BO17" s="21" t="str">
        <f t="shared" si="12"/>
        <v>Tube-100x50x3.2 mm.</v>
      </c>
      <c r="BP17" s="482"/>
      <c r="BQ17" s="504"/>
      <c r="BR17" s="212">
        <v>3.2</v>
      </c>
      <c r="BS17" s="24">
        <v>8.93</v>
      </c>
      <c r="BT17" s="212">
        <v>7.01</v>
      </c>
      <c r="BU17" s="179">
        <v>112</v>
      </c>
      <c r="BV17" s="178">
        <v>38</v>
      </c>
      <c r="BW17" s="195">
        <v>22.5</v>
      </c>
      <c r="BX17" s="196">
        <v>15.2</v>
      </c>
      <c r="BY17" s="179">
        <v>3.55</v>
      </c>
      <c r="BZ17" s="196">
        <v>2.06</v>
      </c>
      <c r="CA17" s="22">
        <v>100</v>
      </c>
      <c r="CB17" s="22">
        <v>50</v>
      </c>
      <c r="CD17" s="21" t="str">
        <f>"Pipe-D"&amp;CF$16&amp;"x"&amp;CG17&amp;" mm."</f>
        <v>Pipe-D60.5x3.2 mm.</v>
      </c>
      <c r="CE17" s="514"/>
      <c r="CF17" s="529"/>
      <c r="CG17" s="24">
        <v>3.2</v>
      </c>
      <c r="CH17" s="212">
        <v>4.52</v>
      </c>
      <c r="CI17" s="24">
        <v>5.76</v>
      </c>
      <c r="CJ17" s="212">
        <v>23.7</v>
      </c>
      <c r="CK17" s="212">
        <v>7.84</v>
      </c>
      <c r="CL17" s="277">
        <v>2.03</v>
      </c>
      <c r="CM17" s="21">
        <v>60.5</v>
      </c>
      <c r="CO17" s="21" t="str">
        <f aca="true" t="shared" si="13" ref="CO17:CO23">"[-"&amp;CP$17&amp;"x"&amp;CQ17&amp;" mm."</f>
        <v>[-100x50x20x1.6 mm.</v>
      </c>
      <c r="CP17" s="481" t="s">
        <v>292</v>
      </c>
      <c r="CQ17" s="174">
        <v>1.6</v>
      </c>
      <c r="CR17" s="210">
        <v>3.672</v>
      </c>
      <c r="CS17" s="158">
        <v>2.88</v>
      </c>
      <c r="CT17" s="287">
        <v>0</v>
      </c>
      <c r="CU17" s="202">
        <v>1.87</v>
      </c>
      <c r="CV17" s="166">
        <v>58.4</v>
      </c>
      <c r="CW17" s="174">
        <v>14</v>
      </c>
      <c r="CX17" s="287">
        <v>3.99</v>
      </c>
      <c r="CY17" s="202">
        <v>1.95</v>
      </c>
      <c r="CZ17" s="166">
        <v>11.7</v>
      </c>
      <c r="DA17" s="202">
        <v>4.47</v>
      </c>
      <c r="DB17" s="24">
        <v>100</v>
      </c>
      <c r="DC17" s="24">
        <v>50</v>
      </c>
      <c r="DD17" s="24">
        <v>20</v>
      </c>
      <c r="DE17" s="24"/>
      <c r="DF17" s="24"/>
      <c r="DG17" s="21" t="str">
        <f aca="true" t="shared" si="14" ref="DG17:DG23">"2[]-"&amp;DH$17&amp;"x"&amp;DI17&amp;" mm."</f>
        <v>2[]-100x50x20x1.6 mm.</v>
      </c>
      <c r="DH17" s="481" t="s">
        <v>292</v>
      </c>
      <c r="DI17" s="174">
        <v>1.6</v>
      </c>
      <c r="DJ17" s="210">
        <f t="shared" si="2"/>
        <v>7.344</v>
      </c>
      <c r="DK17" s="158">
        <f t="shared" si="3"/>
        <v>5.76</v>
      </c>
      <c r="DL17" s="287">
        <v>0</v>
      </c>
      <c r="DM17" s="202">
        <v>1.06</v>
      </c>
      <c r="DN17" s="166">
        <f t="shared" si="4"/>
        <v>116.8</v>
      </c>
      <c r="DO17" s="174">
        <f t="shared" si="5"/>
        <v>28</v>
      </c>
      <c r="DP17" s="287">
        <v>2.37</v>
      </c>
      <c r="DQ17" s="202">
        <v>1.11</v>
      </c>
      <c r="DR17" s="166">
        <f t="shared" si="6"/>
        <v>23.4</v>
      </c>
      <c r="DS17" s="202">
        <f t="shared" si="7"/>
        <v>8.94</v>
      </c>
      <c r="DT17" s="24">
        <f t="shared" si="8"/>
        <v>100</v>
      </c>
      <c r="DU17" s="24">
        <f t="shared" si="9"/>
        <v>100</v>
      </c>
      <c r="DV17" s="24">
        <f t="shared" si="10"/>
        <v>20</v>
      </c>
      <c r="DW17" s="24"/>
      <c r="DX17" s="24"/>
      <c r="DY17" s="24"/>
      <c r="DZ17" s="24"/>
      <c r="EA17" s="24"/>
      <c r="EB17" s="21">
        <v>9</v>
      </c>
      <c r="EC17" s="21" t="s">
        <v>466</v>
      </c>
      <c r="ED17" s="22" t="e">
        <f>VLOOKUP($ED$7,$DG$6:$DV$50,4,FALSE)</f>
        <v>#N/A</v>
      </c>
      <c r="EE17" s="22" t="e">
        <f>VLOOKUP($ED$7,$DG$6:$DV$50,5,FALSE)</f>
        <v>#N/A</v>
      </c>
      <c r="EF17" s="22" t="e">
        <f>VLOOKUP($ED$7,$DG$6:$DV$50,8,FALSE)</f>
        <v>#N/A</v>
      </c>
      <c r="EG17" s="22" t="e">
        <f>VLOOKUP($ED$7,$DG$6:$DV$50,9,FALSE)</f>
        <v>#N/A</v>
      </c>
      <c r="EH17" s="22" t="e">
        <f>VLOOKUP($ED$7,$DG$6:$DV$50,12,FALSE)</f>
        <v>#N/A</v>
      </c>
      <c r="EI17" s="22" t="e">
        <f>VLOOKUP($ED$7,$DG$6:$DV$50,13,FALSE)</f>
        <v>#N/A</v>
      </c>
      <c r="EJ17" s="22" t="e">
        <f>VLOOKUP($ED$7,$DG$6:$DV$50,10,FALSE)</f>
        <v>#N/A</v>
      </c>
      <c r="EK17" s="22" t="e">
        <f>VLOOKUP($ED$7,$DG$6:$DV$50,11,FALSE)</f>
        <v>#N/A</v>
      </c>
      <c r="EL17" s="22" t="e">
        <f>VLOOKUP($ED$7,$DG$6:$DV$50,14,FALSE)</f>
        <v>#N/A</v>
      </c>
      <c r="EM17" s="22" t="e">
        <f>VLOOKUP($ED$7,$DG$6:$DV$50,15,FALSE)</f>
        <v>#N/A</v>
      </c>
      <c r="EN17" s="22" t="e">
        <f>VLOOKUP($ED$7,$DG$6:$DV$50,16,FALSE)</f>
        <v>#N/A</v>
      </c>
      <c r="EO17" s="22" t="e">
        <f>VLOOKUP($ED$7,$DG$6:$DV$50,3,FALSE)</f>
        <v>#N/A</v>
      </c>
      <c r="EP17" s="22" t="e">
        <f>VLOOKUP($ED$7,$DG$6:$DV$50,3,FALSE)</f>
        <v>#N/A</v>
      </c>
      <c r="EQ17" s="22"/>
      <c r="ER17" s="22"/>
    </row>
    <row r="18" spans="3:148" ht="14.25">
      <c r="C18" s="160" t="str">
        <f>"WF-"&amp;D$18&amp;"x"&amp;E18&amp;"x"&amp;F18&amp;" mm."</f>
        <v>WF-250x125x5x8 mm.</v>
      </c>
      <c r="D18" s="481" t="s">
        <v>181</v>
      </c>
      <c r="E18" s="183">
        <v>5</v>
      </c>
      <c r="F18" s="184">
        <v>8</v>
      </c>
      <c r="G18" s="221">
        <v>12</v>
      </c>
      <c r="H18" s="229">
        <v>32.68</v>
      </c>
      <c r="I18" s="240">
        <v>17.3</v>
      </c>
      <c r="J18" s="258">
        <v>3540</v>
      </c>
      <c r="K18" s="259">
        <v>255</v>
      </c>
      <c r="L18" s="245">
        <v>10.4</v>
      </c>
      <c r="M18" s="270">
        <v>2.79</v>
      </c>
      <c r="N18" s="166">
        <v>285</v>
      </c>
      <c r="O18" s="202">
        <v>41</v>
      </c>
      <c r="P18" s="22">
        <v>248</v>
      </c>
      <c r="Q18" s="22">
        <v>124</v>
      </c>
      <c r="S18" s="160" t="str">
        <f>"I-"&amp;T$18&amp;"x"&amp;U18&amp;"x"&amp;V18&amp;" mm."</f>
        <v>I-350x150x9x15 mm.</v>
      </c>
      <c r="T18" s="515" t="s">
        <v>183</v>
      </c>
      <c r="U18" s="165">
        <v>9</v>
      </c>
      <c r="V18" s="158">
        <v>15</v>
      </c>
      <c r="W18" s="165">
        <v>13</v>
      </c>
      <c r="X18" s="158">
        <v>6.5</v>
      </c>
      <c r="Y18" s="210">
        <v>74.58</v>
      </c>
      <c r="Z18" s="158">
        <v>58.5</v>
      </c>
      <c r="AA18" s="287">
        <v>15200</v>
      </c>
      <c r="AB18" s="273">
        <v>702</v>
      </c>
      <c r="AC18" s="166">
        <v>14.3</v>
      </c>
      <c r="AD18" s="273">
        <v>3.07</v>
      </c>
      <c r="AE18" s="166">
        <v>870</v>
      </c>
      <c r="AF18" s="273">
        <v>93.5</v>
      </c>
      <c r="AG18" s="22">
        <v>350</v>
      </c>
      <c r="AH18" s="22">
        <v>150</v>
      </c>
      <c r="AJ18" s="160" t="str">
        <f>"[-"&amp;AK$17&amp;"x"&amp;AL18&amp;"x"&amp;AM18&amp;" mm."</f>
        <v>[-300x90x10x15.5 mm.</v>
      </c>
      <c r="AK18" s="482"/>
      <c r="AL18" s="167">
        <v>10</v>
      </c>
      <c r="AM18" s="167">
        <v>15.5</v>
      </c>
      <c r="AN18" s="167">
        <v>19</v>
      </c>
      <c r="AO18" s="178">
        <v>9.5</v>
      </c>
      <c r="AP18" s="212">
        <v>55.74</v>
      </c>
      <c r="AQ18" s="24">
        <v>43.8</v>
      </c>
      <c r="AR18" s="195">
        <v>0</v>
      </c>
      <c r="AS18" s="196">
        <v>2.34</v>
      </c>
      <c r="AT18" s="179">
        <v>7140</v>
      </c>
      <c r="AU18" s="178">
        <v>360</v>
      </c>
      <c r="AV18" s="195">
        <v>11.5</v>
      </c>
      <c r="AW18" s="196">
        <v>2.54</v>
      </c>
      <c r="AX18" s="179">
        <v>494</v>
      </c>
      <c r="AY18" s="196">
        <v>54.1</v>
      </c>
      <c r="AZ18" s="22">
        <v>300</v>
      </c>
      <c r="BA18" s="22">
        <v>90</v>
      </c>
      <c r="BC18" s="21" t="str">
        <f t="shared" si="11"/>
        <v>Tube-50x50x3.6 mm.</v>
      </c>
      <c r="BD18" s="482"/>
      <c r="BE18" s="504"/>
      <c r="BF18" s="212">
        <v>3.6</v>
      </c>
      <c r="BG18" s="24">
        <v>6.24</v>
      </c>
      <c r="BH18" s="212">
        <v>4.9</v>
      </c>
      <c r="BI18" s="24">
        <v>21.4</v>
      </c>
      <c r="BJ18" s="212">
        <v>8.58</v>
      </c>
      <c r="BK18" s="277">
        <v>1.85</v>
      </c>
      <c r="BL18" s="22">
        <v>50</v>
      </c>
      <c r="BO18" s="21" t="str">
        <f t="shared" si="12"/>
        <v>Tube-100x50x3.6 mm.</v>
      </c>
      <c r="BP18" s="482"/>
      <c r="BQ18" s="504"/>
      <c r="BR18" s="212">
        <v>3.6</v>
      </c>
      <c r="BS18" s="24">
        <v>9.84</v>
      </c>
      <c r="BT18" s="212">
        <v>7.72</v>
      </c>
      <c r="BU18" s="179">
        <v>121</v>
      </c>
      <c r="BV18" s="178">
        <v>40.9</v>
      </c>
      <c r="BW18" s="195">
        <v>24.1</v>
      </c>
      <c r="BX18" s="196">
        <v>16.3</v>
      </c>
      <c r="BY18" s="179">
        <v>3.5</v>
      </c>
      <c r="BZ18" s="196">
        <v>2.04</v>
      </c>
      <c r="CA18" s="22">
        <v>100</v>
      </c>
      <c r="CB18" s="22">
        <v>50</v>
      </c>
      <c r="CD18" s="21" t="str">
        <f>"Pipe-D"&amp;CF$16&amp;"x"&amp;CG18&amp;" mm."</f>
        <v>Pipe-D60.5x4 mm.</v>
      </c>
      <c r="CE18" s="514"/>
      <c r="CF18" s="529"/>
      <c r="CG18" s="24">
        <v>4</v>
      </c>
      <c r="CH18" s="212">
        <v>5.57</v>
      </c>
      <c r="CI18" s="24">
        <v>7.1</v>
      </c>
      <c r="CJ18" s="212">
        <v>28.5</v>
      </c>
      <c r="CK18" s="212">
        <v>9.41</v>
      </c>
      <c r="CL18" s="277">
        <v>2</v>
      </c>
      <c r="CM18" s="21">
        <v>60.5</v>
      </c>
      <c r="CO18" s="21" t="str">
        <f t="shared" si="13"/>
        <v>[-100x50x20x2 mm.</v>
      </c>
      <c r="CP18" s="482"/>
      <c r="CQ18" s="178">
        <v>2</v>
      </c>
      <c r="CR18" s="212">
        <v>4.537</v>
      </c>
      <c r="CS18" s="24">
        <v>3.56</v>
      </c>
      <c r="CT18" s="195">
        <v>0</v>
      </c>
      <c r="CU18" s="196">
        <v>1.86</v>
      </c>
      <c r="CV18" s="179">
        <v>71.4</v>
      </c>
      <c r="CW18" s="178">
        <v>16.9</v>
      </c>
      <c r="CX18" s="195">
        <v>3.97</v>
      </c>
      <c r="CY18" s="196">
        <v>1.93</v>
      </c>
      <c r="CZ18" s="179">
        <v>14.3</v>
      </c>
      <c r="DA18" s="196">
        <v>5.4</v>
      </c>
      <c r="DB18" s="24">
        <v>100</v>
      </c>
      <c r="DC18" s="24">
        <v>50</v>
      </c>
      <c r="DD18" s="24">
        <v>20</v>
      </c>
      <c r="DE18" s="24"/>
      <c r="DF18" s="24"/>
      <c r="DG18" s="21" t="str">
        <f t="shared" si="14"/>
        <v>2[]-100x50x20x2 mm.</v>
      </c>
      <c r="DH18" s="482"/>
      <c r="DI18" s="178">
        <v>2</v>
      </c>
      <c r="DJ18" s="212">
        <f t="shared" si="2"/>
        <v>9.074</v>
      </c>
      <c r="DK18" s="24">
        <f t="shared" si="3"/>
        <v>7.12</v>
      </c>
      <c r="DL18" s="195">
        <v>0</v>
      </c>
      <c r="DM18" s="196">
        <v>1.06</v>
      </c>
      <c r="DN18" s="179">
        <f t="shared" si="4"/>
        <v>142.8</v>
      </c>
      <c r="DO18" s="178">
        <f t="shared" si="5"/>
        <v>33.8</v>
      </c>
      <c r="DP18" s="195">
        <v>2.37</v>
      </c>
      <c r="DQ18" s="196">
        <v>1.11</v>
      </c>
      <c r="DR18" s="179">
        <f t="shared" si="6"/>
        <v>28.6</v>
      </c>
      <c r="DS18" s="196">
        <f t="shared" si="7"/>
        <v>10.8</v>
      </c>
      <c r="DT18" s="24">
        <f t="shared" si="8"/>
        <v>100</v>
      </c>
      <c r="DU18" s="24">
        <f t="shared" si="9"/>
        <v>100</v>
      </c>
      <c r="DV18" s="24">
        <f t="shared" si="10"/>
        <v>20</v>
      </c>
      <c r="DW18" s="24"/>
      <c r="DX18" s="24"/>
      <c r="DY18" s="24"/>
      <c r="DZ18" s="24"/>
      <c r="EA18" s="24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</row>
    <row r="19" spans="3:131" ht="14.25">
      <c r="C19" s="160" t="str">
        <f>"WF-"&amp;D$18&amp;"x"&amp;E19&amp;"x"&amp;F19&amp;" mm."</f>
        <v>WF-250x125x6x9 mm.</v>
      </c>
      <c r="D19" s="483"/>
      <c r="E19" s="185">
        <v>6</v>
      </c>
      <c r="F19" s="169">
        <v>9</v>
      </c>
      <c r="G19" s="222">
        <v>12</v>
      </c>
      <c r="H19" s="230">
        <v>37.66</v>
      </c>
      <c r="I19" s="28">
        <v>29.6</v>
      </c>
      <c r="J19" s="260">
        <v>4050</v>
      </c>
      <c r="K19" s="261">
        <v>294</v>
      </c>
      <c r="L19" s="246">
        <v>10.4</v>
      </c>
      <c r="M19" s="271">
        <v>2.79</v>
      </c>
      <c r="N19" s="170">
        <v>324</v>
      </c>
      <c r="O19" s="203">
        <v>47</v>
      </c>
      <c r="P19" s="22">
        <v>250</v>
      </c>
      <c r="Q19" s="22">
        <v>125</v>
      </c>
      <c r="S19" s="160" t="str">
        <f>"I-"&amp;T$18&amp;"x"&amp;U19&amp;"x"&amp;V19&amp;" mm."</f>
        <v>I-350x150x12x24 mm.</v>
      </c>
      <c r="T19" s="516"/>
      <c r="U19" s="169">
        <v>12</v>
      </c>
      <c r="V19" s="28">
        <v>24</v>
      </c>
      <c r="W19" s="169">
        <v>25</v>
      </c>
      <c r="X19" s="28">
        <v>12.5</v>
      </c>
      <c r="Y19" s="284">
        <v>111.1</v>
      </c>
      <c r="Z19" s="28">
        <v>87.2</v>
      </c>
      <c r="AA19" s="272">
        <v>22400</v>
      </c>
      <c r="AB19" s="278">
        <v>1180</v>
      </c>
      <c r="AC19" s="170">
        <v>14.2</v>
      </c>
      <c r="AD19" s="278">
        <v>3.26</v>
      </c>
      <c r="AE19" s="170">
        <v>1280</v>
      </c>
      <c r="AF19" s="278">
        <v>158</v>
      </c>
      <c r="AG19" s="22">
        <v>350</v>
      </c>
      <c r="AH19" s="22">
        <v>150</v>
      </c>
      <c r="AJ19" s="160" t="str">
        <f>"[-"&amp;AK$17&amp;"x"&amp;AL19&amp;"x"&amp;AM19&amp;" mm."</f>
        <v>[-300x90x12x16 mm.</v>
      </c>
      <c r="AK19" s="483"/>
      <c r="AL19" s="169">
        <v>12</v>
      </c>
      <c r="AM19" s="169">
        <v>16</v>
      </c>
      <c r="AN19" s="169">
        <v>19</v>
      </c>
      <c r="AO19" s="290">
        <v>9.5</v>
      </c>
      <c r="AP19" s="284">
        <v>61.9</v>
      </c>
      <c r="AQ19" s="28">
        <v>48.6</v>
      </c>
      <c r="AR19" s="272">
        <v>0</v>
      </c>
      <c r="AS19" s="203">
        <v>2.28</v>
      </c>
      <c r="AT19" s="170">
        <v>7870</v>
      </c>
      <c r="AU19" s="290">
        <v>379</v>
      </c>
      <c r="AV19" s="272">
        <v>11.3</v>
      </c>
      <c r="AW19" s="203">
        <v>2.48</v>
      </c>
      <c r="AX19" s="170">
        <v>525</v>
      </c>
      <c r="AY19" s="203">
        <v>56.4</v>
      </c>
      <c r="AZ19" s="22">
        <v>300</v>
      </c>
      <c r="BA19" s="22">
        <v>90</v>
      </c>
      <c r="BC19" s="21" t="str">
        <f t="shared" si="11"/>
        <v>Tube-50x50x4 mm.</v>
      </c>
      <c r="BD19" s="482"/>
      <c r="BE19" s="504"/>
      <c r="BF19" s="212">
        <v>4</v>
      </c>
      <c r="BG19" s="24">
        <v>6.81</v>
      </c>
      <c r="BH19" s="212">
        <v>5.35</v>
      </c>
      <c r="BI19" s="24">
        <v>22.9</v>
      </c>
      <c r="BJ19" s="212">
        <v>9.15</v>
      </c>
      <c r="BK19" s="277">
        <v>1.83</v>
      </c>
      <c r="BL19" s="22">
        <v>50</v>
      </c>
      <c r="BO19" s="21" t="str">
        <f t="shared" si="12"/>
        <v>Tube-100x50x4 mm.</v>
      </c>
      <c r="BP19" s="482"/>
      <c r="BQ19" s="504"/>
      <c r="BR19" s="212">
        <v>4</v>
      </c>
      <c r="BS19" s="24">
        <v>10.95</v>
      </c>
      <c r="BT19" s="212">
        <v>8.59</v>
      </c>
      <c r="BU19" s="179">
        <v>142</v>
      </c>
      <c r="BV19" s="178">
        <v>46.7</v>
      </c>
      <c r="BW19" s="195">
        <v>28.4</v>
      </c>
      <c r="BX19" s="196">
        <v>18.7</v>
      </c>
      <c r="BY19" s="179">
        <v>3.55</v>
      </c>
      <c r="BZ19" s="196">
        <v>2.03</v>
      </c>
      <c r="CA19" s="22">
        <v>100</v>
      </c>
      <c r="CB19" s="22">
        <v>50</v>
      </c>
      <c r="CD19" s="21" t="str">
        <f>"Pipe-D"&amp;CF$19&amp;"x"&amp;CG19&amp;" mm."</f>
        <v>Pipe-D76.3x2.8 mm.</v>
      </c>
      <c r="CE19" s="515" t="s">
        <v>276</v>
      </c>
      <c r="CF19" s="530">
        <v>76.3</v>
      </c>
      <c r="CG19" s="158">
        <v>2.8</v>
      </c>
      <c r="CH19" s="210">
        <v>5.08</v>
      </c>
      <c r="CI19" s="158">
        <v>6.47</v>
      </c>
      <c r="CJ19" s="210">
        <v>43.7</v>
      </c>
      <c r="CK19" s="210">
        <v>11.5</v>
      </c>
      <c r="CL19" s="273">
        <v>2.6</v>
      </c>
      <c r="CM19" s="21">
        <v>76.3</v>
      </c>
      <c r="CO19" s="21" t="str">
        <f t="shared" si="13"/>
        <v>[-100x50x20x2.3 mm.</v>
      </c>
      <c r="CP19" s="482"/>
      <c r="CQ19" s="178">
        <v>2.3</v>
      </c>
      <c r="CR19" s="212">
        <v>5.172</v>
      </c>
      <c r="CS19" s="24">
        <v>4.06</v>
      </c>
      <c r="CT19" s="195">
        <v>0</v>
      </c>
      <c r="CU19" s="196">
        <v>1.86</v>
      </c>
      <c r="CV19" s="179">
        <v>80.7</v>
      </c>
      <c r="CW19" s="178">
        <v>19</v>
      </c>
      <c r="CX19" s="195">
        <v>3.95</v>
      </c>
      <c r="CY19" s="196">
        <v>1.92</v>
      </c>
      <c r="CZ19" s="179">
        <v>16</v>
      </c>
      <c r="DA19" s="196">
        <v>6.06</v>
      </c>
      <c r="DB19" s="24">
        <v>100</v>
      </c>
      <c r="DC19" s="24">
        <v>50</v>
      </c>
      <c r="DD19" s="24">
        <v>20</v>
      </c>
      <c r="DE19" s="24"/>
      <c r="DF19" s="24"/>
      <c r="DG19" s="21" t="str">
        <f t="shared" si="14"/>
        <v>2[]-100x50x20x2.3 mm.</v>
      </c>
      <c r="DH19" s="482"/>
      <c r="DI19" s="178">
        <v>2.3</v>
      </c>
      <c r="DJ19" s="212">
        <f t="shared" si="2"/>
        <v>10.344</v>
      </c>
      <c r="DK19" s="24">
        <f t="shared" si="3"/>
        <v>8.12</v>
      </c>
      <c r="DL19" s="195">
        <v>0</v>
      </c>
      <c r="DM19" s="196">
        <v>1.06</v>
      </c>
      <c r="DN19" s="179">
        <f t="shared" si="4"/>
        <v>161.4</v>
      </c>
      <c r="DO19" s="178">
        <f t="shared" si="5"/>
        <v>38</v>
      </c>
      <c r="DP19" s="195">
        <v>2.37</v>
      </c>
      <c r="DQ19" s="196">
        <v>1.11</v>
      </c>
      <c r="DR19" s="179">
        <f t="shared" si="6"/>
        <v>32</v>
      </c>
      <c r="DS19" s="196">
        <f t="shared" si="7"/>
        <v>12.12</v>
      </c>
      <c r="DT19" s="24">
        <f t="shared" si="8"/>
        <v>100</v>
      </c>
      <c r="DU19" s="24">
        <f t="shared" si="9"/>
        <v>100</v>
      </c>
      <c r="DV19" s="24">
        <f t="shared" si="10"/>
        <v>20</v>
      </c>
      <c r="DW19" s="24"/>
      <c r="DX19" s="24"/>
      <c r="DY19" s="24"/>
      <c r="DZ19" s="24"/>
      <c r="EA19" s="24"/>
    </row>
    <row r="20" spans="3:131" ht="14.25">
      <c r="C20" s="160" t="str">
        <f>"WF-"&amp;D$20&amp;"x"&amp;E20&amp;"x"&amp;F20&amp;" mm."</f>
        <v>WF-250X250x11x11 mm.</v>
      </c>
      <c r="D20" s="482" t="s">
        <v>154</v>
      </c>
      <c r="E20" s="182">
        <v>11</v>
      </c>
      <c r="F20" s="180">
        <v>11</v>
      </c>
      <c r="G20" s="220">
        <v>16</v>
      </c>
      <c r="H20" s="228">
        <v>82.06</v>
      </c>
      <c r="I20" s="239">
        <v>64.4</v>
      </c>
      <c r="J20" s="256">
        <v>8790</v>
      </c>
      <c r="K20" s="257">
        <v>2940</v>
      </c>
      <c r="L20" s="244">
        <v>10.3</v>
      </c>
      <c r="M20" s="269">
        <v>5.98</v>
      </c>
      <c r="N20" s="179">
        <v>720</v>
      </c>
      <c r="O20" s="196">
        <v>233</v>
      </c>
      <c r="P20" s="22">
        <v>244</v>
      </c>
      <c r="Q20" s="22">
        <v>252</v>
      </c>
      <c r="S20" s="160" t="str">
        <f>"I-"&amp;T$20&amp;"x"&amp;U20&amp;"x"&amp;V20&amp;" mm."</f>
        <v>I-400x150x10x18 mm.</v>
      </c>
      <c r="T20" s="514" t="s">
        <v>184</v>
      </c>
      <c r="U20" s="167">
        <v>10</v>
      </c>
      <c r="V20" s="24">
        <v>18</v>
      </c>
      <c r="W20" s="167">
        <v>17</v>
      </c>
      <c r="X20" s="24">
        <v>8.5</v>
      </c>
      <c r="Y20" s="212">
        <v>91.73</v>
      </c>
      <c r="Z20" s="24">
        <v>72</v>
      </c>
      <c r="AA20" s="195">
        <v>24100</v>
      </c>
      <c r="AB20" s="277">
        <v>864</v>
      </c>
      <c r="AC20" s="179">
        <v>16.2</v>
      </c>
      <c r="AD20" s="277">
        <v>3.07</v>
      </c>
      <c r="AE20" s="179">
        <v>1200</v>
      </c>
      <c r="AF20" s="277">
        <v>115</v>
      </c>
      <c r="AG20" s="22">
        <v>400</v>
      </c>
      <c r="AH20" s="22">
        <v>150</v>
      </c>
      <c r="AJ20" s="160" t="str">
        <f>"[-"&amp;AK$20&amp;"x"&amp;AL20&amp;"x"&amp;AM20&amp;" mm."</f>
        <v>[-380x100x10.5x16 mm.</v>
      </c>
      <c r="AK20" s="482" t="s">
        <v>197</v>
      </c>
      <c r="AL20" s="167">
        <v>10.5</v>
      </c>
      <c r="AM20" s="167">
        <v>16</v>
      </c>
      <c r="AN20" s="167">
        <v>18</v>
      </c>
      <c r="AO20" s="178">
        <v>9</v>
      </c>
      <c r="AP20" s="212">
        <v>69.39</v>
      </c>
      <c r="AQ20" s="24">
        <v>54.5</v>
      </c>
      <c r="AR20" s="195">
        <v>0</v>
      </c>
      <c r="AS20" s="196">
        <v>2.41</v>
      </c>
      <c r="AT20" s="179">
        <v>14500</v>
      </c>
      <c r="AU20" s="178">
        <v>535</v>
      </c>
      <c r="AV20" s="195">
        <v>14.5</v>
      </c>
      <c r="AW20" s="196">
        <v>2.78</v>
      </c>
      <c r="AX20" s="179">
        <v>763</v>
      </c>
      <c r="AY20" s="196">
        <v>70.5</v>
      </c>
      <c r="AZ20" s="22">
        <v>380</v>
      </c>
      <c r="BA20" s="22">
        <v>100</v>
      </c>
      <c r="BC20" s="21" t="str">
        <f t="shared" si="11"/>
        <v>Tube-50x50x5 mm.</v>
      </c>
      <c r="BD20" s="483"/>
      <c r="BE20" s="505"/>
      <c r="BF20" s="284">
        <v>5</v>
      </c>
      <c r="BG20" s="28">
        <v>8.14</v>
      </c>
      <c r="BH20" s="284">
        <v>6.39</v>
      </c>
      <c r="BI20" s="28">
        <v>25.7</v>
      </c>
      <c r="BJ20" s="284">
        <v>10.3</v>
      </c>
      <c r="BK20" s="278">
        <v>1.78</v>
      </c>
      <c r="BL20" s="22">
        <v>50</v>
      </c>
      <c r="BO20" s="21" t="str">
        <f t="shared" si="12"/>
        <v>Tube-100x50x4.5 mm.</v>
      </c>
      <c r="BP20" s="482"/>
      <c r="BQ20" s="505"/>
      <c r="BR20" s="284">
        <v>4.5</v>
      </c>
      <c r="BS20" s="28">
        <v>12.17</v>
      </c>
      <c r="BT20" s="284">
        <v>9.55</v>
      </c>
      <c r="BU20" s="170">
        <v>147</v>
      </c>
      <c r="BV20" s="290">
        <v>48.9</v>
      </c>
      <c r="BW20" s="272">
        <v>29.3</v>
      </c>
      <c r="BX20" s="203">
        <v>19.5</v>
      </c>
      <c r="BY20" s="170">
        <v>3.47</v>
      </c>
      <c r="BZ20" s="203">
        <v>2</v>
      </c>
      <c r="CA20" s="22">
        <v>100</v>
      </c>
      <c r="CB20" s="22">
        <v>50</v>
      </c>
      <c r="CD20" s="21" t="str">
        <f>"Pipe-D"&amp;CF$19&amp;"x"&amp;CG20&amp;" mm."</f>
        <v>Pipe-D76.3x3.2 mm.</v>
      </c>
      <c r="CE20" s="514"/>
      <c r="CF20" s="529"/>
      <c r="CG20" s="24">
        <v>3.2</v>
      </c>
      <c r="CH20" s="212">
        <v>5.77</v>
      </c>
      <c r="CI20" s="24">
        <v>7.35</v>
      </c>
      <c r="CJ20" s="212">
        <v>49.2</v>
      </c>
      <c r="CK20" s="212">
        <v>12.9</v>
      </c>
      <c r="CL20" s="277">
        <v>2.59</v>
      </c>
      <c r="CM20" s="21">
        <v>76.3</v>
      </c>
      <c r="CO20" s="21" t="str">
        <f t="shared" si="13"/>
        <v>[-100x50x20x2.8 mm.</v>
      </c>
      <c r="CP20" s="482"/>
      <c r="CQ20" s="178">
        <v>2.8</v>
      </c>
      <c r="CR20" s="212">
        <v>6.205</v>
      </c>
      <c r="CS20" s="24">
        <v>4.87</v>
      </c>
      <c r="CT20" s="195">
        <v>0</v>
      </c>
      <c r="CU20" s="196">
        <v>1.88</v>
      </c>
      <c r="CV20" s="179">
        <v>99.8</v>
      </c>
      <c r="CW20" s="178">
        <v>23.2</v>
      </c>
      <c r="CX20" s="195">
        <v>3.96</v>
      </c>
      <c r="CY20" s="196">
        <v>1.91</v>
      </c>
      <c r="CZ20" s="179">
        <v>20</v>
      </c>
      <c r="DA20" s="196">
        <v>7.44</v>
      </c>
      <c r="DB20" s="24">
        <v>100</v>
      </c>
      <c r="DC20" s="24">
        <v>50</v>
      </c>
      <c r="DD20" s="24">
        <v>20</v>
      </c>
      <c r="DE20" s="24"/>
      <c r="DF20" s="24"/>
      <c r="DG20" s="21" t="str">
        <f t="shared" si="14"/>
        <v>2[]-100x50x20x2.8 mm.</v>
      </c>
      <c r="DH20" s="482"/>
      <c r="DI20" s="178">
        <v>2.8</v>
      </c>
      <c r="DJ20" s="212">
        <f t="shared" si="2"/>
        <v>12.41</v>
      </c>
      <c r="DK20" s="24">
        <f t="shared" si="3"/>
        <v>9.74</v>
      </c>
      <c r="DL20" s="195">
        <v>0</v>
      </c>
      <c r="DM20" s="196">
        <v>1.06</v>
      </c>
      <c r="DN20" s="179">
        <f t="shared" si="4"/>
        <v>199.6</v>
      </c>
      <c r="DO20" s="178">
        <f t="shared" si="5"/>
        <v>46.4</v>
      </c>
      <c r="DP20" s="195">
        <v>2.37</v>
      </c>
      <c r="DQ20" s="196">
        <v>1.11</v>
      </c>
      <c r="DR20" s="179">
        <f t="shared" si="6"/>
        <v>40</v>
      </c>
      <c r="DS20" s="196">
        <f t="shared" si="7"/>
        <v>14.88</v>
      </c>
      <c r="DT20" s="24">
        <f t="shared" si="8"/>
        <v>100</v>
      </c>
      <c r="DU20" s="24">
        <f t="shared" si="9"/>
        <v>100</v>
      </c>
      <c r="DV20" s="24">
        <f t="shared" si="10"/>
        <v>20</v>
      </c>
      <c r="DW20" s="24"/>
      <c r="DX20" s="24"/>
      <c r="DY20" s="24"/>
      <c r="DZ20" s="24"/>
      <c r="EA20" s="24"/>
    </row>
    <row r="21" spans="3:148" ht="14.25">
      <c r="C21" s="160" t="str">
        <f>"WF-"&amp;D$20&amp;"x"&amp;E21&amp;"x"&amp;F21&amp;" mm."</f>
        <v>WF-250X250x8x13 mm.</v>
      </c>
      <c r="D21" s="482"/>
      <c r="E21" s="182">
        <v>8</v>
      </c>
      <c r="F21" s="180">
        <v>13</v>
      </c>
      <c r="G21" s="220">
        <v>16</v>
      </c>
      <c r="H21" s="228">
        <v>84.7</v>
      </c>
      <c r="I21" s="239">
        <v>44.7</v>
      </c>
      <c r="J21" s="256">
        <v>9930</v>
      </c>
      <c r="K21" s="257">
        <v>3350</v>
      </c>
      <c r="L21" s="244">
        <v>10.8</v>
      </c>
      <c r="M21" s="269">
        <v>6.29</v>
      </c>
      <c r="N21" s="179">
        <v>801</v>
      </c>
      <c r="O21" s="196">
        <v>269</v>
      </c>
      <c r="P21" s="22">
        <v>248</v>
      </c>
      <c r="Q21" s="22">
        <v>249</v>
      </c>
      <c r="S21" s="160" t="str">
        <f>"I-"&amp;T$20&amp;"x"&amp;U21&amp;"x"&amp;V21&amp;" mm."</f>
        <v>I-400x150x12.5x25 mm.</v>
      </c>
      <c r="T21" s="514"/>
      <c r="U21" s="167">
        <v>12.5</v>
      </c>
      <c r="V21" s="24">
        <v>25</v>
      </c>
      <c r="W21" s="167">
        <v>27</v>
      </c>
      <c r="X21" s="24">
        <v>13.5</v>
      </c>
      <c r="Y21" s="212">
        <v>122.1</v>
      </c>
      <c r="Z21" s="24">
        <v>95.8</v>
      </c>
      <c r="AA21" s="195">
        <v>31700</v>
      </c>
      <c r="AB21" s="277">
        <v>1240</v>
      </c>
      <c r="AC21" s="179">
        <v>16.1</v>
      </c>
      <c r="AD21" s="277">
        <v>3.18</v>
      </c>
      <c r="AE21" s="179">
        <v>1580</v>
      </c>
      <c r="AF21" s="277">
        <v>165</v>
      </c>
      <c r="AG21" s="22">
        <v>400</v>
      </c>
      <c r="AH21" s="22">
        <v>150</v>
      </c>
      <c r="AJ21" s="160" t="str">
        <f>"[-"&amp;AK$20&amp;"x"&amp;AL21&amp;"x"&amp;AM21&amp;" mm."</f>
        <v>[-380x100x13x16.5 mm.</v>
      </c>
      <c r="AK21" s="482"/>
      <c r="AL21" s="167">
        <v>13</v>
      </c>
      <c r="AM21" s="167">
        <v>16.5</v>
      </c>
      <c r="AN21" s="167">
        <v>18</v>
      </c>
      <c r="AO21" s="178">
        <v>9</v>
      </c>
      <c r="AP21" s="212">
        <v>78.96</v>
      </c>
      <c r="AQ21" s="24">
        <v>62</v>
      </c>
      <c r="AR21" s="195">
        <v>0</v>
      </c>
      <c r="AS21" s="196">
        <v>2.33</v>
      </c>
      <c r="AT21" s="179">
        <v>15600</v>
      </c>
      <c r="AU21" s="178">
        <v>565</v>
      </c>
      <c r="AV21" s="195">
        <v>14.1</v>
      </c>
      <c r="AW21" s="196">
        <v>2.67</v>
      </c>
      <c r="AX21" s="179">
        <v>823</v>
      </c>
      <c r="AY21" s="196">
        <v>73.6</v>
      </c>
      <c r="AZ21" s="22">
        <v>380</v>
      </c>
      <c r="BA21" s="22">
        <v>100</v>
      </c>
      <c r="BC21" s="21" t="str">
        <f>"Tube-"&amp;BE$21&amp;"x"&amp;BF21&amp;" mm."</f>
        <v>Tube-75x75x2.3 mm.</v>
      </c>
      <c r="BD21" s="481" t="s">
        <v>242</v>
      </c>
      <c r="BE21" s="503" t="s">
        <v>216</v>
      </c>
      <c r="BF21" s="212">
        <v>2.3</v>
      </c>
      <c r="BG21" s="24">
        <v>6.55</v>
      </c>
      <c r="BH21" s="212">
        <v>5.14</v>
      </c>
      <c r="BI21" s="24">
        <v>57.1</v>
      </c>
      <c r="BJ21" s="212">
        <v>15.2</v>
      </c>
      <c r="BK21" s="277">
        <v>2.95</v>
      </c>
      <c r="BL21" s="22">
        <v>75</v>
      </c>
      <c r="BO21" s="21" t="str">
        <f>"Tube-"&amp;BQ$21&amp;"x"&amp;BR21&amp;" mm."</f>
        <v>Tube-125x75x2.3 mm.</v>
      </c>
      <c r="BP21" s="481" t="s">
        <v>250</v>
      </c>
      <c r="BQ21" s="504" t="s">
        <v>175</v>
      </c>
      <c r="BR21" s="212">
        <v>2.3</v>
      </c>
      <c r="BS21" s="24">
        <v>8.85</v>
      </c>
      <c r="BT21" s="212">
        <v>6.95</v>
      </c>
      <c r="BU21" s="179">
        <v>192</v>
      </c>
      <c r="BV21" s="178">
        <v>87.5</v>
      </c>
      <c r="BW21" s="195">
        <v>30.6</v>
      </c>
      <c r="BX21" s="196">
        <v>23.3</v>
      </c>
      <c r="BY21" s="179">
        <v>4.65</v>
      </c>
      <c r="BZ21" s="196">
        <v>3.14</v>
      </c>
      <c r="CA21" s="22">
        <v>125</v>
      </c>
      <c r="CB21" s="22">
        <v>75</v>
      </c>
      <c r="CD21" s="21" t="str">
        <f>"Pipe-D"&amp;CF$19&amp;"x"&amp;CG21&amp;" mm."</f>
        <v>Pipe-D76.3x4 mm.</v>
      </c>
      <c r="CE21" s="516"/>
      <c r="CF21" s="531"/>
      <c r="CG21" s="28">
        <v>4</v>
      </c>
      <c r="CH21" s="284">
        <v>7.13</v>
      </c>
      <c r="CI21" s="28">
        <v>9.09</v>
      </c>
      <c r="CJ21" s="284">
        <v>59.5</v>
      </c>
      <c r="CK21" s="284">
        <v>15.6</v>
      </c>
      <c r="CL21" s="278">
        <v>2.58</v>
      </c>
      <c r="CM21" s="21">
        <v>76.3</v>
      </c>
      <c r="CO21" s="21" t="str">
        <f t="shared" si="13"/>
        <v>[-100x50x20x3.2 mm.</v>
      </c>
      <c r="CP21" s="482"/>
      <c r="CQ21" s="178">
        <v>3.2</v>
      </c>
      <c r="CR21" s="212">
        <v>7.007</v>
      </c>
      <c r="CS21" s="24">
        <v>5.5</v>
      </c>
      <c r="CT21" s="195">
        <v>0</v>
      </c>
      <c r="CU21" s="196">
        <v>1.86</v>
      </c>
      <c r="CV21" s="179">
        <v>107</v>
      </c>
      <c r="CW21" s="178">
        <v>24.5</v>
      </c>
      <c r="CX21" s="195">
        <v>3.9</v>
      </c>
      <c r="CY21" s="196">
        <v>1.87</v>
      </c>
      <c r="CZ21" s="179">
        <v>21.3</v>
      </c>
      <c r="DA21" s="196">
        <v>7.81</v>
      </c>
      <c r="DB21" s="24">
        <v>100</v>
      </c>
      <c r="DC21" s="24">
        <v>50</v>
      </c>
      <c r="DD21" s="24">
        <v>20</v>
      </c>
      <c r="DE21" s="24"/>
      <c r="DF21" s="24"/>
      <c r="DG21" s="21" t="str">
        <f t="shared" si="14"/>
        <v>2[]-100x50x20x3.2 mm.</v>
      </c>
      <c r="DH21" s="482"/>
      <c r="DI21" s="178">
        <v>3.2</v>
      </c>
      <c r="DJ21" s="212">
        <f t="shared" si="2"/>
        <v>14.014</v>
      </c>
      <c r="DK21" s="24">
        <f t="shared" si="3"/>
        <v>11</v>
      </c>
      <c r="DL21" s="195">
        <v>0</v>
      </c>
      <c r="DM21" s="196">
        <v>1.06</v>
      </c>
      <c r="DN21" s="179">
        <f t="shared" si="4"/>
        <v>214</v>
      </c>
      <c r="DO21" s="178">
        <f t="shared" si="5"/>
        <v>49</v>
      </c>
      <c r="DP21" s="195">
        <v>2.37</v>
      </c>
      <c r="DQ21" s="196">
        <v>1.11</v>
      </c>
      <c r="DR21" s="179">
        <f t="shared" si="6"/>
        <v>42.6</v>
      </c>
      <c r="DS21" s="196">
        <f t="shared" si="7"/>
        <v>15.62</v>
      </c>
      <c r="DT21" s="24">
        <f t="shared" si="8"/>
        <v>100</v>
      </c>
      <c r="DU21" s="24">
        <f t="shared" si="9"/>
        <v>100</v>
      </c>
      <c r="DV21" s="24">
        <f t="shared" si="10"/>
        <v>20</v>
      </c>
      <c r="DW21" s="24"/>
      <c r="DX21" s="24"/>
      <c r="DY21" s="24"/>
      <c r="DZ21" s="24"/>
      <c r="EA21" s="24"/>
      <c r="EC21" s="21" t="s">
        <v>313</v>
      </c>
      <c r="ED21" s="22">
        <f>VLOOKUP($EE7,$EB9:$EK17,3,TRUE)</f>
        <v>39.01</v>
      </c>
      <c r="EE21" s="22">
        <f>VLOOKUP($EE7,$EB9:$EK17,4,TRUE)</f>
        <v>30.6</v>
      </c>
      <c r="EF21" s="22">
        <f>VLOOKUP($EE7,$EB9:$EK17,5,TRUE)</f>
        <v>2690</v>
      </c>
      <c r="EG21" s="22">
        <f>VLOOKUP($EE7,$EB9:$EK17,6,TRUE)</f>
        <v>507</v>
      </c>
      <c r="EH21" s="22">
        <f>VLOOKUP($EE7,$EB9:$EK17,7,TRUE)</f>
        <v>227</v>
      </c>
      <c r="EI21" s="22">
        <f>VLOOKUP($EE7,$EB9:$EK17,8,TRUE)</f>
        <v>68</v>
      </c>
      <c r="EJ21" s="22">
        <f>VLOOKUP($EE7,$EB9:$EK17,9,TRUE)</f>
        <v>8.3</v>
      </c>
      <c r="EK21" s="22">
        <f>VLOOKUP($EE7,$EB9:$EK17,10,TRUE)</f>
        <v>3.61</v>
      </c>
      <c r="EL21" s="22">
        <f>VLOOKUP($EE7,$EB9:$ER17,11,TRUE)</f>
        <v>194</v>
      </c>
      <c r="EM21" s="22">
        <f>VLOOKUP($EE7,$EB9:$ER17,12,TRUE)</f>
        <v>150</v>
      </c>
      <c r="EN21" s="22">
        <f>VLOOKUP($EE7,$EB9:$ER17,13,TRUE)</f>
        <v>0</v>
      </c>
      <c r="EO21" s="22">
        <f>VLOOKUP($EE7,$EB9:$ER17,14,TRUE)</f>
        <v>6</v>
      </c>
      <c r="EP21" s="187">
        <f>VLOOKUP($EE7,$EB9:$ER17,15,TRUE)</f>
        <v>9</v>
      </c>
      <c r="EQ21" s="22">
        <f>VLOOKUP($EE7,$EB9:$ER17,16,TRUE)</f>
        <v>13</v>
      </c>
      <c r="ER21" s="22">
        <f>VLOOKUP($EE7,$EB9:$ER17,17,TRUE)</f>
        <v>0</v>
      </c>
    </row>
    <row r="22" spans="3:131" ht="15" thickBot="1">
      <c r="C22" s="160" t="str">
        <f>"WF-"&amp;D$20&amp;"x"&amp;E22&amp;"x"&amp;F22&amp;" mm."</f>
        <v>WF-250X250x9x14 mm.</v>
      </c>
      <c r="D22" s="482"/>
      <c r="E22" s="173">
        <v>9</v>
      </c>
      <c r="F22" s="167">
        <v>14</v>
      </c>
      <c r="G22" s="217">
        <v>16</v>
      </c>
      <c r="H22" s="227">
        <v>92.18</v>
      </c>
      <c r="I22" s="24">
        <v>72.4</v>
      </c>
      <c r="J22" s="256">
        <v>10800</v>
      </c>
      <c r="K22" s="257">
        <v>3650</v>
      </c>
      <c r="L22" s="244">
        <v>10.8</v>
      </c>
      <c r="M22" s="269">
        <v>6.29</v>
      </c>
      <c r="N22" s="179">
        <v>867</v>
      </c>
      <c r="O22" s="196">
        <v>292</v>
      </c>
      <c r="P22" s="22">
        <v>250</v>
      </c>
      <c r="Q22" s="22">
        <v>250</v>
      </c>
      <c r="S22" s="160" t="str">
        <f>"I-"&amp;T$22&amp;"x"&amp;U22&amp;"x"&amp;V22&amp;" mm."</f>
        <v>I-450x175x11x20 mm.</v>
      </c>
      <c r="T22" s="515" t="s">
        <v>185</v>
      </c>
      <c r="U22" s="165">
        <v>11</v>
      </c>
      <c r="V22" s="158">
        <v>20</v>
      </c>
      <c r="W22" s="165">
        <v>19</v>
      </c>
      <c r="X22" s="158">
        <v>9.5</v>
      </c>
      <c r="Y22" s="210">
        <v>116.8</v>
      </c>
      <c r="Z22" s="158">
        <v>91.7</v>
      </c>
      <c r="AA22" s="287">
        <v>39200</v>
      </c>
      <c r="AB22" s="273">
        <v>1510</v>
      </c>
      <c r="AC22" s="166">
        <v>18.3</v>
      </c>
      <c r="AD22" s="273">
        <v>3.6</v>
      </c>
      <c r="AE22" s="166">
        <v>1740</v>
      </c>
      <c r="AF22" s="273">
        <v>173</v>
      </c>
      <c r="AG22" s="22">
        <v>450</v>
      </c>
      <c r="AH22" s="22">
        <v>175</v>
      </c>
      <c r="AJ22" s="160" t="str">
        <f>"[-"&amp;AK$20&amp;"x"&amp;AL22&amp;"x"&amp;AM22&amp;" mm."</f>
        <v>[-380x100x13x20 mm.</v>
      </c>
      <c r="AK22" s="497"/>
      <c r="AL22" s="206">
        <v>13</v>
      </c>
      <c r="AM22" s="206">
        <v>20</v>
      </c>
      <c r="AN22" s="206">
        <v>24</v>
      </c>
      <c r="AO22" s="291">
        <v>12</v>
      </c>
      <c r="AP22" s="285">
        <v>85.71</v>
      </c>
      <c r="AQ22" s="242">
        <v>67.3</v>
      </c>
      <c r="AR22" s="204">
        <v>0</v>
      </c>
      <c r="AS22" s="207">
        <v>2.54</v>
      </c>
      <c r="AT22" s="226">
        <v>17600</v>
      </c>
      <c r="AU22" s="291">
        <v>655</v>
      </c>
      <c r="AV22" s="204">
        <v>14.3</v>
      </c>
      <c r="AW22" s="207">
        <v>2.76</v>
      </c>
      <c r="AX22" s="226">
        <v>926</v>
      </c>
      <c r="AY22" s="207">
        <v>87.8</v>
      </c>
      <c r="AZ22" s="22">
        <v>380</v>
      </c>
      <c r="BA22" s="22">
        <v>100</v>
      </c>
      <c r="BC22" s="21" t="str">
        <f>"Tube-"&amp;BE$21&amp;"x"&amp;BF22&amp;" mm."</f>
        <v>Tube-75x75x3.2 mm.</v>
      </c>
      <c r="BD22" s="482"/>
      <c r="BE22" s="504"/>
      <c r="BF22" s="212">
        <v>3.2</v>
      </c>
      <c r="BG22" s="24">
        <v>8.927</v>
      </c>
      <c r="BH22" s="212">
        <v>7.01</v>
      </c>
      <c r="BI22" s="24">
        <v>75.5</v>
      </c>
      <c r="BJ22" s="212">
        <v>20.1</v>
      </c>
      <c r="BK22" s="277">
        <v>2.91</v>
      </c>
      <c r="BL22" s="22">
        <v>75</v>
      </c>
      <c r="BO22" s="21" t="str">
        <f>"Tube-"&amp;BQ$21&amp;"x"&amp;BR22&amp;" mm."</f>
        <v>Tube-125x75x3.2 mm.</v>
      </c>
      <c r="BP22" s="482"/>
      <c r="BQ22" s="504"/>
      <c r="BR22" s="212">
        <v>3.2</v>
      </c>
      <c r="BS22" s="24">
        <v>12.13</v>
      </c>
      <c r="BT22" s="212">
        <v>9.52</v>
      </c>
      <c r="BU22" s="179">
        <v>257</v>
      </c>
      <c r="BV22" s="178">
        <v>117</v>
      </c>
      <c r="BW22" s="195">
        <v>41.1</v>
      </c>
      <c r="BX22" s="196">
        <v>31.1</v>
      </c>
      <c r="BY22" s="179">
        <v>4.6</v>
      </c>
      <c r="BZ22" s="196">
        <v>3.1</v>
      </c>
      <c r="CA22" s="22">
        <v>125</v>
      </c>
      <c r="CB22" s="22">
        <v>75</v>
      </c>
      <c r="CD22" s="21" t="str">
        <f>"Pipe-D"&amp;CF$22&amp;"x"&amp;CG22&amp;" mm."</f>
        <v>Pipe-D89.1x2.8 mm.</v>
      </c>
      <c r="CE22" s="514">
        <v>3</v>
      </c>
      <c r="CF22" s="529">
        <v>89.1</v>
      </c>
      <c r="CG22" s="24">
        <v>2.8</v>
      </c>
      <c r="CH22" s="212">
        <v>5.96</v>
      </c>
      <c r="CI22" s="24">
        <v>7.59</v>
      </c>
      <c r="CJ22" s="212">
        <v>70.7</v>
      </c>
      <c r="CK22" s="212">
        <v>15.9</v>
      </c>
      <c r="CL22" s="277">
        <v>3.05</v>
      </c>
      <c r="CM22" s="21">
        <v>89.1</v>
      </c>
      <c r="CO22" s="21" t="str">
        <f t="shared" si="13"/>
        <v>[-100x50x20x4 mm.</v>
      </c>
      <c r="CP22" s="482"/>
      <c r="CQ22" s="178">
        <v>4</v>
      </c>
      <c r="CR22" s="212">
        <v>8.548</v>
      </c>
      <c r="CS22" s="24">
        <v>6.71</v>
      </c>
      <c r="CT22" s="195">
        <v>0</v>
      </c>
      <c r="CU22" s="196">
        <v>1.86</v>
      </c>
      <c r="CV22" s="179">
        <v>127</v>
      </c>
      <c r="CW22" s="178">
        <v>28.7</v>
      </c>
      <c r="CX22" s="195">
        <v>3.85</v>
      </c>
      <c r="CY22" s="196">
        <v>1.83</v>
      </c>
      <c r="CZ22" s="179">
        <v>25.4</v>
      </c>
      <c r="DA22" s="196">
        <v>9.13</v>
      </c>
      <c r="DB22" s="24">
        <v>100</v>
      </c>
      <c r="DC22" s="24">
        <v>50</v>
      </c>
      <c r="DD22" s="24">
        <v>20</v>
      </c>
      <c r="DE22" s="24"/>
      <c r="DF22" s="24"/>
      <c r="DG22" s="21" t="str">
        <f t="shared" si="14"/>
        <v>2[]-100x50x20x4 mm.</v>
      </c>
      <c r="DH22" s="482"/>
      <c r="DI22" s="178">
        <v>4</v>
      </c>
      <c r="DJ22" s="212">
        <f t="shared" si="2"/>
        <v>17.096</v>
      </c>
      <c r="DK22" s="24">
        <f t="shared" si="3"/>
        <v>13.42</v>
      </c>
      <c r="DL22" s="195">
        <v>0</v>
      </c>
      <c r="DM22" s="196">
        <v>1.06</v>
      </c>
      <c r="DN22" s="179">
        <f t="shared" si="4"/>
        <v>254</v>
      </c>
      <c r="DO22" s="178">
        <f t="shared" si="5"/>
        <v>57.4</v>
      </c>
      <c r="DP22" s="195">
        <v>2.37</v>
      </c>
      <c r="DQ22" s="196">
        <v>1.11</v>
      </c>
      <c r="DR22" s="179">
        <f t="shared" si="6"/>
        <v>50.8</v>
      </c>
      <c r="DS22" s="196">
        <f t="shared" si="7"/>
        <v>18.26</v>
      </c>
      <c r="DT22" s="24">
        <f t="shared" si="8"/>
        <v>100</v>
      </c>
      <c r="DU22" s="24">
        <f t="shared" si="9"/>
        <v>100</v>
      </c>
      <c r="DV22" s="24">
        <f t="shared" si="10"/>
        <v>20</v>
      </c>
      <c r="DW22" s="24"/>
      <c r="DX22" s="24"/>
      <c r="DY22" s="24"/>
      <c r="DZ22" s="24"/>
      <c r="EA22" s="24"/>
    </row>
    <row r="23" spans="3:131" ht="14.25">
      <c r="C23" s="160" t="str">
        <f>"WF-"&amp;D$20&amp;"x"&amp;E23&amp;"x"&amp;F23&amp;" mm."</f>
        <v>WF-250X250x14x14 mm.</v>
      </c>
      <c r="D23" s="482"/>
      <c r="E23" s="173">
        <v>14</v>
      </c>
      <c r="F23" s="167">
        <v>14</v>
      </c>
      <c r="G23" s="217">
        <v>16</v>
      </c>
      <c r="H23" s="227">
        <v>104.7</v>
      </c>
      <c r="I23" s="24">
        <v>82.2</v>
      </c>
      <c r="J23" s="256">
        <v>11500</v>
      </c>
      <c r="K23" s="257">
        <v>3880</v>
      </c>
      <c r="L23" s="244">
        <v>10.5</v>
      </c>
      <c r="M23" s="269">
        <v>6.09</v>
      </c>
      <c r="N23" s="179">
        <v>919</v>
      </c>
      <c r="O23" s="196">
        <v>304</v>
      </c>
      <c r="P23" s="22">
        <v>250</v>
      </c>
      <c r="Q23" s="22">
        <v>255</v>
      </c>
      <c r="S23" s="160" t="str">
        <f>"I-"&amp;T$22&amp;"x"&amp;U23&amp;"x"&amp;V23&amp;" mm."</f>
        <v>I-450x175x13x26 mm.</v>
      </c>
      <c r="T23" s="516"/>
      <c r="U23" s="169">
        <v>13</v>
      </c>
      <c r="V23" s="28">
        <v>26</v>
      </c>
      <c r="W23" s="169">
        <v>27</v>
      </c>
      <c r="X23" s="28">
        <v>13.5</v>
      </c>
      <c r="Y23" s="284">
        <v>146.1</v>
      </c>
      <c r="Z23" s="28">
        <v>115</v>
      </c>
      <c r="AA23" s="272">
        <v>48800</v>
      </c>
      <c r="AB23" s="278">
        <v>2020</v>
      </c>
      <c r="AC23" s="170">
        <v>18.3</v>
      </c>
      <c r="AD23" s="278">
        <v>3.72</v>
      </c>
      <c r="AE23" s="170">
        <v>2170</v>
      </c>
      <c r="AF23" s="278">
        <v>231</v>
      </c>
      <c r="AG23" s="22">
        <v>450</v>
      </c>
      <c r="AH23" s="22">
        <v>175</v>
      </c>
      <c r="BC23" s="21" t="str">
        <f>"Tube-"&amp;BE$21&amp;"x"&amp;BF23&amp;" mm."</f>
        <v>Tube-75x75x4 mm.</v>
      </c>
      <c r="BD23" s="482"/>
      <c r="BE23" s="504"/>
      <c r="BF23" s="212">
        <v>4</v>
      </c>
      <c r="BG23" s="24">
        <v>10.948</v>
      </c>
      <c r="BH23" s="212">
        <v>8.59</v>
      </c>
      <c r="BI23" s="24">
        <v>90.2</v>
      </c>
      <c r="BJ23" s="212">
        <v>24.1</v>
      </c>
      <c r="BK23" s="277">
        <v>2.87</v>
      </c>
      <c r="BL23" s="22">
        <v>75</v>
      </c>
      <c r="BO23" s="21" t="str">
        <f>"Tube-"&amp;BQ$21&amp;"x"&amp;BR23&amp;" mm."</f>
        <v>Tube-125x75x4 mm.</v>
      </c>
      <c r="BP23" s="482"/>
      <c r="BQ23" s="504"/>
      <c r="BR23" s="212">
        <v>4</v>
      </c>
      <c r="BS23" s="24">
        <v>14.95</v>
      </c>
      <c r="BT23" s="212">
        <v>11.7</v>
      </c>
      <c r="BU23" s="179">
        <v>311</v>
      </c>
      <c r="BV23" s="178">
        <v>141</v>
      </c>
      <c r="BW23" s="195">
        <v>49.7</v>
      </c>
      <c r="BX23" s="196">
        <v>37.5</v>
      </c>
      <c r="BY23" s="179">
        <v>4.56</v>
      </c>
      <c r="BZ23" s="196">
        <v>3.07</v>
      </c>
      <c r="CA23" s="22">
        <v>125</v>
      </c>
      <c r="CB23" s="22">
        <v>75</v>
      </c>
      <c r="CD23" s="21" t="str">
        <f>"Pipe-D"&amp;CF$22&amp;"x"&amp;CG23&amp;" mm."</f>
        <v>Pipe-D89.1x3.2 mm.</v>
      </c>
      <c r="CE23" s="514"/>
      <c r="CF23" s="529"/>
      <c r="CG23" s="24">
        <v>3.2</v>
      </c>
      <c r="CH23" s="212">
        <v>6.78</v>
      </c>
      <c r="CI23" s="24">
        <v>8.64</v>
      </c>
      <c r="CJ23" s="212">
        <v>79.8</v>
      </c>
      <c r="CK23" s="212">
        <v>17.9</v>
      </c>
      <c r="CL23" s="277">
        <v>3.04</v>
      </c>
      <c r="CM23" s="21">
        <v>89.1</v>
      </c>
      <c r="CO23" s="21" t="str">
        <f t="shared" si="13"/>
        <v>[-100x50x20x4.5 mm.</v>
      </c>
      <c r="CP23" s="483"/>
      <c r="CQ23" s="290">
        <v>4.5</v>
      </c>
      <c r="CR23" s="284">
        <v>9.469</v>
      </c>
      <c r="CS23" s="28">
        <v>7.43</v>
      </c>
      <c r="CT23" s="272">
        <v>0</v>
      </c>
      <c r="CU23" s="203">
        <v>1.86</v>
      </c>
      <c r="CV23" s="170">
        <v>139</v>
      </c>
      <c r="CW23" s="290">
        <v>30.9</v>
      </c>
      <c r="CX23" s="272">
        <v>3.82</v>
      </c>
      <c r="CY23" s="203">
        <v>1.81</v>
      </c>
      <c r="CZ23" s="170">
        <v>27.7</v>
      </c>
      <c r="DA23" s="203">
        <v>9.82</v>
      </c>
      <c r="DB23" s="24">
        <v>100</v>
      </c>
      <c r="DC23" s="24">
        <v>50</v>
      </c>
      <c r="DD23" s="24">
        <v>20</v>
      </c>
      <c r="DE23" s="24"/>
      <c r="DF23" s="24"/>
      <c r="DG23" s="21" t="str">
        <f t="shared" si="14"/>
        <v>2[]-100x50x20x4.5 mm.</v>
      </c>
      <c r="DH23" s="483"/>
      <c r="DI23" s="290">
        <v>4.5</v>
      </c>
      <c r="DJ23" s="284">
        <f t="shared" si="2"/>
        <v>18.938</v>
      </c>
      <c r="DK23" s="28">
        <f t="shared" si="3"/>
        <v>14.86</v>
      </c>
      <c r="DL23" s="272">
        <v>0</v>
      </c>
      <c r="DM23" s="203">
        <v>1.06</v>
      </c>
      <c r="DN23" s="170">
        <f t="shared" si="4"/>
        <v>278</v>
      </c>
      <c r="DO23" s="290">
        <f t="shared" si="5"/>
        <v>61.8</v>
      </c>
      <c r="DP23" s="272">
        <v>2.37</v>
      </c>
      <c r="DQ23" s="203">
        <v>1.11</v>
      </c>
      <c r="DR23" s="170">
        <f t="shared" si="6"/>
        <v>55.4</v>
      </c>
      <c r="DS23" s="203">
        <f t="shared" si="7"/>
        <v>19.64</v>
      </c>
      <c r="DT23" s="24">
        <f t="shared" si="8"/>
        <v>100</v>
      </c>
      <c r="DU23" s="24">
        <f t="shared" si="9"/>
        <v>100</v>
      </c>
      <c r="DV23" s="24">
        <f t="shared" si="10"/>
        <v>20</v>
      </c>
      <c r="DW23" s="24"/>
      <c r="DX23" s="24"/>
      <c r="DY23" s="24"/>
      <c r="DZ23" s="24"/>
      <c r="EA23" s="24"/>
    </row>
    <row r="24" spans="3:131" ht="15" thickBot="1">
      <c r="C24" s="160" t="str">
        <f>"WF-"&amp;D$24&amp;"x"&amp;E24&amp;"x"&amp;F24&amp;" mm."</f>
        <v>WF-300X150x5.5x8 mm.</v>
      </c>
      <c r="D24" s="481" t="s">
        <v>155</v>
      </c>
      <c r="E24" s="183">
        <v>5.5</v>
      </c>
      <c r="F24" s="184">
        <v>8</v>
      </c>
      <c r="G24" s="221">
        <v>13</v>
      </c>
      <c r="H24" s="229">
        <v>40.8</v>
      </c>
      <c r="I24" s="240">
        <v>32</v>
      </c>
      <c r="J24" s="258">
        <v>6320</v>
      </c>
      <c r="K24" s="259">
        <v>442</v>
      </c>
      <c r="L24" s="245">
        <v>12.4</v>
      </c>
      <c r="M24" s="270">
        <v>3.29</v>
      </c>
      <c r="N24" s="166">
        <v>424</v>
      </c>
      <c r="O24" s="202">
        <v>59</v>
      </c>
      <c r="P24" s="22">
        <v>298</v>
      </c>
      <c r="Q24" s="22">
        <v>149</v>
      </c>
      <c r="S24" s="160" t="str">
        <f>"I-"&amp;T$24&amp;"x"&amp;U24&amp;"x"&amp;V24&amp;" mm."</f>
        <v>I-600x190x13x25 mm.</v>
      </c>
      <c r="T24" s="514" t="s">
        <v>186</v>
      </c>
      <c r="U24" s="167">
        <v>13</v>
      </c>
      <c r="V24" s="24">
        <v>25</v>
      </c>
      <c r="W24" s="167">
        <v>25</v>
      </c>
      <c r="X24" s="24">
        <v>12.5</v>
      </c>
      <c r="Y24" s="212">
        <v>169.4</v>
      </c>
      <c r="Z24" s="24">
        <v>133</v>
      </c>
      <c r="AA24" s="195">
        <v>98400</v>
      </c>
      <c r="AB24" s="277">
        <v>2460</v>
      </c>
      <c r="AC24" s="179">
        <v>24.1</v>
      </c>
      <c r="AD24" s="277">
        <v>3.81</v>
      </c>
      <c r="AE24" s="179">
        <v>3280</v>
      </c>
      <c r="AF24" s="277">
        <v>259</v>
      </c>
      <c r="AG24" s="22">
        <v>600</v>
      </c>
      <c r="AH24" s="22">
        <v>190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BB24" s="160"/>
      <c r="BC24" s="21" t="str">
        <f>"Tube-"&amp;BE$21&amp;"x"&amp;BF24&amp;" mm."</f>
        <v>Tube-75x75x4.5 mm.</v>
      </c>
      <c r="BD24" s="483"/>
      <c r="BE24" s="505"/>
      <c r="BF24" s="284">
        <v>4.5</v>
      </c>
      <c r="BG24" s="28">
        <v>12.17</v>
      </c>
      <c r="BH24" s="284">
        <v>9.55</v>
      </c>
      <c r="BI24" s="28">
        <v>98.6</v>
      </c>
      <c r="BJ24" s="284">
        <v>26.3</v>
      </c>
      <c r="BK24" s="278">
        <v>2.85</v>
      </c>
      <c r="BL24" s="22">
        <v>75</v>
      </c>
      <c r="BO24" s="21" t="str">
        <f>"Tube-"&amp;BQ$21&amp;"x"&amp;BR24&amp;" mm."</f>
        <v>Tube-125x75x4.5 mm.</v>
      </c>
      <c r="BP24" s="482"/>
      <c r="BQ24" s="504"/>
      <c r="BR24" s="212">
        <v>4.5</v>
      </c>
      <c r="BS24" s="24">
        <v>16.67</v>
      </c>
      <c r="BT24" s="212">
        <v>13.1</v>
      </c>
      <c r="BU24" s="179">
        <v>342</v>
      </c>
      <c r="BV24" s="178">
        <v>155</v>
      </c>
      <c r="BW24" s="195">
        <v>54.8</v>
      </c>
      <c r="BX24" s="196">
        <v>41.2</v>
      </c>
      <c r="BY24" s="179">
        <v>4.53</v>
      </c>
      <c r="BZ24" s="196">
        <v>3.04</v>
      </c>
      <c r="CA24" s="22">
        <v>125</v>
      </c>
      <c r="CB24" s="22">
        <v>75</v>
      </c>
      <c r="CD24" s="21" t="str">
        <f>"Pipe-D"&amp;CF$24&amp;"x"&amp;CG24&amp;" mm."</f>
        <v>Pipe-D101.6x3.2 mm.</v>
      </c>
      <c r="CE24" s="515" t="s">
        <v>277</v>
      </c>
      <c r="CF24" s="530">
        <v>101.6</v>
      </c>
      <c r="CG24" s="158">
        <v>3.2</v>
      </c>
      <c r="CH24" s="210">
        <v>7.76</v>
      </c>
      <c r="CI24" s="158">
        <v>9.89</v>
      </c>
      <c r="CJ24" s="210">
        <v>120</v>
      </c>
      <c r="CK24" s="210">
        <v>23.6</v>
      </c>
      <c r="CL24" s="273">
        <v>3.48</v>
      </c>
      <c r="CM24" s="21">
        <v>101.6</v>
      </c>
      <c r="CO24" s="21" t="str">
        <f>"[-"&amp;CP$24&amp;"x"&amp;CQ24&amp;" mm."</f>
        <v>[-120x40x20x3.2 mm.</v>
      </c>
      <c r="CP24" s="304" t="s">
        <v>300</v>
      </c>
      <c r="CQ24" s="172">
        <v>3.2</v>
      </c>
      <c r="CR24" s="211">
        <v>7.007</v>
      </c>
      <c r="CS24" s="177">
        <v>5.5</v>
      </c>
      <c r="CT24" s="197">
        <v>0</v>
      </c>
      <c r="CU24" s="198">
        <v>1.32</v>
      </c>
      <c r="CV24" s="171">
        <v>144</v>
      </c>
      <c r="CW24" s="172">
        <v>15.3</v>
      </c>
      <c r="CX24" s="197">
        <v>4.53</v>
      </c>
      <c r="CY24" s="198">
        <v>1.48</v>
      </c>
      <c r="CZ24" s="171">
        <v>24</v>
      </c>
      <c r="DA24" s="198">
        <v>5.71</v>
      </c>
      <c r="DB24" s="24">
        <v>120</v>
      </c>
      <c r="DC24" s="24">
        <v>40</v>
      </c>
      <c r="DD24" s="24">
        <v>20</v>
      </c>
      <c r="DE24" s="24"/>
      <c r="DF24" s="24"/>
      <c r="DG24" s="21" t="str">
        <f>"2[]-"&amp;DH$24&amp;"x"&amp;DI24&amp;" mm."</f>
        <v>2[]-120x40x20x3.2 mm.</v>
      </c>
      <c r="DH24" s="304" t="s">
        <v>300</v>
      </c>
      <c r="DI24" s="172">
        <v>3.2</v>
      </c>
      <c r="DJ24" s="210">
        <f t="shared" si="2"/>
        <v>14.014</v>
      </c>
      <c r="DK24" s="158">
        <f t="shared" si="3"/>
        <v>11</v>
      </c>
      <c r="DL24" s="287">
        <v>0</v>
      </c>
      <c r="DM24" s="202">
        <v>1.06</v>
      </c>
      <c r="DN24" s="166">
        <f t="shared" si="4"/>
        <v>288</v>
      </c>
      <c r="DO24" s="174">
        <f t="shared" si="5"/>
        <v>30.6</v>
      </c>
      <c r="DP24" s="287">
        <v>2.37</v>
      </c>
      <c r="DQ24" s="202">
        <v>1.11</v>
      </c>
      <c r="DR24" s="166">
        <f t="shared" si="6"/>
        <v>48</v>
      </c>
      <c r="DS24" s="202">
        <f t="shared" si="7"/>
        <v>11.42</v>
      </c>
      <c r="DT24" s="24">
        <f t="shared" si="8"/>
        <v>120</v>
      </c>
      <c r="DU24" s="24">
        <f t="shared" si="9"/>
        <v>80</v>
      </c>
      <c r="DV24" s="24">
        <f t="shared" si="10"/>
        <v>20</v>
      </c>
      <c r="DW24" s="24"/>
      <c r="DX24" s="24"/>
      <c r="DY24" s="24"/>
      <c r="DZ24" s="24"/>
      <c r="EA24" s="24"/>
    </row>
    <row r="25" spans="3:135" ht="15" thickBot="1">
      <c r="C25" s="160" t="str">
        <f>"WF-"&amp;D$24&amp;"x"&amp;E25&amp;"x"&amp;F25&amp;" mm."</f>
        <v>WF-300X150x6.5x9 mm.</v>
      </c>
      <c r="D25" s="483"/>
      <c r="E25" s="188">
        <v>6.5</v>
      </c>
      <c r="F25" s="186">
        <v>9</v>
      </c>
      <c r="G25" s="223">
        <v>13</v>
      </c>
      <c r="H25" s="231">
        <v>46.78</v>
      </c>
      <c r="I25" s="241">
        <v>36.7</v>
      </c>
      <c r="J25" s="260">
        <v>7210</v>
      </c>
      <c r="K25" s="261">
        <v>508</v>
      </c>
      <c r="L25" s="246">
        <v>12.4</v>
      </c>
      <c r="M25" s="271">
        <v>3.29</v>
      </c>
      <c r="N25" s="170">
        <v>481</v>
      </c>
      <c r="O25" s="203">
        <v>67.7</v>
      </c>
      <c r="P25" s="22">
        <v>300</v>
      </c>
      <c r="Q25" s="22">
        <v>150</v>
      </c>
      <c r="S25" s="160" t="str">
        <f>"I-"&amp;T$24&amp;"x"&amp;U25&amp;"x"&amp;V25&amp;" mm."</f>
        <v>I-600x190x16x35 mm.</v>
      </c>
      <c r="T25" s="519"/>
      <c r="U25" s="206">
        <v>16</v>
      </c>
      <c r="V25" s="242">
        <v>35</v>
      </c>
      <c r="W25" s="206">
        <v>38</v>
      </c>
      <c r="X25" s="242">
        <v>19</v>
      </c>
      <c r="Y25" s="285">
        <v>224.5</v>
      </c>
      <c r="Z25" s="242">
        <v>176</v>
      </c>
      <c r="AA25" s="204">
        <v>130000</v>
      </c>
      <c r="AB25" s="279">
        <v>3540</v>
      </c>
      <c r="AC25" s="226">
        <v>24.1</v>
      </c>
      <c r="AD25" s="279">
        <v>3.97</v>
      </c>
      <c r="AE25" s="226">
        <v>4330</v>
      </c>
      <c r="AF25" s="279">
        <v>373</v>
      </c>
      <c r="AG25" s="22">
        <v>600</v>
      </c>
      <c r="AH25" s="22">
        <v>190</v>
      </c>
      <c r="AK25" s="500" t="s">
        <v>135</v>
      </c>
      <c r="AL25" s="501"/>
      <c r="AM25" s="501"/>
      <c r="AN25" s="501"/>
      <c r="AO25" s="501"/>
      <c r="AP25" s="247" t="s">
        <v>140</v>
      </c>
      <c r="AQ25" s="194" t="s">
        <v>142</v>
      </c>
      <c r="AR25" s="501" t="s">
        <v>198</v>
      </c>
      <c r="AS25" s="501"/>
      <c r="AT25" s="502" t="s">
        <v>143</v>
      </c>
      <c r="AU25" s="499"/>
      <c r="AV25" s="498" t="s">
        <v>144</v>
      </c>
      <c r="AW25" s="499"/>
      <c r="AX25" s="498" t="s">
        <v>146</v>
      </c>
      <c r="AY25" s="499"/>
      <c r="BB25" s="160"/>
      <c r="BC25" s="21" t="str">
        <f>"Tube-"&amp;BE$25&amp;"x"&amp;BF25&amp;" mm."</f>
        <v>Tube-100x100x2.3 mm.</v>
      </c>
      <c r="BD25" s="481" t="s">
        <v>243</v>
      </c>
      <c r="BE25" s="503" t="s">
        <v>148</v>
      </c>
      <c r="BF25" s="212">
        <v>2.3</v>
      </c>
      <c r="BG25" s="24">
        <v>8.85</v>
      </c>
      <c r="BH25" s="212">
        <v>6.95</v>
      </c>
      <c r="BI25" s="24">
        <v>140</v>
      </c>
      <c r="BJ25" s="212">
        <v>27.9</v>
      </c>
      <c r="BK25" s="277">
        <v>3.97</v>
      </c>
      <c r="BL25" s="22">
        <v>100</v>
      </c>
      <c r="BO25" s="21" t="str">
        <f>"Tube-"&amp;BQ$21&amp;"x"&amp;BR25&amp;" mm."</f>
        <v>Tube-125x75x6 mm.</v>
      </c>
      <c r="BP25" s="483"/>
      <c r="BQ25" s="504"/>
      <c r="BR25" s="212">
        <v>6</v>
      </c>
      <c r="BS25" s="24">
        <v>21.63</v>
      </c>
      <c r="BT25" s="212">
        <v>17</v>
      </c>
      <c r="BU25" s="179">
        <v>428</v>
      </c>
      <c r="BV25" s="178">
        <v>192</v>
      </c>
      <c r="BW25" s="195">
        <v>68.5</v>
      </c>
      <c r="BX25" s="196">
        <v>51.1</v>
      </c>
      <c r="BY25" s="179">
        <v>4.45</v>
      </c>
      <c r="BZ25" s="196">
        <v>2.98</v>
      </c>
      <c r="CA25" s="22">
        <v>125</v>
      </c>
      <c r="CB25" s="22">
        <v>75</v>
      </c>
      <c r="CD25" s="21" t="str">
        <f>"Pipe-D"&amp;CF$24&amp;"x"&amp;CG25&amp;" mm."</f>
        <v>Pipe-D101.6x4 mm.</v>
      </c>
      <c r="CE25" s="516"/>
      <c r="CF25" s="531"/>
      <c r="CG25" s="28">
        <v>4</v>
      </c>
      <c r="CH25" s="284">
        <v>9.63</v>
      </c>
      <c r="CI25" s="28">
        <v>12.26</v>
      </c>
      <c r="CJ25" s="284">
        <v>146</v>
      </c>
      <c r="CK25" s="284">
        <v>28.8</v>
      </c>
      <c r="CL25" s="278">
        <v>3.45</v>
      </c>
      <c r="CM25" s="21">
        <v>101.6</v>
      </c>
      <c r="CO25" s="21" t="str">
        <f>"[-"&amp;CP$25&amp;"x"&amp;CQ25&amp;" mm."</f>
        <v>[-120x60x25x2.3 mm.</v>
      </c>
      <c r="CP25" s="481" t="s">
        <v>301</v>
      </c>
      <c r="CQ25" s="174">
        <v>2.3</v>
      </c>
      <c r="CR25" s="210">
        <v>6.092</v>
      </c>
      <c r="CS25" s="158">
        <v>4.78</v>
      </c>
      <c r="CT25" s="287">
        <v>0</v>
      </c>
      <c r="CU25" s="202">
        <v>2.13</v>
      </c>
      <c r="CV25" s="166">
        <v>140</v>
      </c>
      <c r="CW25" s="174">
        <v>31.3</v>
      </c>
      <c r="CX25" s="287">
        <v>4.79</v>
      </c>
      <c r="CY25" s="202">
        <v>2.27</v>
      </c>
      <c r="CZ25" s="166">
        <v>23.3</v>
      </c>
      <c r="DA25" s="202">
        <v>8.1</v>
      </c>
      <c r="DB25" s="24">
        <v>120</v>
      </c>
      <c r="DC25" s="24">
        <v>60</v>
      </c>
      <c r="DD25" s="24">
        <v>25</v>
      </c>
      <c r="DE25" s="24"/>
      <c r="DF25" s="24"/>
      <c r="DG25" s="21" t="str">
        <f>"2[]-"&amp;DH$25&amp;"x"&amp;DI25&amp;" mm."</f>
        <v>2[]-120x60x25x2.3 mm.</v>
      </c>
      <c r="DH25" s="481" t="s">
        <v>301</v>
      </c>
      <c r="DI25" s="174">
        <v>2.3</v>
      </c>
      <c r="DJ25" s="210">
        <f t="shared" si="2"/>
        <v>12.184</v>
      </c>
      <c r="DK25" s="158">
        <f t="shared" si="3"/>
        <v>9.56</v>
      </c>
      <c r="DL25" s="287">
        <v>0</v>
      </c>
      <c r="DM25" s="202">
        <v>1.06</v>
      </c>
      <c r="DN25" s="166">
        <f t="shared" si="4"/>
        <v>280</v>
      </c>
      <c r="DO25" s="174">
        <f t="shared" si="5"/>
        <v>62.6</v>
      </c>
      <c r="DP25" s="287">
        <v>2.37</v>
      </c>
      <c r="DQ25" s="202">
        <v>1.11</v>
      </c>
      <c r="DR25" s="166">
        <f t="shared" si="6"/>
        <v>46.6</v>
      </c>
      <c r="DS25" s="202">
        <f t="shared" si="7"/>
        <v>16.2</v>
      </c>
      <c r="DT25" s="24">
        <f t="shared" si="8"/>
        <v>120</v>
      </c>
      <c r="DU25" s="24">
        <f t="shared" si="9"/>
        <v>120</v>
      </c>
      <c r="DV25" s="24">
        <f t="shared" si="10"/>
        <v>25</v>
      </c>
      <c r="DW25" s="24"/>
      <c r="DX25" s="24"/>
      <c r="DY25" s="24"/>
      <c r="DZ25" s="24"/>
      <c r="EA25" s="24"/>
      <c r="ED25" s="21" t="str">
        <f>Purlin!CW19</f>
        <v>[-60x30x10x1.6 mm.</v>
      </c>
      <c r="EE25" s="21">
        <f>Purlin!CU7</f>
        <v>7</v>
      </c>
    </row>
    <row r="26" spans="3:148" ht="15" thickBot="1">
      <c r="C26" s="160" t="str">
        <f>"WF-"&amp;D$26&amp;"x"&amp;E26&amp;"x"&amp;F26&amp;" mm."</f>
        <v>WF-300x200x8x12 mm.</v>
      </c>
      <c r="D26" s="508" t="s">
        <v>220</v>
      </c>
      <c r="E26" s="182">
        <v>8</v>
      </c>
      <c r="F26" s="180">
        <v>12</v>
      </c>
      <c r="G26" s="220">
        <v>18</v>
      </c>
      <c r="H26" s="228">
        <v>72.38</v>
      </c>
      <c r="I26" s="239">
        <v>56.8</v>
      </c>
      <c r="J26" s="256">
        <v>11300</v>
      </c>
      <c r="K26" s="257">
        <v>1600</v>
      </c>
      <c r="L26" s="244">
        <v>12.5</v>
      </c>
      <c r="M26" s="269">
        <v>4.71</v>
      </c>
      <c r="N26" s="179">
        <v>771</v>
      </c>
      <c r="O26" s="196">
        <v>160</v>
      </c>
      <c r="P26" s="22">
        <v>294</v>
      </c>
      <c r="Q26" s="22">
        <v>200</v>
      </c>
      <c r="AK26" s="214" t="s">
        <v>136</v>
      </c>
      <c r="AL26" s="215" t="s">
        <v>137</v>
      </c>
      <c r="AM26" s="215" t="s">
        <v>138</v>
      </c>
      <c r="AN26" s="215" t="s">
        <v>172</v>
      </c>
      <c r="AO26" s="288" t="s">
        <v>173</v>
      </c>
      <c r="AP26" s="214" t="s">
        <v>167</v>
      </c>
      <c r="AQ26" s="216" t="s">
        <v>141</v>
      </c>
      <c r="AR26" s="234" t="s">
        <v>199</v>
      </c>
      <c r="AS26" s="288" t="s">
        <v>200</v>
      </c>
      <c r="AT26" s="214" t="s">
        <v>79</v>
      </c>
      <c r="AU26" s="216" t="s">
        <v>80</v>
      </c>
      <c r="AV26" s="234" t="s">
        <v>145</v>
      </c>
      <c r="AW26" s="216" t="s">
        <v>83</v>
      </c>
      <c r="AX26" s="234" t="s">
        <v>168</v>
      </c>
      <c r="AY26" s="216" t="s">
        <v>169</v>
      </c>
      <c r="BB26" s="160"/>
      <c r="BC26" s="21" t="str">
        <f>"Tube-"&amp;BE$25&amp;"x"&amp;BF26&amp;" mm."</f>
        <v>Tube-100x100x3.2 mm.</v>
      </c>
      <c r="BD26" s="482"/>
      <c r="BE26" s="504"/>
      <c r="BF26" s="212">
        <v>3.2</v>
      </c>
      <c r="BG26" s="24">
        <v>12.13</v>
      </c>
      <c r="BH26" s="212">
        <v>9.52</v>
      </c>
      <c r="BI26" s="24">
        <v>187</v>
      </c>
      <c r="BJ26" s="212">
        <v>37.5</v>
      </c>
      <c r="BK26" s="277">
        <v>3.93</v>
      </c>
      <c r="BL26" s="22">
        <v>100</v>
      </c>
      <c r="BO26" s="21" t="str">
        <f>"Tube-"&amp;BQ$26&amp;"x"&amp;BR26&amp;" mm."</f>
        <v>Tube-150x50x3.2 mm.</v>
      </c>
      <c r="BP26" s="482" t="s">
        <v>251</v>
      </c>
      <c r="BQ26" s="503" t="s">
        <v>234</v>
      </c>
      <c r="BR26" s="210">
        <v>3.2</v>
      </c>
      <c r="BS26" s="158">
        <v>12.13</v>
      </c>
      <c r="BT26" s="210">
        <v>9.63</v>
      </c>
      <c r="BU26" s="166">
        <v>314.92</v>
      </c>
      <c r="BV26" s="174">
        <v>55.71</v>
      </c>
      <c r="BW26" s="287">
        <v>42.61</v>
      </c>
      <c r="BX26" s="202">
        <v>22.61</v>
      </c>
      <c r="BY26" s="166">
        <v>5.16</v>
      </c>
      <c r="BZ26" s="202">
        <v>2.17</v>
      </c>
      <c r="CA26" s="22">
        <v>150</v>
      </c>
      <c r="CB26" s="22">
        <v>50</v>
      </c>
      <c r="CD26" s="21" t="str">
        <f>"Pipe-D"&amp;CF$26&amp;"x"&amp;CG26&amp;" mm."</f>
        <v>Pipe-D114.3x3.2 mm.</v>
      </c>
      <c r="CE26" s="514">
        <v>4</v>
      </c>
      <c r="CF26" s="529">
        <v>114.3</v>
      </c>
      <c r="CG26" s="24">
        <v>3.2</v>
      </c>
      <c r="CH26" s="212">
        <v>8.77</v>
      </c>
      <c r="CI26" s="24">
        <v>11.17</v>
      </c>
      <c r="CJ26" s="212">
        <v>172</v>
      </c>
      <c r="CK26" s="212">
        <v>30.2</v>
      </c>
      <c r="CL26" s="277">
        <v>3.93</v>
      </c>
      <c r="CM26" s="21">
        <v>114.3</v>
      </c>
      <c r="CO26" s="21" t="str">
        <f>"[-"&amp;CP$25&amp;"x"&amp;CQ26&amp;" mm."</f>
        <v>[-120x60x25x3.2 mm.</v>
      </c>
      <c r="CP26" s="482"/>
      <c r="CQ26" s="178">
        <v>3.2</v>
      </c>
      <c r="CR26" s="212">
        <v>8.287</v>
      </c>
      <c r="CS26" s="24">
        <v>6.51</v>
      </c>
      <c r="CT26" s="195">
        <v>0</v>
      </c>
      <c r="CU26" s="196">
        <v>2.12</v>
      </c>
      <c r="CV26" s="179">
        <v>186</v>
      </c>
      <c r="CW26" s="178">
        <v>40.9</v>
      </c>
      <c r="CX26" s="195">
        <v>4.74</v>
      </c>
      <c r="CY26" s="196">
        <v>2.22</v>
      </c>
      <c r="CZ26" s="179">
        <v>31</v>
      </c>
      <c r="DA26" s="196">
        <v>10.5</v>
      </c>
      <c r="DB26" s="24">
        <v>120</v>
      </c>
      <c r="DC26" s="24">
        <v>60</v>
      </c>
      <c r="DD26" s="24">
        <v>25</v>
      </c>
      <c r="DE26" s="24"/>
      <c r="DF26" s="24"/>
      <c r="DG26" s="21" t="str">
        <f>"2[]-"&amp;DH$25&amp;"x"&amp;DI26&amp;" mm."</f>
        <v>2[]-120x60x25x3.2 mm.</v>
      </c>
      <c r="DH26" s="482"/>
      <c r="DI26" s="178">
        <v>3.2</v>
      </c>
      <c r="DJ26" s="212">
        <f t="shared" si="2"/>
        <v>16.574</v>
      </c>
      <c r="DK26" s="24">
        <f t="shared" si="3"/>
        <v>13.02</v>
      </c>
      <c r="DL26" s="195">
        <v>0</v>
      </c>
      <c r="DM26" s="196">
        <v>1.06</v>
      </c>
      <c r="DN26" s="179">
        <f t="shared" si="4"/>
        <v>372</v>
      </c>
      <c r="DO26" s="178">
        <f t="shared" si="5"/>
        <v>81.8</v>
      </c>
      <c r="DP26" s="195">
        <v>2.37</v>
      </c>
      <c r="DQ26" s="196">
        <v>1.11</v>
      </c>
      <c r="DR26" s="179">
        <f t="shared" si="6"/>
        <v>62</v>
      </c>
      <c r="DS26" s="196">
        <f t="shared" si="7"/>
        <v>21</v>
      </c>
      <c r="DT26" s="24">
        <f t="shared" si="8"/>
        <v>120</v>
      </c>
      <c r="DU26" s="24">
        <f t="shared" si="9"/>
        <v>120</v>
      </c>
      <c r="DV26" s="24">
        <f t="shared" si="10"/>
        <v>25</v>
      </c>
      <c r="DW26" s="24"/>
      <c r="DX26" s="24"/>
      <c r="DY26" s="24"/>
      <c r="DZ26" s="24"/>
      <c r="EA26" s="24"/>
      <c r="ED26" s="22" t="s">
        <v>263</v>
      </c>
      <c r="EE26" s="22" t="s">
        <v>142</v>
      </c>
      <c r="EF26" s="22" t="s">
        <v>87</v>
      </c>
      <c r="EG26" s="22" t="s">
        <v>88</v>
      </c>
      <c r="EH26" s="22" t="s">
        <v>89</v>
      </c>
      <c r="EI26" s="22" t="s">
        <v>90</v>
      </c>
      <c r="EJ26" s="22" t="s">
        <v>229</v>
      </c>
      <c r="EK26" s="22" t="s">
        <v>230</v>
      </c>
      <c r="EL26" s="22" t="s">
        <v>324</v>
      </c>
      <c r="EM26" s="22" t="s">
        <v>323</v>
      </c>
      <c r="EN26" s="22" t="s">
        <v>325</v>
      </c>
      <c r="EO26" s="22" t="s">
        <v>137</v>
      </c>
      <c r="EP26" s="22" t="s">
        <v>138</v>
      </c>
      <c r="EQ26" s="22" t="s">
        <v>172</v>
      </c>
      <c r="ER26" s="22" t="s">
        <v>173</v>
      </c>
    </row>
    <row r="27" spans="3:148" ht="14.25">
      <c r="C27" s="160" t="str">
        <f>"WF-"&amp;D$26&amp;"x"&amp;E27&amp;"x"&amp;F27&amp;" mm."</f>
        <v>WF-300x200x9x14 mm.</v>
      </c>
      <c r="D27" s="508"/>
      <c r="E27" s="182">
        <v>9</v>
      </c>
      <c r="F27" s="180">
        <v>14</v>
      </c>
      <c r="G27" s="220">
        <v>18</v>
      </c>
      <c r="H27" s="228">
        <v>83.36</v>
      </c>
      <c r="I27" s="239">
        <v>65.4</v>
      </c>
      <c r="J27" s="256">
        <v>13300</v>
      </c>
      <c r="K27" s="257">
        <v>1900</v>
      </c>
      <c r="L27" s="244">
        <v>12.5</v>
      </c>
      <c r="M27" s="269">
        <v>4.77</v>
      </c>
      <c r="N27" s="179">
        <v>893</v>
      </c>
      <c r="O27" s="196">
        <v>189</v>
      </c>
      <c r="P27" s="22">
        <v>298</v>
      </c>
      <c r="Q27" s="22">
        <v>201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J27" s="160" t="str">
        <f>"2[]-"&amp;AK27&amp;"x"&amp;AL27&amp;"x"&amp;AM27&amp;" mm."</f>
        <v>2[]-75x40x5x7 mm.</v>
      </c>
      <c r="AK27" s="195" t="s">
        <v>189</v>
      </c>
      <c r="AL27" s="167">
        <v>5</v>
      </c>
      <c r="AM27" s="167">
        <v>7</v>
      </c>
      <c r="AN27" s="167">
        <v>8</v>
      </c>
      <c r="AO27" s="178">
        <v>4</v>
      </c>
      <c r="AP27" s="195">
        <f aca="true" t="shared" si="15" ref="AP27:AQ43">AP6*2</f>
        <v>17.64</v>
      </c>
      <c r="AQ27" s="196">
        <f t="shared" si="15"/>
        <v>13.84</v>
      </c>
      <c r="AR27" s="179">
        <v>0</v>
      </c>
      <c r="AS27" s="178">
        <v>1.28</v>
      </c>
      <c r="AT27" s="195">
        <f aca="true" t="shared" si="16" ref="AT27:AU43">AT6*2</f>
        <v>150.6</v>
      </c>
      <c r="AU27" s="196">
        <f t="shared" si="16"/>
        <v>24.4</v>
      </c>
      <c r="AV27" s="179">
        <v>2.92</v>
      </c>
      <c r="AW27" s="196">
        <v>1.17</v>
      </c>
      <c r="AX27" s="179">
        <f aca="true" t="shared" si="17" ref="AX27:AY43">AX6*2</f>
        <v>40.2</v>
      </c>
      <c r="AY27" s="196">
        <f t="shared" si="17"/>
        <v>8.94</v>
      </c>
      <c r="AZ27" s="22">
        <v>75</v>
      </c>
      <c r="BA27" s="22">
        <f>BA6*2</f>
        <v>80</v>
      </c>
      <c r="BC27" s="21" t="str">
        <f>"Tube-"&amp;BE$25&amp;"x"&amp;BF27&amp;" mm."</f>
        <v>Tube-100x100x4 mm.</v>
      </c>
      <c r="BD27" s="482"/>
      <c r="BE27" s="504"/>
      <c r="BF27" s="212">
        <v>4</v>
      </c>
      <c r="BG27" s="24">
        <v>14.95</v>
      </c>
      <c r="BH27" s="212">
        <v>11.7</v>
      </c>
      <c r="BI27" s="24">
        <v>226</v>
      </c>
      <c r="BJ27" s="212">
        <v>45.3</v>
      </c>
      <c r="BK27" s="277">
        <v>3.89</v>
      </c>
      <c r="BL27" s="22">
        <v>100</v>
      </c>
      <c r="BO27" s="21" t="str">
        <f>"Tube-"&amp;BQ$26&amp;"x"&amp;BR27&amp;" mm."</f>
        <v>Tube-150x50x4.5 mm.</v>
      </c>
      <c r="BP27" s="482"/>
      <c r="BQ27" s="504"/>
      <c r="BR27" s="212">
        <v>4.5</v>
      </c>
      <c r="BS27" s="24">
        <v>17.03</v>
      </c>
      <c r="BT27" s="212">
        <v>13.5</v>
      </c>
      <c r="BU27" s="179">
        <v>423.93</v>
      </c>
      <c r="BV27" s="178">
        <v>75.75</v>
      </c>
      <c r="BW27" s="195">
        <v>53.35</v>
      </c>
      <c r="BX27" s="196">
        <v>29.82</v>
      </c>
      <c r="BY27" s="179">
        <v>5.05</v>
      </c>
      <c r="BZ27" s="196">
        <v>2.11</v>
      </c>
      <c r="CA27" s="22">
        <v>150</v>
      </c>
      <c r="CB27" s="22">
        <v>50</v>
      </c>
      <c r="CD27" s="21" t="str">
        <f>"Pipe-D"&amp;CF$26&amp;"x"&amp;CG27&amp;" mm."</f>
        <v>Pipe-D114.3x3.5 mm.</v>
      </c>
      <c r="CE27" s="514"/>
      <c r="CF27" s="529"/>
      <c r="CG27" s="24">
        <v>3.5</v>
      </c>
      <c r="CH27" s="212">
        <v>9.58</v>
      </c>
      <c r="CI27" s="24">
        <v>12.18</v>
      </c>
      <c r="CJ27" s="212">
        <v>187</v>
      </c>
      <c r="CK27" s="212">
        <v>32.7</v>
      </c>
      <c r="CL27" s="277">
        <v>3.92</v>
      </c>
      <c r="CM27" s="21">
        <v>114.3</v>
      </c>
      <c r="CO27" s="21" t="str">
        <f>"[-"&amp;CP$25&amp;"x"&amp;CQ27&amp;" mm."</f>
        <v>[-120x60x25x4.5 mm.</v>
      </c>
      <c r="CP27" s="483"/>
      <c r="CQ27" s="290">
        <v>4.5</v>
      </c>
      <c r="CR27" s="284">
        <v>11.72</v>
      </c>
      <c r="CS27" s="28">
        <v>9.2</v>
      </c>
      <c r="CT27" s="272">
        <v>0</v>
      </c>
      <c r="CU27" s="203">
        <v>2.25</v>
      </c>
      <c r="CV27" s="170">
        <v>252</v>
      </c>
      <c r="CW27" s="290">
        <v>58</v>
      </c>
      <c r="CX27" s="272">
        <v>4.63</v>
      </c>
      <c r="CY27" s="203">
        <v>2.22</v>
      </c>
      <c r="CZ27" s="170">
        <v>41.9</v>
      </c>
      <c r="DA27" s="203">
        <v>15.5</v>
      </c>
      <c r="DB27" s="24">
        <v>120</v>
      </c>
      <c r="DC27" s="24">
        <v>60</v>
      </c>
      <c r="DD27" s="24">
        <v>25</v>
      </c>
      <c r="DE27" s="24"/>
      <c r="DF27" s="24"/>
      <c r="DG27" s="21" t="str">
        <f>"2[]-"&amp;DH$25&amp;"x"&amp;DI27&amp;" mm."</f>
        <v>2[]-120x60x25x4.5 mm.</v>
      </c>
      <c r="DH27" s="483"/>
      <c r="DI27" s="290">
        <v>4.5</v>
      </c>
      <c r="DJ27" s="284">
        <f t="shared" si="2"/>
        <v>23.44</v>
      </c>
      <c r="DK27" s="28">
        <f t="shared" si="3"/>
        <v>18.4</v>
      </c>
      <c r="DL27" s="272">
        <v>0</v>
      </c>
      <c r="DM27" s="203">
        <v>1.06</v>
      </c>
      <c r="DN27" s="170">
        <f t="shared" si="4"/>
        <v>504</v>
      </c>
      <c r="DO27" s="290">
        <f t="shared" si="5"/>
        <v>116</v>
      </c>
      <c r="DP27" s="272">
        <v>2.37</v>
      </c>
      <c r="DQ27" s="203">
        <v>1.11</v>
      </c>
      <c r="DR27" s="170">
        <f t="shared" si="6"/>
        <v>83.8</v>
      </c>
      <c r="DS27" s="203">
        <f t="shared" si="7"/>
        <v>31</v>
      </c>
      <c r="DT27" s="24">
        <f t="shared" si="8"/>
        <v>120</v>
      </c>
      <c r="DU27" s="24">
        <f t="shared" si="9"/>
        <v>120</v>
      </c>
      <c r="DV27" s="24">
        <f t="shared" si="10"/>
        <v>25</v>
      </c>
      <c r="DW27" s="24"/>
      <c r="DX27" s="24"/>
      <c r="DY27" s="24"/>
      <c r="DZ27" s="24"/>
      <c r="EA27" s="24"/>
      <c r="EB27" s="21">
        <v>1</v>
      </c>
      <c r="EC27" s="21" t="s">
        <v>306</v>
      </c>
      <c r="ED27" s="22" t="e">
        <f>VLOOKUP($ED25,$C$6:$O$77,6,FALSE)</f>
        <v>#N/A</v>
      </c>
      <c r="EE27" s="22" t="e">
        <f>VLOOKUP($ED25,$C$6:$O$77,7,FALSE)</f>
        <v>#N/A</v>
      </c>
      <c r="EF27" s="22" t="e">
        <f>VLOOKUP($ED25,$C$6:$O$77,8,FALSE)</f>
        <v>#N/A</v>
      </c>
      <c r="EG27" s="22" t="e">
        <f>VLOOKUP($ED25,$C$6:$O$77,9,FALSE)</f>
        <v>#N/A</v>
      </c>
      <c r="EH27" s="22" t="e">
        <f>VLOOKUP($ED25,$C$6:$O$77,12,FALSE)</f>
        <v>#N/A</v>
      </c>
      <c r="EI27" s="22" t="e">
        <f>VLOOKUP($ED25,$C$6:$O$77,13,FALSE)</f>
        <v>#N/A</v>
      </c>
      <c r="EJ27" s="22" t="e">
        <f>VLOOKUP($ED25,$C$6:$O$77,10,FALSE)</f>
        <v>#N/A</v>
      </c>
      <c r="EK27" s="22" t="e">
        <f>VLOOKUP($ED25,$C$6:$O$77,11,FALSE)</f>
        <v>#N/A</v>
      </c>
      <c r="EL27" s="22" t="e">
        <f>VLOOKUP($ED25,$C$6:$Q$77,14,FALSE)</f>
        <v>#N/A</v>
      </c>
      <c r="EM27" s="22" t="e">
        <f>VLOOKUP($ED25,$C$6:$Q$77,15,FALSE)</f>
        <v>#N/A</v>
      </c>
      <c r="EN27" s="22"/>
      <c r="EO27" s="22" t="e">
        <f>VLOOKUP($ED25,$C$6:$O$77,3,FALSE)</f>
        <v>#N/A</v>
      </c>
      <c r="EP27" s="22" t="e">
        <f>VLOOKUP($ED25,$C$6:$O$77,4,FALSE)</f>
        <v>#N/A</v>
      </c>
      <c r="EQ27" s="22" t="e">
        <f>VLOOKUP($ED25,$C$6:$O$77,5,FALSE)</f>
        <v>#N/A</v>
      </c>
      <c r="ER27" s="22"/>
    </row>
    <row r="28" spans="3:148" ht="14.25">
      <c r="C28" s="160" t="str">
        <f>"WF-"&amp;D$28&amp;"x"&amp;E28&amp;"x"&amp;F28&amp;" mm."</f>
        <v>WF-300X300x12x12 mm.</v>
      </c>
      <c r="D28" s="517" t="s">
        <v>156</v>
      </c>
      <c r="E28" s="183">
        <v>12</v>
      </c>
      <c r="F28" s="184">
        <v>12</v>
      </c>
      <c r="G28" s="221">
        <v>18</v>
      </c>
      <c r="H28" s="229">
        <v>107.7</v>
      </c>
      <c r="I28" s="240">
        <v>84.5</v>
      </c>
      <c r="J28" s="258">
        <v>16900</v>
      </c>
      <c r="K28" s="259">
        <v>5520</v>
      </c>
      <c r="L28" s="245">
        <v>12.5</v>
      </c>
      <c r="M28" s="270">
        <v>7.16</v>
      </c>
      <c r="N28" s="166">
        <v>1150</v>
      </c>
      <c r="O28" s="202">
        <v>365</v>
      </c>
      <c r="P28" s="22">
        <v>294</v>
      </c>
      <c r="Q28" s="22">
        <v>302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J28" s="160" t="str">
        <f>"2[]-"&amp;AK28&amp;"x"&amp;AL28&amp;"x"&amp;AM28&amp;" mm."</f>
        <v>2[]-100x50x5x7.5 mm.</v>
      </c>
      <c r="AK28" s="197" t="s">
        <v>147</v>
      </c>
      <c r="AL28" s="168">
        <v>5</v>
      </c>
      <c r="AM28" s="168">
        <v>7.5</v>
      </c>
      <c r="AN28" s="168">
        <v>8</v>
      </c>
      <c r="AO28" s="172">
        <v>4</v>
      </c>
      <c r="AP28" s="287">
        <f t="shared" si="15"/>
        <v>23.84</v>
      </c>
      <c r="AQ28" s="202">
        <f t="shared" si="15"/>
        <v>18.72</v>
      </c>
      <c r="AR28" s="166">
        <v>0</v>
      </c>
      <c r="AS28" s="174">
        <v>1.28</v>
      </c>
      <c r="AT28" s="287">
        <f t="shared" si="16"/>
        <v>376</v>
      </c>
      <c r="AU28" s="202">
        <f t="shared" si="16"/>
        <v>52</v>
      </c>
      <c r="AV28" s="166">
        <v>2.92</v>
      </c>
      <c r="AW28" s="202">
        <v>1.17</v>
      </c>
      <c r="AX28" s="166">
        <f t="shared" si="17"/>
        <v>75.2</v>
      </c>
      <c r="AY28" s="202">
        <f t="shared" si="17"/>
        <v>15.04</v>
      </c>
      <c r="AZ28" s="22">
        <v>76</v>
      </c>
      <c r="BA28" s="22">
        <f aca="true" t="shared" si="18" ref="BA28:BA43">BA7*2</f>
        <v>100</v>
      </c>
      <c r="BC28" s="21" t="str">
        <f>"Tube-"&amp;BE$25&amp;"x"&amp;BF28&amp;" mm."</f>
        <v>Tube-100x100x4.5 mm.</v>
      </c>
      <c r="BD28" s="482"/>
      <c r="BE28" s="504"/>
      <c r="BF28" s="212">
        <v>4.5</v>
      </c>
      <c r="BG28" s="24">
        <v>16.67</v>
      </c>
      <c r="BH28" s="212">
        <v>13.1</v>
      </c>
      <c r="BI28" s="24">
        <v>249</v>
      </c>
      <c r="BJ28" s="212">
        <v>49.9</v>
      </c>
      <c r="BK28" s="277">
        <v>3.87</v>
      </c>
      <c r="BL28" s="22">
        <v>100</v>
      </c>
      <c r="BO28" s="21" t="str">
        <f>"Tube-"&amp;BQ$26&amp;"x"&amp;BR28&amp;" mm."</f>
        <v>Tube-150x50x6.3 mm.</v>
      </c>
      <c r="BP28" s="483"/>
      <c r="BQ28" s="505"/>
      <c r="BR28" s="284">
        <v>6.3</v>
      </c>
      <c r="BS28" s="28">
        <v>22.84</v>
      </c>
      <c r="BT28" s="284">
        <v>18.77</v>
      </c>
      <c r="BU28" s="170">
        <v>536.98</v>
      </c>
      <c r="BV28" s="290">
        <v>93.65</v>
      </c>
      <c r="BW28" s="272">
        <v>72.76</v>
      </c>
      <c r="BX28" s="203">
        <v>36.87</v>
      </c>
      <c r="BY28" s="170">
        <v>4.93</v>
      </c>
      <c r="BZ28" s="203">
        <v>2.03</v>
      </c>
      <c r="CA28" s="22">
        <v>150</v>
      </c>
      <c r="CB28" s="22">
        <v>50</v>
      </c>
      <c r="CD28" s="21" t="str">
        <f>"Pipe-D"&amp;CF$26&amp;"x"&amp;CG28&amp;" mm."</f>
        <v>Pipe-D114.3x4.5 mm.</v>
      </c>
      <c r="CE28" s="514"/>
      <c r="CF28" s="529"/>
      <c r="CG28" s="24">
        <v>4.5</v>
      </c>
      <c r="CH28" s="212">
        <v>12.2</v>
      </c>
      <c r="CI28" s="24">
        <v>15.52</v>
      </c>
      <c r="CJ28" s="212">
        <v>234</v>
      </c>
      <c r="CK28" s="212">
        <v>41</v>
      </c>
      <c r="CL28" s="277">
        <v>3.89</v>
      </c>
      <c r="CM28" s="21">
        <v>114.3</v>
      </c>
      <c r="CO28" s="21" t="str">
        <f>"[-"&amp;CP$28&amp;"x"&amp;CQ28&amp;" mm."</f>
        <v>[-125x50x20x2.3 mm.</v>
      </c>
      <c r="CP28" s="481" t="s">
        <v>293</v>
      </c>
      <c r="CQ28" s="178">
        <v>2.3</v>
      </c>
      <c r="CR28" s="212">
        <v>5.747</v>
      </c>
      <c r="CS28" s="24">
        <v>4.51</v>
      </c>
      <c r="CT28" s="195">
        <v>0</v>
      </c>
      <c r="CU28" s="196">
        <v>1.69</v>
      </c>
      <c r="CV28" s="179">
        <v>137</v>
      </c>
      <c r="CW28" s="178">
        <v>20.6</v>
      </c>
      <c r="CX28" s="195">
        <v>4.88</v>
      </c>
      <c r="CY28" s="196">
        <v>1.89</v>
      </c>
      <c r="CZ28" s="179">
        <v>21.9</v>
      </c>
      <c r="DA28" s="196">
        <v>6.22</v>
      </c>
      <c r="DB28" s="24">
        <v>125</v>
      </c>
      <c r="DC28" s="24">
        <v>50</v>
      </c>
      <c r="DD28" s="24">
        <v>20</v>
      </c>
      <c r="DE28" s="24"/>
      <c r="DF28" s="24"/>
      <c r="DG28" s="21" t="str">
        <f>"2[]-"&amp;DH$28&amp;"x"&amp;DI28&amp;" mm."</f>
        <v>2[]-125x50x20x2.3 mm.</v>
      </c>
      <c r="DH28" s="481" t="s">
        <v>293</v>
      </c>
      <c r="DI28" s="178">
        <v>2.3</v>
      </c>
      <c r="DJ28" s="210">
        <f t="shared" si="2"/>
        <v>11.494</v>
      </c>
      <c r="DK28" s="158">
        <f t="shared" si="3"/>
        <v>9.02</v>
      </c>
      <c r="DL28" s="287">
        <v>0</v>
      </c>
      <c r="DM28" s="202">
        <v>1.06</v>
      </c>
      <c r="DN28" s="166">
        <f t="shared" si="4"/>
        <v>274</v>
      </c>
      <c r="DO28" s="174">
        <f t="shared" si="5"/>
        <v>41.2</v>
      </c>
      <c r="DP28" s="287">
        <v>2.37</v>
      </c>
      <c r="DQ28" s="202">
        <v>1.11</v>
      </c>
      <c r="DR28" s="166">
        <f t="shared" si="6"/>
        <v>43.8</v>
      </c>
      <c r="DS28" s="202">
        <f t="shared" si="7"/>
        <v>12.44</v>
      </c>
      <c r="DT28" s="24">
        <f t="shared" si="8"/>
        <v>125</v>
      </c>
      <c r="DU28" s="24">
        <f t="shared" si="9"/>
        <v>100</v>
      </c>
      <c r="DV28" s="24">
        <f t="shared" si="10"/>
        <v>20</v>
      </c>
      <c r="DW28" s="24"/>
      <c r="DX28" s="24"/>
      <c r="DY28" s="24"/>
      <c r="DZ28" s="24"/>
      <c r="EA28" s="24"/>
      <c r="EB28" s="21">
        <v>2</v>
      </c>
      <c r="EC28" s="21" t="s">
        <v>307</v>
      </c>
      <c r="ED28" s="22" t="e">
        <f>VLOOKUP($ED25,$S$6:$AF$25,7,FALSE)</f>
        <v>#N/A</v>
      </c>
      <c r="EE28" s="22" t="e">
        <f>VLOOKUP($ED25,$S$6:$AF$25,8,FALSE)</f>
        <v>#N/A</v>
      </c>
      <c r="EF28" s="22" t="e">
        <f>VLOOKUP($ED25,$S$6:$AF$25,9,FALSE)</f>
        <v>#N/A</v>
      </c>
      <c r="EG28" s="22" t="e">
        <f>VLOOKUP($ED25,$S$6:$AF$25,10,FALSE)</f>
        <v>#N/A</v>
      </c>
      <c r="EH28" s="22" t="e">
        <f>VLOOKUP($ED25,$S$6:$AF$25,13,FALSE)</f>
        <v>#N/A</v>
      </c>
      <c r="EI28" s="22" t="e">
        <f>VLOOKUP($ED25,$S$6:$AF$25,14,FALSE)</f>
        <v>#N/A</v>
      </c>
      <c r="EJ28" s="22" t="e">
        <f>VLOOKUP($ED25,$S$6:$AF$25,11,FALSE)</f>
        <v>#N/A</v>
      </c>
      <c r="EK28" s="22" t="e">
        <f>VLOOKUP($ED25,$S$6:$AF$25,12,FALSE)</f>
        <v>#N/A</v>
      </c>
      <c r="EL28" s="22" t="e">
        <f>VLOOKUP($ED25,$S$6:$AH$25,15,FALSE)</f>
        <v>#N/A</v>
      </c>
      <c r="EM28" s="22" t="e">
        <f>VLOOKUP($ED25,$S$6:$AH$25,16,FALSE)</f>
        <v>#N/A</v>
      </c>
      <c r="EN28" s="22"/>
      <c r="EO28" s="22" t="e">
        <f>VLOOKUP($ED25,$S$6:$AH$25,3,FALSE)</f>
        <v>#N/A</v>
      </c>
      <c r="EP28" s="22" t="e">
        <f>VLOOKUP($ED25,$S$6:$AH$25,4,FALSE)</f>
        <v>#N/A</v>
      </c>
      <c r="EQ28" s="22" t="e">
        <f>VLOOKUP($ED25,$S$6:$AH$25,5,FALSE)</f>
        <v>#N/A</v>
      </c>
      <c r="ER28" s="22" t="e">
        <f>VLOOKUP($ED25,$S$6:$AH$25,6,FALSE)</f>
        <v>#N/A</v>
      </c>
    </row>
    <row r="29" spans="3:148" ht="14.25">
      <c r="C29" s="160" t="str">
        <f>"WF-"&amp;D$28&amp;"x"&amp;E29&amp;"x"&amp;F29&amp;" mm."</f>
        <v>WF-300X300x9x14 mm.</v>
      </c>
      <c r="D29" s="508"/>
      <c r="E29" s="182">
        <v>9</v>
      </c>
      <c r="F29" s="180">
        <v>14</v>
      </c>
      <c r="G29" s="220">
        <v>18</v>
      </c>
      <c r="H29" s="228">
        <v>110.8</v>
      </c>
      <c r="I29" s="239">
        <v>87</v>
      </c>
      <c r="J29" s="256">
        <v>18800</v>
      </c>
      <c r="K29" s="257">
        <v>6240</v>
      </c>
      <c r="L29" s="244">
        <v>13</v>
      </c>
      <c r="M29" s="269">
        <v>7.51</v>
      </c>
      <c r="N29" s="179">
        <v>1270</v>
      </c>
      <c r="O29" s="196">
        <v>417</v>
      </c>
      <c r="P29" s="22">
        <v>298</v>
      </c>
      <c r="Q29" s="22">
        <v>299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J29" s="160" t="str">
        <f>"2[]-"&amp;AK29&amp;"x"&amp;AL29&amp;"x"&amp;AM29&amp;" mm."</f>
        <v>2[]-125x65x6x8 mm.</v>
      </c>
      <c r="AK29" s="195" t="s">
        <v>190</v>
      </c>
      <c r="AL29" s="167">
        <v>6</v>
      </c>
      <c r="AM29" s="167">
        <v>8</v>
      </c>
      <c r="AN29" s="167">
        <v>8</v>
      </c>
      <c r="AO29" s="178">
        <v>4</v>
      </c>
      <c r="AP29" s="287">
        <f t="shared" si="15"/>
        <v>34.22</v>
      </c>
      <c r="AQ29" s="202">
        <f t="shared" si="15"/>
        <v>26.8</v>
      </c>
      <c r="AR29" s="166">
        <v>0</v>
      </c>
      <c r="AS29" s="174">
        <v>1.28</v>
      </c>
      <c r="AT29" s="287">
        <f t="shared" si="16"/>
        <v>848</v>
      </c>
      <c r="AU29" s="202">
        <f t="shared" si="16"/>
        <v>123.6</v>
      </c>
      <c r="AV29" s="166">
        <v>2.92</v>
      </c>
      <c r="AW29" s="202">
        <v>1.17</v>
      </c>
      <c r="AX29" s="166">
        <f t="shared" si="17"/>
        <v>135.6</v>
      </c>
      <c r="AY29" s="202">
        <f t="shared" si="17"/>
        <v>26.8</v>
      </c>
      <c r="AZ29" s="22">
        <v>77</v>
      </c>
      <c r="BA29" s="22">
        <f t="shared" si="18"/>
        <v>130</v>
      </c>
      <c r="BC29" s="21" t="str">
        <f>"Tube-"&amp;BE$25&amp;"x"&amp;BF29&amp;" mm."</f>
        <v>Tube-100x100x6 mm.</v>
      </c>
      <c r="BD29" s="483"/>
      <c r="BE29" s="505"/>
      <c r="BF29" s="284">
        <v>6</v>
      </c>
      <c r="BG29" s="28">
        <v>21.63</v>
      </c>
      <c r="BH29" s="284">
        <v>17</v>
      </c>
      <c r="BI29" s="28">
        <v>311</v>
      </c>
      <c r="BJ29" s="284">
        <v>62.3</v>
      </c>
      <c r="BK29" s="278">
        <v>3.79</v>
      </c>
      <c r="BL29" s="22">
        <v>100</v>
      </c>
      <c r="BO29" s="21" t="str">
        <f>"Tube-"&amp;BQ$29&amp;"x"&amp;BR29&amp;" mm."</f>
        <v>Tube-200x100x4.5 mm.</v>
      </c>
      <c r="BP29" s="482" t="s">
        <v>252</v>
      </c>
      <c r="BQ29" s="504" t="s">
        <v>179</v>
      </c>
      <c r="BR29" s="212">
        <v>4.5</v>
      </c>
      <c r="BS29" s="24">
        <v>25.67</v>
      </c>
      <c r="BT29" s="212">
        <v>20.1</v>
      </c>
      <c r="BU29" s="179">
        <v>1330</v>
      </c>
      <c r="BV29" s="178">
        <v>455</v>
      </c>
      <c r="BW29" s="195">
        <v>133</v>
      </c>
      <c r="BX29" s="196">
        <v>90.9</v>
      </c>
      <c r="BY29" s="179">
        <v>7.2</v>
      </c>
      <c r="BZ29" s="196">
        <v>4.21</v>
      </c>
      <c r="CA29" s="22">
        <v>200</v>
      </c>
      <c r="CB29" s="22">
        <v>100</v>
      </c>
      <c r="CD29" s="21" t="str">
        <f>"Pipe-D"&amp;CF$29&amp;"x"&amp;CG29&amp;" mm."</f>
        <v>Pipe-D139.8x3.6 mm.</v>
      </c>
      <c r="CE29" s="515">
        <v>5</v>
      </c>
      <c r="CF29" s="530">
        <v>139.8</v>
      </c>
      <c r="CG29" s="158">
        <v>3.6</v>
      </c>
      <c r="CH29" s="210">
        <v>12.1</v>
      </c>
      <c r="CI29" s="158">
        <v>15.4</v>
      </c>
      <c r="CJ29" s="210">
        <v>357</v>
      </c>
      <c r="CK29" s="210">
        <v>51.1</v>
      </c>
      <c r="CL29" s="273">
        <v>4.82</v>
      </c>
      <c r="CM29" s="21">
        <v>139.8</v>
      </c>
      <c r="CO29" s="21" t="str">
        <f>"[-"&amp;CP$28&amp;"x"&amp;CQ29&amp;" mm."</f>
        <v>[-125x50x20x3.2 mm.</v>
      </c>
      <c r="CP29" s="482"/>
      <c r="CQ29" s="178">
        <v>3.2</v>
      </c>
      <c r="CR29" s="212">
        <v>7.807</v>
      </c>
      <c r="CS29" s="24">
        <v>6.13</v>
      </c>
      <c r="CT29" s="195">
        <v>0</v>
      </c>
      <c r="CU29" s="196">
        <v>1.68</v>
      </c>
      <c r="CV29" s="179">
        <v>181</v>
      </c>
      <c r="CW29" s="178">
        <v>26.6</v>
      </c>
      <c r="CX29" s="195">
        <v>4.82</v>
      </c>
      <c r="CY29" s="196">
        <v>1.85</v>
      </c>
      <c r="CZ29" s="179">
        <v>29</v>
      </c>
      <c r="DA29" s="196">
        <v>8.02</v>
      </c>
      <c r="DB29" s="24">
        <v>125</v>
      </c>
      <c r="DC29" s="24">
        <v>50</v>
      </c>
      <c r="DD29" s="24">
        <v>20</v>
      </c>
      <c r="DE29" s="24"/>
      <c r="DF29" s="24"/>
      <c r="DG29" s="21" t="str">
        <f>"2[]-"&amp;DH$28&amp;"x"&amp;DI29&amp;" mm."</f>
        <v>2[]-125x50x20x3.2 mm.</v>
      </c>
      <c r="DH29" s="482"/>
      <c r="DI29" s="178">
        <v>3.2</v>
      </c>
      <c r="DJ29" s="212">
        <f t="shared" si="2"/>
        <v>15.614</v>
      </c>
      <c r="DK29" s="24">
        <f t="shared" si="3"/>
        <v>12.26</v>
      </c>
      <c r="DL29" s="195">
        <v>0</v>
      </c>
      <c r="DM29" s="196">
        <v>1.06</v>
      </c>
      <c r="DN29" s="179">
        <f t="shared" si="4"/>
        <v>362</v>
      </c>
      <c r="DO29" s="178">
        <f t="shared" si="5"/>
        <v>53.2</v>
      </c>
      <c r="DP29" s="195">
        <v>2.37</v>
      </c>
      <c r="DQ29" s="196">
        <v>1.11</v>
      </c>
      <c r="DR29" s="179">
        <f t="shared" si="6"/>
        <v>58</v>
      </c>
      <c r="DS29" s="196">
        <f t="shared" si="7"/>
        <v>16.04</v>
      </c>
      <c r="DT29" s="24">
        <f t="shared" si="8"/>
        <v>125</v>
      </c>
      <c r="DU29" s="24">
        <f t="shared" si="9"/>
        <v>100</v>
      </c>
      <c r="DV29" s="24">
        <f t="shared" si="10"/>
        <v>20</v>
      </c>
      <c r="DW29" s="24"/>
      <c r="DX29" s="24"/>
      <c r="DY29" s="24"/>
      <c r="DZ29" s="24"/>
      <c r="EA29" s="24"/>
      <c r="EB29" s="21">
        <v>3</v>
      </c>
      <c r="EC29" s="21" t="s">
        <v>308</v>
      </c>
      <c r="ED29" s="22" t="e">
        <f>VLOOKUP($ED25,$AJ$6:$AY$22,7,FALSE)</f>
        <v>#N/A</v>
      </c>
      <c r="EE29" s="22" t="e">
        <f>VLOOKUP($ED25,$AJ$6:$AY$22,8,FALSE)</f>
        <v>#N/A</v>
      </c>
      <c r="EF29" s="22" t="e">
        <f>VLOOKUP($ED25,$AJ$6:$AY$22,11,FALSE)</f>
        <v>#N/A</v>
      </c>
      <c r="EG29" s="22" t="e">
        <f>VLOOKUP($ED25,$AJ$6:$AY$22,12,FALSE)</f>
        <v>#N/A</v>
      </c>
      <c r="EH29" s="22" t="e">
        <f>VLOOKUP($ED25,$AJ$6:$AY$22,15,FALSE)</f>
        <v>#N/A</v>
      </c>
      <c r="EI29" s="22" t="e">
        <f>VLOOKUP($ED25,$AJ$6:$AY$22,16,FALSE)</f>
        <v>#N/A</v>
      </c>
      <c r="EJ29" s="22" t="e">
        <f>VLOOKUP($ED25,$AJ$6:$AY$22,13,FALSE)</f>
        <v>#N/A</v>
      </c>
      <c r="EK29" s="22" t="e">
        <f>VLOOKUP($ED25,$AJ$6:$AY$22,14,FALSE)</f>
        <v>#N/A</v>
      </c>
      <c r="EL29" s="22" t="e">
        <f>VLOOKUP($ED25,$AJ$6:$BA$22,17,FALSE)</f>
        <v>#N/A</v>
      </c>
      <c r="EM29" s="22" t="e">
        <f>VLOOKUP($ED25,$AJ$6:$BA$22,18,FALSE)</f>
        <v>#N/A</v>
      </c>
      <c r="EN29" s="22"/>
      <c r="EO29" s="22" t="e">
        <f>VLOOKUP($ED25,$AJ$6:$BA$22,3,FALSE)</f>
        <v>#N/A</v>
      </c>
      <c r="EP29" s="22" t="e">
        <f>VLOOKUP($ED25,$AJ$6:$BA$22,4,FALSE)</f>
        <v>#N/A</v>
      </c>
      <c r="EQ29" s="22" t="e">
        <f>VLOOKUP($ED25,$AJ$6:$BA$22,5,FALSE)</f>
        <v>#N/A</v>
      </c>
      <c r="ER29" s="22" t="e">
        <f>VLOOKUP($ED25,$AJ$6:$BA$22,6,FALSE)</f>
        <v>#N/A</v>
      </c>
    </row>
    <row r="30" spans="3:145" ht="14.25">
      <c r="C30" s="160" t="str">
        <f>"WF-"&amp;D$28&amp;"x"&amp;E30&amp;"x"&amp;F30&amp;" mm."</f>
        <v>WF-300X300x10x15 mm.</v>
      </c>
      <c r="D30" s="508"/>
      <c r="E30" s="182">
        <v>10</v>
      </c>
      <c r="F30" s="180">
        <v>15</v>
      </c>
      <c r="G30" s="220">
        <v>18</v>
      </c>
      <c r="H30" s="228">
        <v>119.8</v>
      </c>
      <c r="I30" s="239">
        <v>94</v>
      </c>
      <c r="J30" s="256">
        <v>20400</v>
      </c>
      <c r="K30" s="257">
        <v>6750</v>
      </c>
      <c r="L30" s="244">
        <v>13.1</v>
      </c>
      <c r="M30" s="269">
        <v>7.51</v>
      </c>
      <c r="N30" s="179">
        <v>1360</v>
      </c>
      <c r="O30" s="196">
        <v>450</v>
      </c>
      <c r="P30" s="22">
        <v>300</v>
      </c>
      <c r="Q30" s="22">
        <v>300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J30" s="160" t="str">
        <f>"2[]-"&amp;AK$9&amp;"x"&amp;AL30&amp;"x"&amp;AM30&amp;" mm."</f>
        <v>2[]-150x75x6.5x10 mm.</v>
      </c>
      <c r="AK30" s="481" t="s">
        <v>176</v>
      </c>
      <c r="AL30" s="165">
        <v>6.5</v>
      </c>
      <c r="AM30" s="165">
        <v>10</v>
      </c>
      <c r="AN30" s="165">
        <v>10</v>
      </c>
      <c r="AO30" s="174">
        <v>5</v>
      </c>
      <c r="AP30" s="287">
        <f t="shared" si="15"/>
        <v>47.42</v>
      </c>
      <c r="AQ30" s="202">
        <f t="shared" si="15"/>
        <v>37.2</v>
      </c>
      <c r="AR30" s="166">
        <v>0</v>
      </c>
      <c r="AS30" s="174">
        <v>1.28</v>
      </c>
      <c r="AT30" s="287">
        <f t="shared" si="16"/>
        <v>1722</v>
      </c>
      <c r="AU30" s="202">
        <f t="shared" si="16"/>
        <v>234</v>
      </c>
      <c r="AV30" s="166">
        <v>2.92</v>
      </c>
      <c r="AW30" s="202">
        <v>1.17</v>
      </c>
      <c r="AX30" s="166">
        <f t="shared" si="17"/>
        <v>230</v>
      </c>
      <c r="AY30" s="202">
        <f t="shared" si="17"/>
        <v>44.8</v>
      </c>
      <c r="AZ30" s="22">
        <v>78</v>
      </c>
      <c r="BA30" s="22">
        <f>BA9*2</f>
        <v>150</v>
      </c>
      <c r="BC30" s="21" t="str">
        <f>"Tube-"&amp;BE$30&amp;"x"&amp;BF30&amp;" mm."</f>
        <v>Tube-125x125x3.2 mm.</v>
      </c>
      <c r="BD30" s="481" t="s">
        <v>244</v>
      </c>
      <c r="BE30" s="503" t="s">
        <v>219</v>
      </c>
      <c r="BF30" s="212">
        <v>3.2</v>
      </c>
      <c r="BG30" s="24">
        <v>15.33</v>
      </c>
      <c r="BH30" s="212">
        <v>12</v>
      </c>
      <c r="BI30" s="24">
        <v>376</v>
      </c>
      <c r="BJ30" s="212">
        <v>60.1</v>
      </c>
      <c r="BK30" s="277">
        <v>4.95</v>
      </c>
      <c r="BL30" s="22">
        <v>125</v>
      </c>
      <c r="BO30" s="21" t="str">
        <f>"Tube-"&amp;BQ$29&amp;"x"&amp;BR30&amp;" mm."</f>
        <v>Tube-200x100x6 mm.</v>
      </c>
      <c r="BP30" s="482"/>
      <c r="BQ30" s="504"/>
      <c r="BR30" s="212">
        <v>6</v>
      </c>
      <c r="BS30" s="24">
        <v>33.63</v>
      </c>
      <c r="BT30" s="212">
        <v>26.4</v>
      </c>
      <c r="BU30" s="179">
        <v>1700</v>
      </c>
      <c r="BV30" s="178">
        <v>577</v>
      </c>
      <c r="BW30" s="195">
        <v>170</v>
      </c>
      <c r="BX30" s="196">
        <v>115</v>
      </c>
      <c r="BY30" s="179">
        <v>7.12</v>
      </c>
      <c r="BZ30" s="196">
        <v>4.14</v>
      </c>
      <c r="CA30" s="22">
        <v>200</v>
      </c>
      <c r="CB30" s="22">
        <v>100</v>
      </c>
      <c r="CD30" s="21" t="str">
        <f>"Pipe-D"&amp;CF$29&amp;"x"&amp;CG30&amp;" mm."</f>
        <v>Pipe-D139.8x4 mm.</v>
      </c>
      <c r="CE30" s="514"/>
      <c r="CF30" s="529"/>
      <c r="CG30" s="24">
        <v>4</v>
      </c>
      <c r="CH30" s="212">
        <v>13.4</v>
      </c>
      <c r="CI30" s="24">
        <v>17.07</v>
      </c>
      <c r="CJ30" s="212">
        <v>394</v>
      </c>
      <c r="CK30" s="212">
        <v>56.3</v>
      </c>
      <c r="CL30" s="277">
        <v>4.8</v>
      </c>
      <c r="CM30" s="21">
        <v>139.8</v>
      </c>
      <c r="CO30" s="21" t="str">
        <f>"[-"&amp;CP$28&amp;"x"&amp;CQ30&amp;" mm."</f>
        <v>[-125x50x20x4 mm.</v>
      </c>
      <c r="CP30" s="482"/>
      <c r="CQ30" s="178">
        <v>4</v>
      </c>
      <c r="CR30" s="212">
        <v>9.548</v>
      </c>
      <c r="CS30" s="24">
        <v>7.5</v>
      </c>
      <c r="CT30" s="195">
        <v>0</v>
      </c>
      <c r="CU30" s="196">
        <v>1.68</v>
      </c>
      <c r="CV30" s="179">
        <v>217</v>
      </c>
      <c r="CW30" s="178">
        <v>33.1</v>
      </c>
      <c r="CX30" s="195">
        <v>4.77</v>
      </c>
      <c r="CY30" s="196">
        <v>1.81</v>
      </c>
      <c r="CZ30" s="179">
        <v>34.7</v>
      </c>
      <c r="DA30" s="196">
        <v>9.38</v>
      </c>
      <c r="DB30" s="24">
        <v>125</v>
      </c>
      <c r="DC30" s="24">
        <v>50</v>
      </c>
      <c r="DD30" s="24">
        <v>20</v>
      </c>
      <c r="DE30" s="24"/>
      <c r="DF30" s="24"/>
      <c r="DG30" s="21" t="str">
        <f>"2[]-"&amp;DH$28&amp;"x"&amp;DI30&amp;" mm."</f>
        <v>2[]-125x50x20x4 mm.</v>
      </c>
      <c r="DH30" s="482"/>
      <c r="DI30" s="178">
        <v>4</v>
      </c>
      <c r="DJ30" s="212">
        <f t="shared" si="2"/>
        <v>19.096</v>
      </c>
      <c r="DK30" s="24">
        <f t="shared" si="3"/>
        <v>15</v>
      </c>
      <c r="DL30" s="195">
        <v>0</v>
      </c>
      <c r="DM30" s="196">
        <v>1.06</v>
      </c>
      <c r="DN30" s="179">
        <f t="shared" si="4"/>
        <v>434</v>
      </c>
      <c r="DO30" s="178">
        <f t="shared" si="5"/>
        <v>66.2</v>
      </c>
      <c r="DP30" s="195">
        <v>2.37</v>
      </c>
      <c r="DQ30" s="196">
        <v>1.11</v>
      </c>
      <c r="DR30" s="179">
        <f t="shared" si="6"/>
        <v>69.4</v>
      </c>
      <c r="DS30" s="196">
        <f t="shared" si="7"/>
        <v>18.76</v>
      </c>
      <c r="DT30" s="24">
        <f t="shared" si="8"/>
        <v>125</v>
      </c>
      <c r="DU30" s="24">
        <f t="shared" si="9"/>
        <v>100</v>
      </c>
      <c r="DV30" s="24">
        <f t="shared" si="10"/>
        <v>20</v>
      </c>
      <c r="DW30" s="24"/>
      <c r="DX30" s="24"/>
      <c r="DY30" s="24"/>
      <c r="DZ30" s="24"/>
      <c r="EA30" s="24"/>
      <c r="EB30" s="21">
        <v>4</v>
      </c>
      <c r="EC30" s="21" t="s">
        <v>311</v>
      </c>
      <c r="ED30" s="22" t="e">
        <f>VLOOKUP($ED25,$BC$6:$BK$37,5,FALSE)</f>
        <v>#N/A</v>
      </c>
      <c r="EE30" s="22" t="e">
        <f>VLOOKUP($ED25,$BC$6:$BK$37,6,FALSE)</f>
        <v>#N/A</v>
      </c>
      <c r="EF30" s="22" t="e">
        <f>VLOOKUP($ED25,$BC$6:$BK$37,7,FALSE)</f>
        <v>#N/A</v>
      </c>
      <c r="EG30" s="22" t="e">
        <f>VLOOKUP($ED25,$BC$6:$BK$37,7,FALSE)</f>
        <v>#N/A</v>
      </c>
      <c r="EH30" s="22" t="e">
        <f>VLOOKUP($ED25,$BC$6:$BK$37,8,FALSE)</f>
        <v>#N/A</v>
      </c>
      <c r="EI30" s="22" t="e">
        <f>VLOOKUP($ED25,$BC$6:$BK$37,8,FALSE)</f>
        <v>#N/A</v>
      </c>
      <c r="EJ30" s="22" t="e">
        <f>VLOOKUP($ED25,$BC$6:$BK$37,9,FALSE)</f>
        <v>#N/A</v>
      </c>
      <c r="EK30" s="22" t="e">
        <f>VLOOKUP($ED25,$BC$6:$BK$37,9,FALSE)</f>
        <v>#N/A</v>
      </c>
      <c r="EL30" s="22" t="e">
        <f>VLOOKUP($ED25,$BC$6:$BL$37,10,FALSE)</f>
        <v>#N/A</v>
      </c>
      <c r="EM30" s="22" t="e">
        <f>VLOOKUP($ED25,$BC$6:$BL$37,10,FALSE)</f>
        <v>#N/A</v>
      </c>
      <c r="EN30" s="22"/>
      <c r="EO30" s="22" t="e">
        <f>VLOOKUP($ED25,$BC$6:$BL$37,4,FALSE)</f>
        <v>#N/A</v>
      </c>
    </row>
    <row r="31" spans="3:145" ht="15" thickBot="1">
      <c r="C31" s="160" t="str">
        <f>"WF-"&amp;D$28&amp;"x"&amp;E31&amp;"x"&amp;F31&amp;" mm."</f>
        <v>WF-300X300x15x15 mm.</v>
      </c>
      <c r="D31" s="508"/>
      <c r="E31" s="173">
        <v>15</v>
      </c>
      <c r="F31" s="167">
        <v>15</v>
      </c>
      <c r="G31" s="217">
        <v>18</v>
      </c>
      <c r="H31" s="227">
        <v>134.8</v>
      </c>
      <c r="I31" s="24">
        <v>106</v>
      </c>
      <c r="J31" s="248">
        <v>21500</v>
      </c>
      <c r="K31" s="249">
        <v>7100</v>
      </c>
      <c r="L31" s="179">
        <v>12.5</v>
      </c>
      <c r="M31" s="196">
        <v>7.26</v>
      </c>
      <c r="N31" s="179">
        <v>1440</v>
      </c>
      <c r="O31" s="196">
        <v>466</v>
      </c>
      <c r="P31" s="22">
        <v>300</v>
      </c>
      <c r="Q31" s="22">
        <v>305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J31" s="160" t="str">
        <f>"2[]-"&amp;AK$9&amp;"x"&amp;AL31&amp;"x"&amp;AM31&amp;" mm."</f>
        <v>2[]-150x75x9x12.5 mm.</v>
      </c>
      <c r="AK31" s="483"/>
      <c r="AL31" s="169">
        <v>9</v>
      </c>
      <c r="AM31" s="169">
        <v>12.5</v>
      </c>
      <c r="AN31" s="169">
        <v>15</v>
      </c>
      <c r="AO31" s="290">
        <v>7.5</v>
      </c>
      <c r="AP31" s="272">
        <f t="shared" si="15"/>
        <v>61.18</v>
      </c>
      <c r="AQ31" s="203">
        <f t="shared" si="15"/>
        <v>48</v>
      </c>
      <c r="AR31" s="170">
        <v>0</v>
      </c>
      <c r="AS31" s="290">
        <v>1.28</v>
      </c>
      <c r="AT31" s="272">
        <f t="shared" si="16"/>
        <v>2100</v>
      </c>
      <c r="AU31" s="203">
        <f t="shared" si="16"/>
        <v>294</v>
      </c>
      <c r="AV31" s="170">
        <v>2.92</v>
      </c>
      <c r="AW31" s="203">
        <v>1.17</v>
      </c>
      <c r="AX31" s="170">
        <f t="shared" si="17"/>
        <v>280</v>
      </c>
      <c r="AY31" s="203">
        <f t="shared" si="17"/>
        <v>56.6</v>
      </c>
      <c r="AZ31" s="22">
        <v>79</v>
      </c>
      <c r="BA31" s="22">
        <f t="shared" si="18"/>
        <v>150</v>
      </c>
      <c r="BC31" s="21" t="str">
        <f>"Tube-"&amp;BE$30&amp;"x"&amp;BF31&amp;" mm."</f>
        <v>Tube-125x125x4.5 mm.</v>
      </c>
      <c r="BD31" s="482"/>
      <c r="BE31" s="504"/>
      <c r="BF31" s="212">
        <v>4.5</v>
      </c>
      <c r="BG31" s="24">
        <v>21.17</v>
      </c>
      <c r="BH31" s="212">
        <v>16.6</v>
      </c>
      <c r="BI31" s="24">
        <v>506</v>
      </c>
      <c r="BJ31" s="212">
        <v>80.9</v>
      </c>
      <c r="BK31" s="277">
        <v>4.89</v>
      </c>
      <c r="BL31" s="22">
        <v>125</v>
      </c>
      <c r="BO31" s="21" t="str">
        <f>"Tube-"&amp;BQ$29&amp;"x"&amp;BR31&amp;" mm."</f>
        <v>Tube-200x100x6.3 mm.</v>
      </c>
      <c r="BP31" s="497"/>
      <c r="BQ31" s="527"/>
      <c r="BR31" s="285">
        <v>6.3</v>
      </c>
      <c r="BS31" s="242">
        <v>34.8</v>
      </c>
      <c r="BT31" s="285">
        <v>27.4</v>
      </c>
      <c r="BU31" s="226">
        <v>1739</v>
      </c>
      <c r="BV31" s="291">
        <v>591</v>
      </c>
      <c r="BW31" s="204">
        <v>174</v>
      </c>
      <c r="BX31" s="207">
        <v>118</v>
      </c>
      <c r="BY31" s="226">
        <v>7.06</v>
      </c>
      <c r="BZ31" s="207">
        <v>4.12</v>
      </c>
      <c r="CA31" s="22">
        <v>200</v>
      </c>
      <c r="CB31" s="22">
        <v>100</v>
      </c>
      <c r="CD31" s="21" t="str">
        <f>"Pipe-D"&amp;CF$29&amp;"x"&amp;CG31&amp;" mm."</f>
        <v>Pipe-D139.8x4.5 mm.</v>
      </c>
      <c r="CE31" s="514"/>
      <c r="CF31" s="529"/>
      <c r="CG31" s="24">
        <v>4.5</v>
      </c>
      <c r="CH31" s="212">
        <v>15</v>
      </c>
      <c r="CI31" s="24">
        <v>19.13</v>
      </c>
      <c r="CJ31" s="212">
        <v>438</v>
      </c>
      <c r="CK31" s="212">
        <v>62.7</v>
      </c>
      <c r="CL31" s="277">
        <v>4.79</v>
      </c>
      <c r="CM31" s="21">
        <v>139.8</v>
      </c>
      <c r="CO31" s="21" t="str">
        <f>"[-"&amp;CP$28&amp;"x"&amp;CQ31&amp;" mm."</f>
        <v>[-125x50x20x4.5 mm.</v>
      </c>
      <c r="CP31" s="483"/>
      <c r="CQ31" s="290">
        <v>4.5</v>
      </c>
      <c r="CR31" s="284">
        <v>10.59</v>
      </c>
      <c r="CS31" s="28">
        <v>8.32</v>
      </c>
      <c r="CT31" s="272">
        <v>0</v>
      </c>
      <c r="CU31" s="203">
        <v>1.68</v>
      </c>
      <c r="CV31" s="170">
        <v>238</v>
      </c>
      <c r="CW31" s="290">
        <v>33.5</v>
      </c>
      <c r="CX31" s="272">
        <v>4.74</v>
      </c>
      <c r="CY31" s="203">
        <v>1.78</v>
      </c>
      <c r="CZ31" s="170">
        <v>38</v>
      </c>
      <c r="DA31" s="203">
        <v>10</v>
      </c>
      <c r="DB31" s="24">
        <v>125</v>
      </c>
      <c r="DC31" s="24">
        <v>50</v>
      </c>
      <c r="DD31" s="24">
        <v>20</v>
      </c>
      <c r="DE31" s="24"/>
      <c r="DF31" s="24"/>
      <c r="DG31" s="21" t="str">
        <f>"2[]-"&amp;DH$28&amp;"x"&amp;DI31&amp;" mm."</f>
        <v>2[]-125x50x20x4.5 mm.</v>
      </c>
      <c r="DH31" s="483"/>
      <c r="DI31" s="290">
        <v>4.5</v>
      </c>
      <c r="DJ31" s="284">
        <f t="shared" si="2"/>
        <v>21.18</v>
      </c>
      <c r="DK31" s="28">
        <f t="shared" si="3"/>
        <v>16.64</v>
      </c>
      <c r="DL31" s="272">
        <v>0</v>
      </c>
      <c r="DM31" s="203">
        <v>1.06</v>
      </c>
      <c r="DN31" s="170">
        <f t="shared" si="4"/>
        <v>476</v>
      </c>
      <c r="DO31" s="290">
        <f t="shared" si="5"/>
        <v>67</v>
      </c>
      <c r="DP31" s="272">
        <v>2.37</v>
      </c>
      <c r="DQ31" s="203">
        <v>1.11</v>
      </c>
      <c r="DR31" s="170">
        <f t="shared" si="6"/>
        <v>76</v>
      </c>
      <c r="DS31" s="203">
        <f t="shared" si="7"/>
        <v>20</v>
      </c>
      <c r="DT31" s="24">
        <f t="shared" si="8"/>
        <v>125</v>
      </c>
      <c r="DU31" s="24">
        <f t="shared" si="9"/>
        <v>100</v>
      </c>
      <c r="DV31" s="24">
        <f t="shared" si="10"/>
        <v>20</v>
      </c>
      <c r="DW31" s="24"/>
      <c r="DX31" s="24"/>
      <c r="DY31" s="24"/>
      <c r="DZ31" s="24"/>
      <c r="EA31" s="24"/>
      <c r="EB31" s="21">
        <v>5</v>
      </c>
      <c r="EC31" s="21" t="s">
        <v>309</v>
      </c>
      <c r="ED31" s="22" t="e">
        <f>VLOOKUP($ED25,$BO$6:$BZ$31,5,FALSE)</f>
        <v>#N/A</v>
      </c>
      <c r="EE31" s="22" t="e">
        <f>VLOOKUP($ED25,$BO$6:$BZ$31,6,FALSE)</f>
        <v>#N/A</v>
      </c>
      <c r="EF31" s="22" t="e">
        <f>VLOOKUP($ED25,$BO$6:$BZ$31,7,FALSE)</f>
        <v>#N/A</v>
      </c>
      <c r="EG31" s="22" t="e">
        <f>VLOOKUP($ED25,$BO$6:$BZ$31,8,FALSE)</f>
        <v>#N/A</v>
      </c>
      <c r="EH31" s="22" t="e">
        <f>VLOOKUP($ED25,$BO$6:$BZ$31,9,FALSE)</f>
        <v>#N/A</v>
      </c>
      <c r="EI31" s="22" t="e">
        <f>VLOOKUP($ED25,$BO$6:$BZ$31,10,FALSE)</f>
        <v>#N/A</v>
      </c>
      <c r="EJ31" s="22" t="e">
        <f>VLOOKUP($ED25,$BO$6:$BZ$31,11,FALSE)</f>
        <v>#N/A</v>
      </c>
      <c r="EK31" s="22" t="e">
        <f>VLOOKUP($ED25,$BO$6:$BZ$31,12,FALSE)</f>
        <v>#N/A</v>
      </c>
      <c r="EL31" s="22" t="e">
        <f>VLOOKUP($ED25,$BO$6:$CB$31,13,FALSE)</f>
        <v>#N/A</v>
      </c>
      <c r="EM31" s="22" t="e">
        <f>VLOOKUP($ED25,$BO$6:$CB$31,14,FALSE)</f>
        <v>#N/A</v>
      </c>
      <c r="EN31" s="22"/>
      <c r="EO31" s="22" t="e">
        <f>VLOOKUP($ED25,$BO$6:$CB$31,4,FALSE)</f>
        <v>#N/A</v>
      </c>
    </row>
    <row r="32" spans="3:146" ht="14.25">
      <c r="C32" s="160" t="str">
        <f>"WF-"&amp;D$28&amp;"x"&amp;E32&amp;"x"&amp;F32&amp;" mm."</f>
        <v>WF-300X300x11x17 mm.</v>
      </c>
      <c r="D32" s="518"/>
      <c r="E32" s="185">
        <v>11</v>
      </c>
      <c r="F32" s="169">
        <v>17</v>
      </c>
      <c r="G32" s="222">
        <v>18</v>
      </c>
      <c r="H32" s="230">
        <v>134.8</v>
      </c>
      <c r="I32" s="28">
        <v>106</v>
      </c>
      <c r="J32" s="262">
        <v>23400</v>
      </c>
      <c r="K32" s="263">
        <v>7730</v>
      </c>
      <c r="L32" s="170">
        <v>13.2</v>
      </c>
      <c r="M32" s="203">
        <v>7.57</v>
      </c>
      <c r="N32" s="170">
        <v>1540</v>
      </c>
      <c r="O32" s="203">
        <v>514</v>
      </c>
      <c r="P32" s="22">
        <v>304</v>
      </c>
      <c r="Q32" s="22">
        <v>301</v>
      </c>
      <c r="AJ32" s="160" t="str">
        <f>"2[]-"&amp;AK$11&amp;"x"&amp;AL32&amp;"x"&amp;AM32&amp;" mm."</f>
        <v>2[]-180x75x7x10.5 mm.</v>
      </c>
      <c r="AK32" s="195" t="s">
        <v>191</v>
      </c>
      <c r="AL32" s="167">
        <v>7</v>
      </c>
      <c r="AM32" s="167">
        <v>10.5</v>
      </c>
      <c r="AN32" s="167">
        <v>11</v>
      </c>
      <c r="AO32" s="178">
        <v>5.5</v>
      </c>
      <c r="AP32" s="272">
        <f t="shared" si="15"/>
        <v>54.4</v>
      </c>
      <c r="AQ32" s="203">
        <f t="shared" si="15"/>
        <v>42.8</v>
      </c>
      <c r="AR32" s="170">
        <v>0</v>
      </c>
      <c r="AS32" s="290">
        <v>1.28</v>
      </c>
      <c r="AT32" s="272">
        <f t="shared" si="16"/>
        <v>2760</v>
      </c>
      <c r="AU32" s="203">
        <f t="shared" si="16"/>
        <v>262</v>
      </c>
      <c r="AV32" s="170">
        <v>2.92</v>
      </c>
      <c r="AW32" s="203">
        <v>1.17</v>
      </c>
      <c r="AX32" s="170">
        <f t="shared" si="17"/>
        <v>306</v>
      </c>
      <c r="AY32" s="203">
        <f t="shared" si="17"/>
        <v>48.6</v>
      </c>
      <c r="AZ32" s="22">
        <v>80</v>
      </c>
      <c r="BA32" s="22">
        <f t="shared" si="18"/>
        <v>150</v>
      </c>
      <c r="BC32" s="21" t="str">
        <f>"Tube-"&amp;BE$30&amp;"x"&amp;BF32&amp;" mm."</f>
        <v>Tube-125x125x5 mm.</v>
      </c>
      <c r="BD32" s="482"/>
      <c r="BE32" s="504"/>
      <c r="BF32" s="212">
        <v>5</v>
      </c>
      <c r="BG32" s="24">
        <v>23.36</v>
      </c>
      <c r="BH32" s="212">
        <v>18.3</v>
      </c>
      <c r="BI32" s="24">
        <v>553</v>
      </c>
      <c r="BJ32" s="212">
        <v>88.4</v>
      </c>
      <c r="BK32" s="277">
        <v>4.86</v>
      </c>
      <c r="BL32" s="22">
        <v>125</v>
      </c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D32" s="21" t="str">
        <f>"Pipe-D"&amp;CF$29&amp;"x"&amp;CG32&amp;" mm."</f>
        <v>Pipe-D139.8x6 mm.</v>
      </c>
      <c r="CE32" s="516"/>
      <c r="CF32" s="531"/>
      <c r="CG32" s="28">
        <v>6</v>
      </c>
      <c r="CH32" s="284">
        <v>19.8</v>
      </c>
      <c r="CI32" s="28">
        <v>25.22</v>
      </c>
      <c r="CJ32" s="284">
        <v>566</v>
      </c>
      <c r="CK32" s="284">
        <v>80.2</v>
      </c>
      <c r="CL32" s="278">
        <v>4.74</v>
      </c>
      <c r="CM32" s="21">
        <v>139.8</v>
      </c>
      <c r="CO32" s="21" t="str">
        <f>"[-"&amp;CP$32&amp;"x"&amp;CQ32&amp;" mm."</f>
        <v>[-150x50x20x2.3 mm.</v>
      </c>
      <c r="CP32" s="481" t="s">
        <v>294</v>
      </c>
      <c r="CQ32" s="174">
        <v>2.3</v>
      </c>
      <c r="CR32" s="210">
        <v>6.322</v>
      </c>
      <c r="CS32" s="158">
        <v>4.96</v>
      </c>
      <c r="CT32" s="287">
        <v>0</v>
      </c>
      <c r="CU32" s="202">
        <v>1.55</v>
      </c>
      <c r="CV32" s="166">
        <v>210</v>
      </c>
      <c r="CW32" s="174">
        <v>21.9</v>
      </c>
      <c r="CX32" s="287">
        <v>5.77</v>
      </c>
      <c r="CY32" s="202">
        <v>1.86</v>
      </c>
      <c r="CZ32" s="166">
        <v>28</v>
      </c>
      <c r="DA32" s="202">
        <v>6.33</v>
      </c>
      <c r="DB32" s="24">
        <v>150</v>
      </c>
      <c r="DC32" s="24">
        <v>50</v>
      </c>
      <c r="DD32" s="24">
        <v>20</v>
      </c>
      <c r="DE32" s="24"/>
      <c r="DF32" s="24"/>
      <c r="DG32" s="21" t="str">
        <f>"2[]-"&amp;DH$32&amp;"x"&amp;DI32&amp;" mm."</f>
        <v>2[]-150x50x20x2.3 mm.</v>
      </c>
      <c r="DH32" s="481" t="s">
        <v>294</v>
      </c>
      <c r="DI32" s="174">
        <v>2.3</v>
      </c>
      <c r="DJ32" s="210">
        <f t="shared" si="2"/>
        <v>12.644</v>
      </c>
      <c r="DK32" s="158">
        <f t="shared" si="3"/>
        <v>9.92</v>
      </c>
      <c r="DL32" s="287">
        <v>0</v>
      </c>
      <c r="DM32" s="202">
        <v>1.06</v>
      </c>
      <c r="DN32" s="166">
        <f t="shared" si="4"/>
        <v>420</v>
      </c>
      <c r="DO32" s="174">
        <f t="shared" si="5"/>
        <v>43.8</v>
      </c>
      <c r="DP32" s="287">
        <v>2.37</v>
      </c>
      <c r="DQ32" s="202">
        <v>1.11</v>
      </c>
      <c r="DR32" s="166">
        <f t="shared" si="6"/>
        <v>56</v>
      </c>
      <c r="DS32" s="202">
        <f t="shared" si="7"/>
        <v>12.66</v>
      </c>
      <c r="DT32" s="24">
        <f t="shared" si="8"/>
        <v>150</v>
      </c>
      <c r="DU32" s="24">
        <f t="shared" si="9"/>
        <v>100</v>
      </c>
      <c r="DV32" s="24">
        <f t="shared" si="10"/>
        <v>20</v>
      </c>
      <c r="DW32" s="24"/>
      <c r="DX32" s="24"/>
      <c r="DY32" s="24"/>
      <c r="DZ32" s="24"/>
      <c r="EA32" s="24"/>
      <c r="EB32" s="21">
        <v>6</v>
      </c>
      <c r="EC32" s="21" t="s">
        <v>278</v>
      </c>
      <c r="ED32" s="22" t="e">
        <f>VLOOKUP($ED25,$CD$6:$CL$40,6,FALSE)</f>
        <v>#N/A</v>
      </c>
      <c r="EE32" s="22" t="e">
        <f>VLOOKUP($ED25,$CD$6:$CL$40,5,FALSE)</f>
        <v>#N/A</v>
      </c>
      <c r="EF32" s="22" t="e">
        <f>VLOOKUP($ED25,$CD$6:$CL$40,7,FALSE)</f>
        <v>#N/A</v>
      </c>
      <c r="EG32" s="22" t="e">
        <f>VLOOKUP($ED25,$CD$6:$CL$40,7,FALSE)</f>
        <v>#N/A</v>
      </c>
      <c r="EH32" s="22" t="e">
        <f>VLOOKUP($ED25,$CD$6:$CL$40,8,FALSE)</f>
        <v>#N/A</v>
      </c>
      <c r="EI32" s="22" t="e">
        <f>VLOOKUP($ED25,$CD$6:$CL$40,8,FALSE)</f>
        <v>#N/A</v>
      </c>
      <c r="EJ32" s="22" t="e">
        <f>VLOOKUP($ED25,$CD$6:$CL$40,9,FALSE)</f>
        <v>#N/A</v>
      </c>
      <c r="EK32" s="22" t="e">
        <f>VLOOKUP($ED25,$CD$6:$CL$40,9,FALSE)</f>
        <v>#N/A</v>
      </c>
      <c r="EL32" s="22" t="e">
        <f>VLOOKUP($ED25,$CD$6:$CM$40,10,FALSE)</f>
        <v>#N/A</v>
      </c>
      <c r="EM32" s="22" t="e">
        <f>VLOOKUP($ED25,$CD$6:$CM$40,10,FALSE)</f>
        <v>#N/A</v>
      </c>
      <c r="EN32" s="22"/>
      <c r="EO32" s="22" t="e">
        <f>VLOOKUP($ED25,$CD$6:$CL$40,4,FALSE)</f>
        <v>#N/A</v>
      </c>
      <c r="EP32" s="22" t="e">
        <f>VLOOKUP($ED25,$CD$6:$CL$40,4,FALSE)</f>
        <v>#N/A</v>
      </c>
    </row>
    <row r="33" spans="3:145" ht="14.25">
      <c r="C33" s="160" t="str">
        <f>"WF-"&amp;D$33&amp;"x"&amp;E33&amp;"x"&amp;F33&amp;" mm."</f>
        <v>WF-350X175x6x9 mm.</v>
      </c>
      <c r="D33" s="508" t="s">
        <v>157</v>
      </c>
      <c r="E33" s="182">
        <v>6</v>
      </c>
      <c r="F33" s="180">
        <v>9</v>
      </c>
      <c r="G33" s="220">
        <v>14</v>
      </c>
      <c r="H33" s="228">
        <v>52.68</v>
      </c>
      <c r="I33" s="239">
        <v>41.4</v>
      </c>
      <c r="J33" s="256">
        <v>11100</v>
      </c>
      <c r="K33" s="257">
        <v>792</v>
      </c>
      <c r="L33" s="244">
        <v>14.5</v>
      </c>
      <c r="M33" s="269">
        <v>3.88</v>
      </c>
      <c r="N33" s="179">
        <v>641</v>
      </c>
      <c r="O33" s="196">
        <v>91</v>
      </c>
      <c r="P33" s="22">
        <v>346</v>
      </c>
      <c r="Q33" s="22">
        <v>174</v>
      </c>
      <c r="AJ33" s="160" t="str">
        <f>"2[]-"&amp;AK$11&amp;"x"&amp;AL33&amp;"x"&amp;AM33&amp;" mm."</f>
        <v>2[]-180x75x7.5x11 mm.</v>
      </c>
      <c r="AK33" s="197" t="s">
        <v>192</v>
      </c>
      <c r="AL33" s="168">
        <v>7.5</v>
      </c>
      <c r="AM33" s="168">
        <v>11</v>
      </c>
      <c r="AN33" s="168">
        <v>12</v>
      </c>
      <c r="AO33" s="172">
        <v>6</v>
      </c>
      <c r="AP33" s="272">
        <f t="shared" si="15"/>
        <v>62.66</v>
      </c>
      <c r="AQ33" s="203">
        <f t="shared" si="15"/>
        <v>49.2</v>
      </c>
      <c r="AR33" s="170">
        <v>0</v>
      </c>
      <c r="AS33" s="290">
        <v>1.28</v>
      </c>
      <c r="AT33" s="272">
        <f t="shared" si="16"/>
        <v>3900</v>
      </c>
      <c r="AU33" s="203">
        <f t="shared" si="16"/>
        <v>336</v>
      </c>
      <c r="AV33" s="170">
        <v>2.92</v>
      </c>
      <c r="AW33" s="203">
        <v>1.17</v>
      </c>
      <c r="AX33" s="170">
        <f t="shared" si="17"/>
        <v>390</v>
      </c>
      <c r="AY33" s="203">
        <f t="shared" si="17"/>
        <v>58.2</v>
      </c>
      <c r="AZ33" s="22">
        <v>81</v>
      </c>
      <c r="BA33" s="22">
        <f t="shared" si="18"/>
        <v>160</v>
      </c>
      <c r="BC33" s="21" t="str">
        <f>"Tube-"&amp;BE$30&amp;"x"&amp;BF33&amp;" mm."</f>
        <v>Tube-125x125x6 mm.</v>
      </c>
      <c r="BD33" s="483"/>
      <c r="BE33" s="505"/>
      <c r="BF33" s="284">
        <v>6</v>
      </c>
      <c r="BG33" s="28">
        <v>27.63</v>
      </c>
      <c r="BH33" s="284">
        <v>21.7</v>
      </c>
      <c r="BI33" s="28">
        <v>641</v>
      </c>
      <c r="BJ33" s="284">
        <v>103</v>
      </c>
      <c r="BK33" s="278">
        <v>4.82</v>
      </c>
      <c r="BL33" s="22">
        <v>125</v>
      </c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D33" s="21" t="str">
        <f>"Pipe-D"&amp;CF$33&amp;"x"&amp;CG33&amp;" mm."</f>
        <v>Pipe-D165.2x4.5 mm.</v>
      </c>
      <c r="CE33" s="514">
        <v>6</v>
      </c>
      <c r="CF33" s="529">
        <v>165.2</v>
      </c>
      <c r="CG33" s="24">
        <v>4.5</v>
      </c>
      <c r="CH33" s="212">
        <v>17.8</v>
      </c>
      <c r="CI33" s="24">
        <v>22.72</v>
      </c>
      <c r="CJ33" s="212">
        <v>734</v>
      </c>
      <c r="CK33" s="212">
        <v>88.9</v>
      </c>
      <c r="CL33" s="277">
        <v>5.68</v>
      </c>
      <c r="CM33" s="21">
        <v>165.2</v>
      </c>
      <c r="CO33" s="21" t="str">
        <f>"[-"&amp;CP$32&amp;"x"&amp;CQ33&amp;" mm."</f>
        <v>[-150x50x20x3.2 mm.</v>
      </c>
      <c r="CP33" s="482"/>
      <c r="CQ33" s="178">
        <v>3.2</v>
      </c>
      <c r="CR33" s="212">
        <v>8.607</v>
      </c>
      <c r="CS33" s="24">
        <v>6.76</v>
      </c>
      <c r="CT33" s="195">
        <v>0</v>
      </c>
      <c r="CU33" s="196">
        <v>1.54</v>
      </c>
      <c r="CV33" s="179">
        <v>280</v>
      </c>
      <c r="CW33" s="178">
        <v>28.3</v>
      </c>
      <c r="CX33" s="195">
        <v>5.71</v>
      </c>
      <c r="CY33" s="196">
        <v>1.81</v>
      </c>
      <c r="CZ33" s="179">
        <v>37.4</v>
      </c>
      <c r="DA33" s="196">
        <v>8.19</v>
      </c>
      <c r="DB33" s="24">
        <v>150</v>
      </c>
      <c r="DC33" s="24">
        <v>50</v>
      </c>
      <c r="DD33" s="24">
        <v>20</v>
      </c>
      <c r="DE33" s="24"/>
      <c r="DF33" s="24"/>
      <c r="DG33" s="21" t="str">
        <f>"2[]-"&amp;DH$32&amp;"x"&amp;DI33&amp;" mm."</f>
        <v>2[]-150x50x20x3.2 mm.</v>
      </c>
      <c r="DH33" s="482"/>
      <c r="DI33" s="178">
        <v>3.2</v>
      </c>
      <c r="DJ33" s="212">
        <f t="shared" si="2"/>
        <v>17.214</v>
      </c>
      <c r="DK33" s="24">
        <f t="shared" si="3"/>
        <v>13.52</v>
      </c>
      <c r="DL33" s="195">
        <v>0</v>
      </c>
      <c r="DM33" s="196">
        <v>1.06</v>
      </c>
      <c r="DN33" s="179">
        <f t="shared" si="4"/>
        <v>560</v>
      </c>
      <c r="DO33" s="178">
        <f t="shared" si="5"/>
        <v>56.6</v>
      </c>
      <c r="DP33" s="195">
        <v>2.37</v>
      </c>
      <c r="DQ33" s="196">
        <v>1.11</v>
      </c>
      <c r="DR33" s="179">
        <f t="shared" si="6"/>
        <v>74.8</v>
      </c>
      <c r="DS33" s="196">
        <f t="shared" si="7"/>
        <v>16.38</v>
      </c>
      <c r="DT33" s="24">
        <f t="shared" si="8"/>
        <v>150</v>
      </c>
      <c r="DU33" s="24">
        <f t="shared" si="9"/>
        <v>100</v>
      </c>
      <c r="DV33" s="24">
        <f t="shared" si="10"/>
        <v>20</v>
      </c>
      <c r="DW33" s="24"/>
      <c r="DX33" s="24"/>
      <c r="DY33" s="24"/>
      <c r="DZ33" s="24"/>
      <c r="EA33" s="24"/>
      <c r="EB33" s="21">
        <v>7</v>
      </c>
      <c r="EC33" s="21" t="s">
        <v>310</v>
      </c>
      <c r="ED33" s="22">
        <f>VLOOKUP($ED25,$CO$6:$DA$50,4,FALSE)</f>
        <v>2.072</v>
      </c>
      <c r="EE33" s="22">
        <f>VLOOKUP($ED25,$CO$6:$DA$50,5,FALSE)</f>
        <v>1.63</v>
      </c>
      <c r="EF33" s="22">
        <f>VLOOKUP($ED25,$CO$6:$DA$50,8,FALSE)</f>
        <v>11.6</v>
      </c>
      <c r="EG33" s="22">
        <f>VLOOKUP($ED25,$CO$6:$DA$50,9,FALSE)</f>
        <v>2.56</v>
      </c>
      <c r="EH33" s="22">
        <f>VLOOKUP($ED25,$CO$6:$DA$50,12,FALSE)</f>
        <v>3.88</v>
      </c>
      <c r="EI33" s="22">
        <f>VLOOKUP($ED25,$CO$6:$DA$50,13,FALSE)</f>
        <v>1.32</v>
      </c>
      <c r="EJ33" s="22">
        <f>VLOOKUP($ED25,$CO$6:$DA$50,10,FALSE)</f>
        <v>2.37</v>
      </c>
      <c r="EK33" s="22">
        <f>VLOOKUP($ED25,$CO$6:$DA$50,11,FALSE)</f>
        <v>1.11</v>
      </c>
      <c r="EL33" s="22">
        <f>VLOOKUP($ED25,$CO$6:$DD$50,14,FALSE)</f>
        <v>60</v>
      </c>
      <c r="EM33" s="22">
        <f>VLOOKUP($ED25,$CO$6:$DD$50,15,FALSE)</f>
        <v>30</v>
      </c>
      <c r="EN33" s="22">
        <f>VLOOKUP($ED25,$CO$6:$DD$50,16,FALSE)</f>
        <v>10</v>
      </c>
      <c r="EO33" s="22">
        <f>VLOOKUP($ED25,$CO$6:$DD$50,3,FALSE)</f>
        <v>1.6</v>
      </c>
    </row>
    <row r="34" spans="3:148" ht="14.25">
      <c r="C34" s="160" t="str">
        <f>"WF-"&amp;D$33&amp;"x"&amp;E34&amp;"x"&amp;F34&amp;" mm."</f>
        <v>WF-350X175x7x11 mm.</v>
      </c>
      <c r="D34" s="508"/>
      <c r="E34" s="182">
        <v>7</v>
      </c>
      <c r="F34" s="180">
        <v>11</v>
      </c>
      <c r="G34" s="220">
        <v>14</v>
      </c>
      <c r="H34" s="228">
        <v>63.14</v>
      </c>
      <c r="I34" s="239">
        <v>49.6</v>
      </c>
      <c r="J34" s="256">
        <v>13600</v>
      </c>
      <c r="K34" s="257">
        <v>984</v>
      </c>
      <c r="L34" s="244">
        <v>14.7</v>
      </c>
      <c r="M34" s="269">
        <v>3.95</v>
      </c>
      <c r="N34" s="179">
        <v>775</v>
      </c>
      <c r="O34" s="196">
        <v>112</v>
      </c>
      <c r="P34" s="22">
        <v>350</v>
      </c>
      <c r="Q34" s="22">
        <v>175</v>
      </c>
      <c r="AJ34" s="160" t="str">
        <f>"2[]-"&amp;AK$11&amp;"x"&amp;AL34&amp;"x"&amp;AM34&amp;" mm."</f>
        <v>2[]-180x75x8x13.5 mm.</v>
      </c>
      <c r="AK34" s="195" t="s">
        <v>193</v>
      </c>
      <c r="AL34" s="167">
        <v>8</v>
      </c>
      <c r="AM34" s="167">
        <v>13.5</v>
      </c>
      <c r="AN34" s="167">
        <v>14</v>
      </c>
      <c r="AO34" s="178">
        <v>7</v>
      </c>
      <c r="AP34" s="272">
        <f t="shared" si="15"/>
        <v>77.3</v>
      </c>
      <c r="AQ34" s="203">
        <f t="shared" si="15"/>
        <v>60.6</v>
      </c>
      <c r="AR34" s="170">
        <v>0</v>
      </c>
      <c r="AS34" s="290">
        <v>1.28</v>
      </c>
      <c r="AT34" s="272">
        <f t="shared" si="16"/>
        <v>4980</v>
      </c>
      <c r="AU34" s="203">
        <f t="shared" si="16"/>
        <v>554</v>
      </c>
      <c r="AV34" s="170">
        <v>2.92</v>
      </c>
      <c r="AW34" s="203">
        <v>1.17</v>
      </c>
      <c r="AX34" s="170">
        <f t="shared" si="17"/>
        <v>498</v>
      </c>
      <c r="AY34" s="203">
        <f t="shared" si="17"/>
        <v>88.4</v>
      </c>
      <c r="AZ34" s="22">
        <v>82</v>
      </c>
      <c r="BA34" s="22">
        <f t="shared" si="18"/>
        <v>180</v>
      </c>
      <c r="BC34" s="21" t="str">
        <f>"Tube-"&amp;BE$34&amp;"x"&amp;BF34&amp;" mm."</f>
        <v>Tube-150x150x4.5 mm.</v>
      </c>
      <c r="BD34" s="481" t="s">
        <v>245</v>
      </c>
      <c r="BE34" s="503" t="s">
        <v>217</v>
      </c>
      <c r="BF34" s="212">
        <v>4.5</v>
      </c>
      <c r="BG34" s="24">
        <v>25.67</v>
      </c>
      <c r="BH34" s="212">
        <v>20.1</v>
      </c>
      <c r="BI34" s="24">
        <v>896</v>
      </c>
      <c r="BJ34" s="212">
        <v>120</v>
      </c>
      <c r="BK34" s="277">
        <v>5.91</v>
      </c>
      <c r="BL34" s="22">
        <v>150</v>
      </c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D34" s="21" t="str">
        <f>"Pipe-D"&amp;CF$33&amp;"x"&amp;CG34&amp;" mm."</f>
        <v>Pipe-D165.2x5 mm.</v>
      </c>
      <c r="CE34" s="514"/>
      <c r="CF34" s="529"/>
      <c r="CG34" s="24">
        <v>5</v>
      </c>
      <c r="CH34" s="212">
        <v>19.8</v>
      </c>
      <c r="CI34" s="24">
        <v>25.16</v>
      </c>
      <c r="CJ34" s="212">
        <v>808</v>
      </c>
      <c r="CK34" s="212">
        <v>97.8</v>
      </c>
      <c r="CL34" s="277">
        <v>5.67</v>
      </c>
      <c r="CM34" s="21">
        <v>165.2</v>
      </c>
      <c r="CO34" s="21" t="str">
        <f>"[-"&amp;CP$32&amp;"x"&amp;CQ34&amp;" mm."</f>
        <v>[-150x50x20x4.5 mm.</v>
      </c>
      <c r="CP34" s="483"/>
      <c r="CQ34" s="290">
        <v>4.5</v>
      </c>
      <c r="CR34" s="284">
        <v>11.72</v>
      </c>
      <c r="CS34" s="28">
        <v>9.2</v>
      </c>
      <c r="CT34" s="272">
        <v>0</v>
      </c>
      <c r="CU34" s="203">
        <v>1.54</v>
      </c>
      <c r="CV34" s="170">
        <v>368</v>
      </c>
      <c r="CW34" s="290">
        <v>35.7</v>
      </c>
      <c r="CX34" s="272">
        <v>5.6</v>
      </c>
      <c r="CY34" s="203">
        <v>1.75</v>
      </c>
      <c r="CZ34" s="170">
        <v>49</v>
      </c>
      <c r="DA34" s="203">
        <v>10.5</v>
      </c>
      <c r="DB34" s="24">
        <v>150</v>
      </c>
      <c r="DC34" s="24">
        <v>50</v>
      </c>
      <c r="DD34" s="24">
        <v>20</v>
      </c>
      <c r="DE34" s="24"/>
      <c r="DF34" s="24"/>
      <c r="DG34" s="21" t="str">
        <f>"2[]-"&amp;DH$32&amp;"x"&amp;DI34&amp;" mm."</f>
        <v>2[]-150x50x20x4.5 mm.</v>
      </c>
      <c r="DH34" s="483"/>
      <c r="DI34" s="290">
        <v>4.5</v>
      </c>
      <c r="DJ34" s="284">
        <f t="shared" si="2"/>
        <v>23.44</v>
      </c>
      <c r="DK34" s="28">
        <f t="shared" si="3"/>
        <v>18.4</v>
      </c>
      <c r="DL34" s="272">
        <v>0</v>
      </c>
      <c r="DM34" s="203">
        <v>1.06</v>
      </c>
      <c r="DN34" s="170">
        <f t="shared" si="4"/>
        <v>736</v>
      </c>
      <c r="DO34" s="290">
        <f t="shared" si="5"/>
        <v>71.4</v>
      </c>
      <c r="DP34" s="272">
        <v>2.37</v>
      </c>
      <c r="DQ34" s="203">
        <v>1.11</v>
      </c>
      <c r="DR34" s="170">
        <f t="shared" si="6"/>
        <v>98</v>
      </c>
      <c r="DS34" s="203">
        <f t="shared" si="7"/>
        <v>21</v>
      </c>
      <c r="DT34" s="24">
        <f t="shared" si="8"/>
        <v>150</v>
      </c>
      <c r="DU34" s="24">
        <f t="shared" si="9"/>
        <v>100</v>
      </c>
      <c r="DV34" s="24">
        <f t="shared" si="10"/>
        <v>20</v>
      </c>
      <c r="DW34" s="24"/>
      <c r="DX34" s="24"/>
      <c r="DY34" s="24"/>
      <c r="DZ34" s="24"/>
      <c r="EA34" s="24"/>
      <c r="EB34" s="21">
        <v>8</v>
      </c>
      <c r="EC34" s="21" t="s">
        <v>465</v>
      </c>
      <c r="ED34" s="22" t="e">
        <f>VLOOKUP($ED25,$AJ$27:$BA$43,7,FALSE)</f>
        <v>#N/A</v>
      </c>
      <c r="EE34" s="22" t="e">
        <f>VLOOKUP($ED25,$AJ$27:$BA$43,8,FALSE)</f>
        <v>#N/A</v>
      </c>
      <c r="EF34" s="22" t="e">
        <f>VLOOKUP($ED25,$AJ$27:$BA$43,11,FALSE)</f>
        <v>#N/A</v>
      </c>
      <c r="EG34" s="22" t="e">
        <f>VLOOKUP($ED25,$AJ$27:$BA$43,12,FALSE)</f>
        <v>#N/A</v>
      </c>
      <c r="EH34" s="22" t="e">
        <f>VLOOKUP($ED25,$AJ$27:$BA$43,15,FALSE)</f>
        <v>#N/A</v>
      </c>
      <c r="EI34" s="22" t="e">
        <f>VLOOKUP($ED25,$AJ$27:$BA$43,16,FALSE)</f>
        <v>#N/A</v>
      </c>
      <c r="EJ34" s="22" t="e">
        <f>VLOOKUP($ED25,$AJ$27:$BA$43,13,FALSE)</f>
        <v>#N/A</v>
      </c>
      <c r="EK34" s="22" t="e">
        <f>VLOOKUP($ED25,$AJ$27:$BA$43,14,FALSE)</f>
        <v>#N/A</v>
      </c>
      <c r="EL34" s="22" t="e">
        <f>VLOOKUP($ED25,$AJ$27:$BA$43,17,FALSE)</f>
        <v>#N/A</v>
      </c>
      <c r="EM34" s="22" t="e">
        <f>VLOOKUP($ED25,$AJ$27:$BA$43,18,FALSE)</f>
        <v>#N/A</v>
      </c>
      <c r="EN34" s="22"/>
      <c r="EO34" s="22" t="e">
        <f>VLOOKUP($ED25,$AJ$27:$BA$43,3,FALSE)</f>
        <v>#N/A</v>
      </c>
      <c r="EP34" s="22" t="e">
        <f>VLOOKUP($ED25,$AJ$27:$BA$43,4,FALSE)</f>
        <v>#N/A</v>
      </c>
      <c r="EQ34" s="22" t="e">
        <f>VLOOKUP($ED25,$AJ$27:$BA$43,5,FALSE)</f>
        <v>#N/A</v>
      </c>
      <c r="ER34" s="22" t="e">
        <f>VLOOKUP($ED25,$AJ$27:$BA$43,6,FALSE)</f>
        <v>#N/A</v>
      </c>
    </row>
    <row r="35" spans="3:148" ht="14.25">
      <c r="C35" s="160" t="str">
        <f>"WF-"&amp;D$33&amp;"x"&amp;E35&amp;"x"&amp;F35&amp;" mm."</f>
        <v>WF-350X175x8x13 mm.</v>
      </c>
      <c r="D35" s="508"/>
      <c r="E35" s="173">
        <v>8</v>
      </c>
      <c r="F35" s="167">
        <v>13</v>
      </c>
      <c r="G35" s="217">
        <v>14</v>
      </c>
      <c r="H35" s="227">
        <v>73.68</v>
      </c>
      <c r="I35" s="24">
        <v>57.8</v>
      </c>
      <c r="J35" s="248">
        <v>16100</v>
      </c>
      <c r="K35" s="249">
        <v>1180</v>
      </c>
      <c r="L35" s="179">
        <v>14.8</v>
      </c>
      <c r="M35" s="196">
        <v>4.01</v>
      </c>
      <c r="N35" s="179">
        <v>909</v>
      </c>
      <c r="O35" s="196">
        <v>134</v>
      </c>
      <c r="P35" s="22">
        <v>354</v>
      </c>
      <c r="Q35" s="22">
        <v>176</v>
      </c>
      <c r="AJ35" s="160" t="str">
        <f>"2[]-"&amp;AK$11&amp;"x"&amp;AL35&amp;"x"&amp;AM35&amp;" mm."</f>
        <v>2[]-180x75x8.5x13.5 mm.</v>
      </c>
      <c r="AK35" s="197" t="s">
        <v>194</v>
      </c>
      <c r="AL35" s="168">
        <v>8.5</v>
      </c>
      <c r="AM35" s="168">
        <v>13.5</v>
      </c>
      <c r="AN35" s="168">
        <v>15</v>
      </c>
      <c r="AO35" s="172">
        <v>7.5</v>
      </c>
      <c r="AP35" s="272">
        <f t="shared" si="15"/>
        <v>84.28</v>
      </c>
      <c r="AQ35" s="203">
        <f t="shared" si="15"/>
        <v>66.2</v>
      </c>
      <c r="AR35" s="170">
        <v>0</v>
      </c>
      <c r="AS35" s="290">
        <v>1.28</v>
      </c>
      <c r="AT35" s="272">
        <f t="shared" si="16"/>
        <v>6980</v>
      </c>
      <c r="AU35" s="203">
        <f t="shared" si="16"/>
        <v>606</v>
      </c>
      <c r="AV35" s="170">
        <v>2.92</v>
      </c>
      <c r="AW35" s="203">
        <v>1.17</v>
      </c>
      <c r="AX35" s="170">
        <f t="shared" si="17"/>
        <v>608</v>
      </c>
      <c r="AY35" s="203">
        <f t="shared" si="17"/>
        <v>94.6</v>
      </c>
      <c r="AZ35" s="22">
        <v>83</v>
      </c>
      <c r="BA35" s="22">
        <f t="shared" si="18"/>
        <v>180</v>
      </c>
      <c r="BC35" s="21" t="str">
        <f>"Tube-"&amp;BE$34&amp;"x"&amp;BF35&amp;" mm."</f>
        <v>Tube-150x150x5 mm.</v>
      </c>
      <c r="BD35" s="482"/>
      <c r="BE35" s="504"/>
      <c r="BF35" s="212">
        <v>5</v>
      </c>
      <c r="BG35" s="24">
        <v>28.36</v>
      </c>
      <c r="BH35" s="212">
        <v>22.3</v>
      </c>
      <c r="BI35" s="24">
        <v>982</v>
      </c>
      <c r="BJ35" s="212">
        <v>131</v>
      </c>
      <c r="BK35" s="277">
        <v>5.89</v>
      </c>
      <c r="BL35" s="22">
        <v>150</v>
      </c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D35" s="21" t="str">
        <f>"Pipe-D"&amp;CF$33&amp;"x"&amp;CG35&amp;" mm."</f>
        <v>Pipe-D165.2x6 mm.</v>
      </c>
      <c r="CE35" s="514"/>
      <c r="CF35" s="529"/>
      <c r="CG35" s="24">
        <v>6</v>
      </c>
      <c r="CH35" s="212">
        <v>23.6</v>
      </c>
      <c r="CI35" s="24">
        <v>30.01</v>
      </c>
      <c r="CJ35" s="212">
        <v>952</v>
      </c>
      <c r="CK35" s="212">
        <v>115</v>
      </c>
      <c r="CL35" s="277">
        <v>5.63</v>
      </c>
      <c r="CM35" s="21">
        <v>165.2</v>
      </c>
      <c r="CO35" s="21" t="str">
        <f>"[-"&amp;CP$35&amp;"x"&amp;CQ35&amp;" mm."</f>
        <v>[-150x65x20x2.3 mm.</v>
      </c>
      <c r="CP35" s="481" t="s">
        <v>295</v>
      </c>
      <c r="CQ35" s="178">
        <v>2.3</v>
      </c>
      <c r="CR35" s="212">
        <v>7.012</v>
      </c>
      <c r="CS35" s="24">
        <v>5.5</v>
      </c>
      <c r="CT35" s="195">
        <v>0</v>
      </c>
      <c r="CU35" s="196">
        <v>2.12</v>
      </c>
      <c r="CV35" s="179">
        <v>248</v>
      </c>
      <c r="CW35" s="178">
        <v>41.1</v>
      </c>
      <c r="CX35" s="195">
        <v>5.94</v>
      </c>
      <c r="CY35" s="196">
        <v>2.42</v>
      </c>
      <c r="CZ35" s="179">
        <v>33</v>
      </c>
      <c r="DA35" s="196">
        <v>9.37</v>
      </c>
      <c r="DB35" s="24">
        <v>150</v>
      </c>
      <c r="DC35" s="24">
        <v>65</v>
      </c>
      <c r="DD35" s="24">
        <v>20</v>
      </c>
      <c r="DE35" s="24"/>
      <c r="DF35" s="24"/>
      <c r="DG35" s="21" t="str">
        <f>"2[]-"&amp;DH$35&amp;"x"&amp;DI35&amp;" mm."</f>
        <v>2[]-150x65x20x2.3 mm.</v>
      </c>
      <c r="DH35" s="481" t="s">
        <v>295</v>
      </c>
      <c r="DI35" s="178">
        <v>2.3</v>
      </c>
      <c r="DJ35" s="210">
        <f t="shared" si="2"/>
        <v>14.024</v>
      </c>
      <c r="DK35" s="158">
        <f t="shared" si="3"/>
        <v>11</v>
      </c>
      <c r="DL35" s="287">
        <v>0</v>
      </c>
      <c r="DM35" s="202">
        <v>1.06</v>
      </c>
      <c r="DN35" s="166">
        <f t="shared" si="4"/>
        <v>496</v>
      </c>
      <c r="DO35" s="174">
        <f t="shared" si="5"/>
        <v>82.2</v>
      </c>
      <c r="DP35" s="287">
        <v>2.37</v>
      </c>
      <c r="DQ35" s="202">
        <v>1.11</v>
      </c>
      <c r="DR35" s="166">
        <f t="shared" si="6"/>
        <v>66</v>
      </c>
      <c r="DS35" s="202">
        <f t="shared" si="7"/>
        <v>18.74</v>
      </c>
      <c r="DT35" s="24">
        <f t="shared" si="8"/>
        <v>150</v>
      </c>
      <c r="DU35" s="24">
        <f t="shared" si="9"/>
        <v>130</v>
      </c>
      <c r="DV35" s="24">
        <f t="shared" si="10"/>
        <v>20</v>
      </c>
      <c r="DW35" s="24"/>
      <c r="DX35" s="24"/>
      <c r="DY35" s="24"/>
      <c r="DZ35" s="24"/>
      <c r="EA35" s="24"/>
      <c r="EB35" s="21">
        <v>9</v>
      </c>
      <c r="EC35" s="21" t="s">
        <v>466</v>
      </c>
      <c r="ED35" s="22" t="e">
        <f>VLOOKUP($ED25,$DG$6:$DV$50,4,FALSE)</f>
        <v>#N/A</v>
      </c>
      <c r="EE35" s="22" t="e">
        <f>VLOOKUP($ED25,$DG$6:$DV$50,5,FALSE)</f>
        <v>#N/A</v>
      </c>
      <c r="EF35" s="22" t="e">
        <f>VLOOKUP($ED25,$DG$6:$DV$50,8,FALSE)</f>
        <v>#N/A</v>
      </c>
      <c r="EG35" s="22" t="e">
        <f>VLOOKUP($ED25,$DG$6:$DV$50,9,FALSE)</f>
        <v>#N/A</v>
      </c>
      <c r="EH35" s="22" t="e">
        <f>VLOOKUP($ED25,$DG$6:$DV$50,12,FALSE)</f>
        <v>#N/A</v>
      </c>
      <c r="EI35" s="22" t="e">
        <f>VLOOKUP($ED25,$DG$6:$DV$50,13,FALSE)</f>
        <v>#N/A</v>
      </c>
      <c r="EJ35" s="22" t="e">
        <f>VLOOKUP($ED25,$DG$6:$DV$50,10,FALSE)</f>
        <v>#N/A</v>
      </c>
      <c r="EK35" s="22" t="e">
        <f>VLOOKUP($ED25,$DG$6:$DV$50,11,FALSE)</f>
        <v>#N/A</v>
      </c>
      <c r="EL35" s="22" t="e">
        <f>VLOOKUP($ED25,$DG$6:$DV$50,14,FALSE)</f>
        <v>#N/A</v>
      </c>
      <c r="EM35" s="22" t="e">
        <f>VLOOKUP($ED25,$DG$6:$DV$50,15,FALSE)</f>
        <v>#N/A</v>
      </c>
      <c r="EN35" s="22" t="e">
        <f>VLOOKUP($ED25,$DG$6:$DV$50,16,FALSE)</f>
        <v>#N/A</v>
      </c>
      <c r="EO35" s="22" t="e">
        <f>VLOOKUP($ED25,$DG$6:$DV$50,3,FALSE)</f>
        <v>#N/A</v>
      </c>
      <c r="EP35" s="22" t="e">
        <f>VLOOKUP($ED25,$DG$6:$DV$50,3,FALSE)</f>
        <v>#N/A</v>
      </c>
      <c r="EQ35" s="22"/>
      <c r="ER35" s="22"/>
    </row>
    <row r="36" spans="3:148" ht="15" thickBot="1">
      <c r="C36" s="160" t="str">
        <f>"WF-"&amp;D$36&amp;"x"&amp;E36&amp;"x"&amp;F36&amp;" mm."</f>
        <v>WF-350x250x8x12 mm.</v>
      </c>
      <c r="D36" s="481" t="s">
        <v>221</v>
      </c>
      <c r="E36" s="189">
        <v>8</v>
      </c>
      <c r="F36" s="165">
        <v>12</v>
      </c>
      <c r="G36" s="224">
        <v>20</v>
      </c>
      <c r="H36" s="232">
        <v>88.15</v>
      </c>
      <c r="I36" s="158">
        <v>69.2</v>
      </c>
      <c r="J36" s="264">
        <v>18500</v>
      </c>
      <c r="K36" s="265">
        <v>3090</v>
      </c>
      <c r="L36" s="166">
        <v>14.5</v>
      </c>
      <c r="M36" s="202">
        <v>5.92</v>
      </c>
      <c r="N36" s="166">
        <v>1100</v>
      </c>
      <c r="O36" s="202">
        <v>248</v>
      </c>
      <c r="P36" s="22">
        <v>336</v>
      </c>
      <c r="Q36" s="22">
        <v>249</v>
      </c>
      <c r="AJ36" s="160" t="str">
        <f>"2[]-"&amp;AK$15&amp;"x"&amp;AL36&amp;"x"&amp;AM36&amp;" mm."</f>
        <v>2[]-250x90x9x13 mm.</v>
      </c>
      <c r="AK36" s="482" t="s">
        <v>195</v>
      </c>
      <c r="AL36" s="167">
        <v>9</v>
      </c>
      <c r="AM36" s="167">
        <v>13</v>
      </c>
      <c r="AN36" s="167">
        <v>14</v>
      </c>
      <c r="AO36" s="178">
        <v>7</v>
      </c>
      <c r="AP36" s="287">
        <f t="shared" si="15"/>
        <v>88.14</v>
      </c>
      <c r="AQ36" s="202">
        <f t="shared" si="15"/>
        <v>69.2</v>
      </c>
      <c r="AR36" s="166">
        <v>0</v>
      </c>
      <c r="AS36" s="174">
        <v>1.28</v>
      </c>
      <c r="AT36" s="287">
        <f t="shared" si="16"/>
        <v>8360</v>
      </c>
      <c r="AU36" s="202">
        <f t="shared" si="16"/>
        <v>588</v>
      </c>
      <c r="AV36" s="166">
        <v>2.92</v>
      </c>
      <c r="AW36" s="202">
        <v>1.17</v>
      </c>
      <c r="AX36" s="166">
        <f t="shared" si="17"/>
        <v>668</v>
      </c>
      <c r="AY36" s="202">
        <f t="shared" si="17"/>
        <v>89</v>
      </c>
      <c r="AZ36" s="22">
        <v>84</v>
      </c>
      <c r="BA36" s="22">
        <f t="shared" si="18"/>
        <v>180</v>
      </c>
      <c r="BC36" s="21" t="str">
        <f>"Tube-"&amp;BE$34&amp;"x"&amp;BF36&amp;" mm."</f>
        <v>Tube-150x150x6 mm.</v>
      </c>
      <c r="BD36" s="482"/>
      <c r="BE36" s="504"/>
      <c r="BF36" s="212">
        <v>6</v>
      </c>
      <c r="BG36" s="24">
        <v>33.63</v>
      </c>
      <c r="BH36" s="212">
        <v>26.4</v>
      </c>
      <c r="BI36" s="24">
        <v>1150</v>
      </c>
      <c r="BJ36" s="212">
        <v>153</v>
      </c>
      <c r="BK36" s="277">
        <v>5.84</v>
      </c>
      <c r="BL36" s="22">
        <v>150</v>
      </c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D36" s="21" t="str">
        <f>"Pipe-D"&amp;CF$33&amp;"x"&amp;CG36&amp;" mm."</f>
        <v>Pipe-D165.2x7.1 mm.</v>
      </c>
      <c r="CE36" s="514"/>
      <c r="CF36" s="529"/>
      <c r="CG36" s="24">
        <v>7.1</v>
      </c>
      <c r="CH36" s="212">
        <v>27.7</v>
      </c>
      <c r="CI36" s="24">
        <v>35.26</v>
      </c>
      <c r="CJ36" s="212">
        <v>1100</v>
      </c>
      <c r="CK36" s="212">
        <v>134</v>
      </c>
      <c r="CL36" s="277">
        <v>5.6</v>
      </c>
      <c r="CM36" s="21">
        <v>165.2</v>
      </c>
      <c r="CO36" s="21" t="str">
        <f>"[-"&amp;CP$35&amp;"x"&amp;CQ36&amp;" mm."</f>
        <v>[-150x65x20x3.2 mm.</v>
      </c>
      <c r="CP36" s="482"/>
      <c r="CQ36" s="178">
        <v>3.2</v>
      </c>
      <c r="CR36" s="212">
        <v>9.567</v>
      </c>
      <c r="CS36" s="24">
        <v>7.51</v>
      </c>
      <c r="CT36" s="195">
        <v>0</v>
      </c>
      <c r="CU36" s="196">
        <v>2.11</v>
      </c>
      <c r="CV36" s="179">
        <v>332</v>
      </c>
      <c r="CW36" s="178">
        <v>53.8</v>
      </c>
      <c r="CX36" s="195">
        <v>5.89</v>
      </c>
      <c r="CY36" s="196">
        <v>2.37</v>
      </c>
      <c r="CZ36" s="179">
        <v>44.3</v>
      </c>
      <c r="DA36" s="196">
        <v>12.2</v>
      </c>
      <c r="DB36" s="24">
        <v>150</v>
      </c>
      <c r="DC36" s="24">
        <v>65</v>
      </c>
      <c r="DD36" s="24">
        <v>20</v>
      </c>
      <c r="DE36" s="24"/>
      <c r="DF36" s="24"/>
      <c r="DG36" s="21" t="str">
        <f>"2[]-"&amp;DH$35&amp;"x"&amp;DI36&amp;" mm."</f>
        <v>2[]-150x65x20x3.2 mm.</v>
      </c>
      <c r="DH36" s="482"/>
      <c r="DI36" s="178">
        <v>3.2</v>
      </c>
      <c r="DJ36" s="212">
        <f t="shared" si="2"/>
        <v>19.134</v>
      </c>
      <c r="DK36" s="24">
        <f t="shared" si="3"/>
        <v>15.02</v>
      </c>
      <c r="DL36" s="195">
        <v>0</v>
      </c>
      <c r="DM36" s="196">
        <v>1.06</v>
      </c>
      <c r="DN36" s="179">
        <f t="shared" si="4"/>
        <v>664</v>
      </c>
      <c r="DO36" s="178">
        <f t="shared" si="5"/>
        <v>107.6</v>
      </c>
      <c r="DP36" s="195">
        <v>2.37</v>
      </c>
      <c r="DQ36" s="196">
        <v>1.11</v>
      </c>
      <c r="DR36" s="179">
        <f t="shared" si="6"/>
        <v>88.6</v>
      </c>
      <c r="DS36" s="196">
        <f t="shared" si="7"/>
        <v>24.4</v>
      </c>
      <c r="DT36" s="24">
        <f t="shared" si="8"/>
        <v>150</v>
      </c>
      <c r="DU36" s="24">
        <f t="shared" si="9"/>
        <v>130</v>
      </c>
      <c r="DV36" s="24">
        <f t="shared" si="10"/>
        <v>20</v>
      </c>
      <c r="DW36" s="24"/>
      <c r="DX36" s="24"/>
      <c r="DY36" s="24"/>
      <c r="DZ36" s="24"/>
      <c r="EA36" s="24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</row>
    <row r="37" spans="3:131" ht="15" thickBot="1">
      <c r="C37" s="160" t="str">
        <f>"WF-"&amp;D$36&amp;"x"&amp;E37&amp;"x"&amp;F37&amp;" mm."</f>
        <v>WF-350x250x9x14 mm.</v>
      </c>
      <c r="D37" s="483"/>
      <c r="E37" s="185">
        <v>9</v>
      </c>
      <c r="F37" s="169">
        <v>14</v>
      </c>
      <c r="G37" s="222">
        <v>20</v>
      </c>
      <c r="H37" s="230">
        <v>101.5</v>
      </c>
      <c r="I37" s="28">
        <v>79.7</v>
      </c>
      <c r="J37" s="262">
        <v>21700</v>
      </c>
      <c r="K37" s="263">
        <v>3650</v>
      </c>
      <c r="L37" s="170">
        <v>14.6</v>
      </c>
      <c r="M37" s="203">
        <v>6</v>
      </c>
      <c r="N37" s="170">
        <v>1280</v>
      </c>
      <c r="O37" s="203">
        <v>292</v>
      </c>
      <c r="P37" s="22">
        <v>340</v>
      </c>
      <c r="Q37" s="22">
        <v>250</v>
      </c>
      <c r="AJ37" s="160" t="str">
        <f>"2[]-"&amp;AK$15&amp;"x"&amp;AL37&amp;"x"&amp;AM37&amp;" mm."</f>
        <v>2[]-250x90x11x14.5 mm.</v>
      </c>
      <c r="AK37" s="482"/>
      <c r="AL37" s="167">
        <v>11</v>
      </c>
      <c r="AM37" s="167">
        <v>14.5</v>
      </c>
      <c r="AN37" s="167">
        <v>17</v>
      </c>
      <c r="AO37" s="178">
        <v>8.5</v>
      </c>
      <c r="AP37" s="272">
        <f t="shared" si="15"/>
        <v>102.34</v>
      </c>
      <c r="AQ37" s="203">
        <f t="shared" si="15"/>
        <v>80.4</v>
      </c>
      <c r="AR37" s="170">
        <v>0</v>
      </c>
      <c r="AS37" s="290">
        <v>1.28</v>
      </c>
      <c r="AT37" s="272">
        <f t="shared" si="16"/>
        <v>9360</v>
      </c>
      <c r="AU37" s="203">
        <f t="shared" si="16"/>
        <v>658</v>
      </c>
      <c r="AV37" s="170">
        <v>2.92</v>
      </c>
      <c r="AW37" s="203">
        <v>1.17</v>
      </c>
      <c r="AX37" s="170">
        <f t="shared" si="17"/>
        <v>748</v>
      </c>
      <c r="AY37" s="203">
        <f t="shared" si="17"/>
        <v>99.8</v>
      </c>
      <c r="AZ37" s="22">
        <v>85</v>
      </c>
      <c r="BA37" s="22">
        <f t="shared" si="18"/>
        <v>180</v>
      </c>
      <c r="BC37" s="21" t="str">
        <f>"Tube-"&amp;BE$34&amp;"x"&amp;BF37&amp;" mm."</f>
        <v>Tube-150x150x6.3 mm.</v>
      </c>
      <c r="BD37" s="497"/>
      <c r="BE37" s="527"/>
      <c r="BF37" s="285">
        <v>6.3</v>
      </c>
      <c r="BG37" s="242">
        <v>34.8</v>
      </c>
      <c r="BH37" s="285">
        <v>27.4</v>
      </c>
      <c r="BI37" s="242">
        <v>1174</v>
      </c>
      <c r="BJ37" s="285">
        <v>156</v>
      </c>
      <c r="BK37" s="279">
        <v>5.8</v>
      </c>
      <c r="BL37" s="22">
        <v>150</v>
      </c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D37" s="21" t="str">
        <f>"Pipe-D"&amp;CF$37&amp;"x"&amp;CG37&amp;" mm."</f>
        <v>Pipe-D216.3x4.5 mm.</v>
      </c>
      <c r="CE37" s="515">
        <v>8</v>
      </c>
      <c r="CF37" s="532">
        <v>216.3</v>
      </c>
      <c r="CG37" s="158">
        <v>4.5</v>
      </c>
      <c r="CH37" s="210">
        <v>23.5</v>
      </c>
      <c r="CI37" s="158">
        <v>29.94</v>
      </c>
      <c r="CJ37" s="210">
        <v>1680</v>
      </c>
      <c r="CK37" s="210">
        <v>155</v>
      </c>
      <c r="CL37" s="273">
        <v>7.49</v>
      </c>
      <c r="CM37" s="21">
        <v>216.3</v>
      </c>
      <c r="CO37" s="21" t="str">
        <f>"[-"&amp;CP$35&amp;"x"&amp;CQ37&amp;" mm."</f>
        <v>[-150x65x20x4 mm.</v>
      </c>
      <c r="CP37" s="483"/>
      <c r="CQ37" s="290">
        <v>4</v>
      </c>
      <c r="CR37" s="284">
        <v>11.75</v>
      </c>
      <c r="CS37" s="28">
        <v>9.22</v>
      </c>
      <c r="CT37" s="272">
        <v>0</v>
      </c>
      <c r="CU37" s="203">
        <v>2.11</v>
      </c>
      <c r="CV37" s="170">
        <v>401</v>
      </c>
      <c r="CW37" s="290">
        <v>63.7</v>
      </c>
      <c r="CX37" s="272">
        <v>5.84</v>
      </c>
      <c r="CY37" s="203">
        <v>2.33</v>
      </c>
      <c r="CZ37" s="170">
        <v>53.5</v>
      </c>
      <c r="DA37" s="203">
        <v>14.5</v>
      </c>
      <c r="DB37" s="24">
        <v>150</v>
      </c>
      <c r="DC37" s="24">
        <v>65</v>
      </c>
      <c r="DD37" s="24">
        <v>20</v>
      </c>
      <c r="DE37" s="24"/>
      <c r="DF37" s="24"/>
      <c r="DG37" s="21" t="str">
        <f>"2[]-"&amp;DH$35&amp;"x"&amp;DI37&amp;" mm."</f>
        <v>2[]-150x65x20x4 mm.</v>
      </c>
      <c r="DH37" s="483"/>
      <c r="DI37" s="290">
        <v>4</v>
      </c>
      <c r="DJ37" s="284">
        <f t="shared" si="2"/>
        <v>23.5</v>
      </c>
      <c r="DK37" s="28">
        <f t="shared" si="3"/>
        <v>18.44</v>
      </c>
      <c r="DL37" s="272">
        <v>0</v>
      </c>
      <c r="DM37" s="203">
        <v>1.06</v>
      </c>
      <c r="DN37" s="170">
        <f t="shared" si="4"/>
        <v>802</v>
      </c>
      <c r="DO37" s="290">
        <f t="shared" si="5"/>
        <v>127.4</v>
      </c>
      <c r="DP37" s="272">
        <v>2.37</v>
      </c>
      <c r="DQ37" s="203">
        <v>1.11</v>
      </c>
      <c r="DR37" s="170">
        <f t="shared" si="6"/>
        <v>107</v>
      </c>
      <c r="DS37" s="203">
        <f t="shared" si="7"/>
        <v>29</v>
      </c>
      <c r="DT37" s="24">
        <f t="shared" si="8"/>
        <v>150</v>
      </c>
      <c r="DU37" s="24">
        <f t="shared" si="9"/>
        <v>130</v>
      </c>
      <c r="DV37" s="24">
        <f t="shared" si="10"/>
        <v>20</v>
      </c>
      <c r="DW37" s="24"/>
      <c r="DX37" s="24"/>
      <c r="DY37" s="24"/>
      <c r="DZ37" s="24"/>
      <c r="EA37" s="24"/>
    </row>
    <row r="38" spans="3:131" ht="14.25">
      <c r="C38" s="160" t="str">
        <f>"WF-"&amp;D$38&amp;"x"&amp;E38&amp;"x"&amp;F38&amp;" mm."</f>
        <v>WF-350X350x13x13 mm.</v>
      </c>
      <c r="D38" s="482" t="s">
        <v>158</v>
      </c>
      <c r="E38" s="173">
        <v>13</v>
      </c>
      <c r="F38" s="167">
        <v>13</v>
      </c>
      <c r="G38" s="217">
        <v>20</v>
      </c>
      <c r="H38" s="227">
        <v>135.3</v>
      </c>
      <c r="I38" s="24">
        <v>106</v>
      </c>
      <c r="J38" s="248">
        <v>28200</v>
      </c>
      <c r="K38" s="249">
        <v>9380</v>
      </c>
      <c r="L38" s="179">
        <v>14.4</v>
      </c>
      <c r="M38" s="196">
        <v>8.33</v>
      </c>
      <c r="N38" s="179">
        <v>1670</v>
      </c>
      <c r="O38" s="196">
        <v>534</v>
      </c>
      <c r="P38" s="22">
        <v>338</v>
      </c>
      <c r="Q38" s="22">
        <v>351</v>
      </c>
      <c r="AJ38" s="160" t="str">
        <f>"2[]-"&amp;AK$17&amp;"x"&amp;AL38&amp;"x"&amp;AM38&amp;" mm."</f>
        <v>2[]-300x90x9x13 mm.</v>
      </c>
      <c r="AK38" s="481" t="s">
        <v>196</v>
      </c>
      <c r="AL38" s="165">
        <v>9</v>
      </c>
      <c r="AM38" s="165">
        <v>13</v>
      </c>
      <c r="AN38" s="165">
        <v>14</v>
      </c>
      <c r="AO38" s="174">
        <v>7</v>
      </c>
      <c r="AP38" s="287">
        <f t="shared" si="15"/>
        <v>97.14</v>
      </c>
      <c r="AQ38" s="202">
        <f t="shared" si="15"/>
        <v>76.2</v>
      </c>
      <c r="AR38" s="166">
        <v>0</v>
      </c>
      <c r="AS38" s="174">
        <v>1.28</v>
      </c>
      <c r="AT38" s="287">
        <f t="shared" si="16"/>
        <v>12880</v>
      </c>
      <c r="AU38" s="202">
        <f t="shared" si="16"/>
        <v>618</v>
      </c>
      <c r="AV38" s="166">
        <v>2.92</v>
      </c>
      <c r="AW38" s="202">
        <v>1.17</v>
      </c>
      <c r="AX38" s="166">
        <f t="shared" si="17"/>
        <v>858</v>
      </c>
      <c r="AY38" s="202">
        <f t="shared" si="17"/>
        <v>91.4</v>
      </c>
      <c r="AZ38" s="22">
        <v>86</v>
      </c>
      <c r="BA38" s="22">
        <f t="shared" si="18"/>
        <v>180</v>
      </c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D38" s="21" t="str">
        <f>"Pipe-D"&amp;CF$37&amp;"x"&amp;CG38&amp;" mm."</f>
        <v>Pipe-D216.3x5.8 mm.</v>
      </c>
      <c r="CE38" s="514"/>
      <c r="CF38" s="529"/>
      <c r="CG38" s="24">
        <v>5.8</v>
      </c>
      <c r="CH38" s="212">
        <v>30.1</v>
      </c>
      <c r="CI38" s="24">
        <v>38.36</v>
      </c>
      <c r="CJ38" s="212">
        <v>2130</v>
      </c>
      <c r="CK38" s="212">
        <v>197</v>
      </c>
      <c r="CL38" s="277">
        <v>7.45</v>
      </c>
      <c r="CM38" s="21">
        <v>216.3</v>
      </c>
      <c r="CO38" s="21" t="str">
        <f>"[-"&amp;CP$38&amp;"x"&amp;CQ38&amp;" mm."</f>
        <v>[-150x75x20x3.2 mm.</v>
      </c>
      <c r="CP38" s="481" t="s">
        <v>296</v>
      </c>
      <c r="CQ38" s="178">
        <v>3.2</v>
      </c>
      <c r="CR38" s="212">
        <v>10.21</v>
      </c>
      <c r="CS38" s="24">
        <v>8.01</v>
      </c>
      <c r="CT38" s="195">
        <v>0</v>
      </c>
      <c r="CU38" s="196">
        <v>2.51</v>
      </c>
      <c r="CV38" s="179">
        <v>366</v>
      </c>
      <c r="CW38" s="178">
        <v>76.4</v>
      </c>
      <c r="CX38" s="195">
        <v>5.99</v>
      </c>
      <c r="CY38" s="196">
        <v>2.74</v>
      </c>
      <c r="CZ38" s="179">
        <v>48.9</v>
      </c>
      <c r="DA38" s="196">
        <v>15.3</v>
      </c>
      <c r="DB38" s="24">
        <v>150</v>
      </c>
      <c r="DC38" s="24">
        <v>75</v>
      </c>
      <c r="DD38" s="24">
        <v>20</v>
      </c>
      <c r="DE38" s="24"/>
      <c r="DF38" s="24"/>
      <c r="DG38" s="21" t="str">
        <f>"2[]-"&amp;DH$38&amp;"x"&amp;DI38&amp;" mm."</f>
        <v>2[]-150x75x20x3.2 mm.</v>
      </c>
      <c r="DH38" s="481" t="s">
        <v>296</v>
      </c>
      <c r="DI38" s="178">
        <v>3.2</v>
      </c>
      <c r="DJ38" s="210">
        <f t="shared" si="2"/>
        <v>20.42</v>
      </c>
      <c r="DK38" s="158">
        <f t="shared" si="3"/>
        <v>16.02</v>
      </c>
      <c r="DL38" s="287">
        <v>0</v>
      </c>
      <c r="DM38" s="202">
        <v>1.06</v>
      </c>
      <c r="DN38" s="166">
        <f t="shared" si="4"/>
        <v>732</v>
      </c>
      <c r="DO38" s="174">
        <f t="shared" si="5"/>
        <v>152.8</v>
      </c>
      <c r="DP38" s="287">
        <v>2.37</v>
      </c>
      <c r="DQ38" s="202">
        <v>1.11</v>
      </c>
      <c r="DR38" s="166">
        <f t="shared" si="6"/>
        <v>97.8</v>
      </c>
      <c r="DS38" s="202">
        <f t="shared" si="7"/>
        <v>30.6</v>
      </c>
      <c r="DT38" s="24">
        <f t="shared" si="8"/>
        <v>150</v>
      </c>
      <c r="DU38" s="24">
        <f t="shared" si="9"/>
        <v>150</v>
      </c>
      <c r="DV38" s="24">
        <f t="shared" si="10"/>
        <v>20</v>
      </c>
      <c r="DW38" s="24"/>
      <c r="DX38" s="24"/>
      <c r="DY38" s="24"/>
      <c r="DZ38" s="24"/>
      <c r="EA38" s="24"/>
    </row>
    <row r="39" spans="3:148" ht="14.25">
      <c r="C39" s="160" t="str">
        <f>"WF-"&amp;D$38&amp;"x"&amp;E39&amp;"x"&amp;F39&amp;" mm."</f>
        <v>WF-350X350x10x16 mm.</v>
      </c>
      <c r="D39" s="482"/>
      <c r="E39" s="173">
        <v>10</v>
      </c>
      <c r="F39" s="167">
        <v>16</v>
      </c>
      <c r="G39" s="217">
        <v>20</v>
      </c>
      <c r="H39" s="227">
        <v>146</v>
      </c>
      <c r="I39" s="24">
        <v>115</v>
      </c>
      <c r="J39" s="248">
        <v>33300</v>
      </c>
      <c r="K39" s="249">
        <v>11200</v>
      </c>
      <c r="L39" s="179">
        <v>15.1</v>
      </c>
      <c r="M39" s="196">
        <v>8.78</v>
      </c>
      <c r="N39" s="179">
        <v>1940</v>
      </c>
      <c r="O39" s="196">
        <v>646</v>
      </c>
      <c r="P39" s="22">
        <v>344</v>
      </c>
      <c r="Q39" s="22">
        <v>348</v>
      </c>
      <c r="AJ39" s="160" t="str">
        <f>"2[]-"&amp;AK$17&amp;"x"&amp;AL39&amp;"x"&amp;AM39&amp;" mm."</f>
        <v>2[]-300x90x10x15.5 mm.</v>
      </c>
      <c r="AK39" s="482"/>
      <c r="AL39" s="167">
        <v>10</v>
      </c>
      <c r="AM39" s="167">
        <v>15.5</v>
      </c>
      <c r="AN39" s="167">
        <v>19</v>
      </c>
      <c r="AO39" s="178">
        <v>9.5</v>
      </c>
      <c r="AP39" s="195">
        <f t="shared" si="15"/>
        <v>111.48</v>
      </c>
      <c r="AQ39" s="196">
        <f t="shared" si="15"/>
        <v>87.6</v>
      </c>
      <c r="AR39" s="179">
        <v>0</v>
      </c>
      <c r="AS39" s="178">
        <v>1.28</v>
      </c>
      <c r="AT39" s="195">
        <f t="shared" si="16"/>
        <v>14280</v>
      </c>
      <c r="AU39" s="196">
        <f t="shared" si="16"/>
        <v>720</v>
      </c>
      <c r="AV39" s="179">
        <v>2.92</v>
      </c>
      <c r="AW39" s="196">
        <v>1.17</v>
      </c>
      <c r="AX39" s="179">
        <f t="shared" si="17"/>
        <v>988</v>
      </c>
      <c r="AY39" s="196">
        <f t="shared" si="17"/>
        <v>108.2</v>
      </c>
      <c r="AZ39" s="22">
        <v>87</v>
      </c>
      <c r="BA39" s="22">
        <f t="shared" si="18"/>
        <v>180</v>
      </c>
      <c r="BE39" s="22"/>
      <c r="BF39" s="22"/>
      <c r="BG39" s="22"/>
      <c r="BH39" s="22"/>
      <c r="BI39" s="22"/>
      <c r="BJ39" s="22"/>
      <c r="BK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D39" s="21" t="str">
        <f>"Pipe-D"&amp;CF$37&amp;"x"&amp;CG39&amp;" mm."</f>
        <v>Pipe-D216.3x7 mm.</v>
      </c>
      <c r="CE39" s="514"/>
      <c r="CF39" s="529"/>
      <c r="CG39" s="24">
        <v>7</v>
      </c>
      <c r="CH39" s="212">
        <v>36.1</v>
      </c>
      <c r="CI39" s="24">
        <v>46.03</v>
      </c>
      <c r="CJ39" s="212">
        <v>2520</v>
      </c>
      <c r="CK39" s="212">
        <v>233</v>
      </c>
      <c r="CL39" s="277">
        <v>7.4</v>
      </c>
      <c r="CM39" s="21">
        <v>216.3</v>
      </c>
      <c r="CO39" s="21" t="str">
        <f>"[-"&amp;CP$38&amp;"x"&amp;CQ39&amp;" mm."</f>
        <v>[-150x75x20x4 mm.</v>
      </c>
      <c r="CP39" s="482"/>
      <c r="CQ39" s="178">
        <v>4</v>
      </c>
      <c r="CR39" s="212">
        <v>12.55</v>
      </c>
      <c r="CS39" s="24">
        <v>9.85</v>
      </c>
      <c r="CT39" s="195">
        <v>0</v>
      </c>
      <c r="CU39" s="196">
        <v>2.51</v>
      </c>
      <c r="CV39" s="179">
        <v>445</v>
      </c>
      <c r="CW39" s="178">
        <v>91</v>
      </c>
      <c r="CX39" s="195">
        <v>5.95</v>
      </c>
      <c r="CY39" s="196">
        <v>2.69</v>
      </c>
      <c r="CZ39" s="179">
        <v>59.3</v>
      </c>
      <c r="DA39" s="196">
        <v>18.2</v>
      </c>
      <c r="DB39" s="24">
        <v>150</v>
      </c>
      <c r="DC39" s="24">
        <v>75</v>
      </c>
      <c r="DD39" s="24">
        <v>20</v>
      </c>
      <c r="DE39" s="24"/>
      <c r="DF39" s="24"/>
      <c r="DG39" s="21" t="str">
        <f>"2[]-"&amp;DH$38&amp;"x"&amp;DI39&amp;" mm."</f>
        <v>2[]-150x75x20x4 mm.</v>
      </c>
      <c r="DH39" s="482"/>
      <c r="DI39" s="178">
        <v>4</v>
      </c>
      <c r="DJ39" s="212">
        <f t="shared" si="2"/>
        <v>25.1</v>
      </c>
      <c r="DK39" s="24">
        <f t="shared" si="3"/>
        <v>19.7</v>
      </c>
      <c r="DL39" s="195">
        <v>0</v>
      </c>
      <c r="DM39" s="196">
        <v>1.06</v>
      </c>
      <c r="DN39" s="179">
        <f t="shared" si="4"/>
        <v>890</v>
      </c>
      <c r="DO39" s="178">
        <f t="shared" si="5"/>
        <v>182</v>
      </c>
      <c r="DP39" s="195">
        <v>2.37</v>
      </c>
      <c r="DQ39" s="196">
        <v>1.11</v>
      </c>
      <c r="DR39" s="179">
        <f t="shared" si="6"/>
        <v>118.6</v>
      </c>
      <c r="DS39" s="196">
        <f t="shared" si="7"/>
        <v>36.4</v>
      </c>
      <c r="DT39" s="24">
        <f t="shared" si="8"/>
        <v>150</v>
      </c>
      <c r="DU39" s="24">
        <f t="shared" si="9"/>
        <v>150</v>
      </c>
      <c r="DV39" s="24">
        <f t="shared" si="10"/>
        <v>20</v>
      </c>
      <c r="DW39" s="24"/>
      <c r="DX39" s="24"/>
      <c r="DY39" s="24"/>
      <c r="DZ39" s="24"/>
      <c r="EA39" s="24"/>
      <c r="EC39" s="21" t="s">
        <v>313</v>
      </c>
      <c r="ED39" s="22">
        <f>VLOOKUP($EE25,$EB27:$EK35,3,TRUE)</f>
        <v>2.072</v>
      </c>
      <c r="EE39" s="22">
        <f>VLOOKUP($EE25,$EB27:$EK35,4,TRUE)</f>
        <v>1.63</v>
      </c>
      <c r="EF39" s="22">
        <f>VLOOKUP($EE25,$EB27:$EK35,5,TRUE)</f>
        <v>11.6</v>
      </c>
      <c r="EG39" s="22">
        <f>VLOOKUP($EE25,$EB27:$EK35,6,TRUE)</f>
        <v>2.56</v>
      </c>
      <c r="EH39" s="22">
        <f>VLOOKUP($EE25,$EB27:$EK35,7,TRUE)</f>
        <v>3.88</v>
      </c>
      <c r="EI39" s="22">
        <f>VLOOKUP($EE25,$EB27:$EK35,8,TRUE)</f>
        <v>1.32</v>
      </c>
      <c r="EJ39" s="22">
        <f>VLOOKUP($EE25,$EB27:$EK35,9,TRUE)</f>
        <v>2.37</v>
      </c>
      <c r="EK39" s="22">
        <f>VLOOKUP($EE25,$EB27:$EK35,10,TRUE)</f>
        <v>1.11</v>
      </c>
      <c r="EL39" s="22">
        <f>VLOOKUP($EE25,$EB27:$ER35,11,TRUE)</f>
        <v>60</v>
      </c>
      <c r="EM39" s="22">
        <f>VLOOKUP($EE25,$EB27:$ER35,12,TRUE)</f>
        <v>30</v>
      </c>
      <c r="EN39" s="22">
        <f>VLOOKUP($EE25,$EB27:$ER35,13,TRUE)</f>
        <v>10</v>
      </c>
      <c r="EO39" s="22">
        <f>VLOOKUP($EE25,$EB27:$ER35,14,TRUE)</f>
        <v>1.6</v>
      </c>
      <c r="EP39" s="187">
        <f>VLOOKUP($EE25,$EB27:$ER35,15,TRUE)</f>
        <v>0</v>
      </c>
      <c r="EQ39" s="22">
        <f>VLOOKUP($EE25,$EB27:$ER35,16,TRUE)</f>
        <v>0</v>
      </c>
      <c r="ER39" s="22">
        <f>VLOOKUP($EE25,$EB27:$ER35,17,TRUE)</f>
        <v>0</v>
      </c>
    </row>
    <row r="40" spans="3:131" ht="15" thickBot="1">
      <c r="C40" s="160" t="str">
        <f>"WF-"&amp;D$38&amp;"x"&amp;E40&amp;"x"&amp;F40&amp;" mm."</f>
        <v>WF-350X350x16x16 mm.</v>
      </c>
      <c r="D40" s="482"/>
      <c r="E40" s="173">
        <v>16</v>
      </c>
      <c r="F40" s="167">
        <v>16</v>
      </c>
      <c r="G40" s="217">
        <v>20</v>
      </c>
      <c r="H40" s="227">
        <v>166.6</v>
      </c>
      <c r="I40" s="24">
        <v>131</v>
      </c>
      <c r="J40" s="248">
        <v>35300</v>
      </c>
      <c r="K40" s="249">
        <v>11800</v>
      </c>
      <c r="L40" s="179">
        <v>14.6</v>
      </c>
      <c r="M40" s="196">
        <v>8.43</v>
      </c>
      <c r="N40" s="179">
        <v>2050</v>
      </c>
      <c r="O40" s="196">
        <v>669</v>
      </c>
      <c r="P40" s="22">
        <v>344</v>
      </c>
      <c r="Q40" s="22">
        <v>354</v>
      </c>
      <c r="AJ40" s="160" t="str">
        <f>"2[]-"&amp;AK$17&amp;"x"&amp;AL40&amp;"x"&amp;AM40&amp;" mm."</f>
        <v>2[]-300x90x12x16 mm.</v>
      </c>
      <c r="AK40" s="483"/>
      <c r="AL40" s="169">
        <v>12</v>
      </c>
      <c r="AM40" s="169">
        <v>16</v>
      </c>
      <c r="AN40" s="169">
        <v>19</v>
      </c>
      <c r="AO40" s="290">
        <v>9.5</v>
      </c>
      <c r="AP40" s="272">
        <f t="shared" si="15"/>
        <v>123.8</v>
      </c>
      <c r="AQ40" s="203">
        <f t="shared" si="15"/>
        <v>97.2</v>
      </c>
      <c r="AR40" s="170">
        <v>0</v>
      </c>
      <c r="AS40" s="290">
        <v>1.28</v>
      </c>
      <c r="AT40" s="272">
        <f t="shared" si="16"/>
        <v>15740</v>
      </c>
      <c r="AU40" s="203">
        <f t="shared" si="16"/>
        <v>758</v>
      </c>
      <c r="AV40" s="170">
        <v>2.92</v>
      </c>
      <c r="AW40" s="203">
        <v>1.17</v>
      </c>
      <c r="AX40" s="170">
        <f t="shared" si="17"/>
        <v>1050</v>
      </c>
      <c r="AY40" s="203">
        <f t="shared" si="17"/>
        <v>112.8</v>
      </c>
      <c r="AZ40" s="22">
        <v>88</v>
      </c>
      <c r="BA40" s="22">
        <f t="shared" si="18"/>
        <v>180</v>
      </c>
      <c r="BE40" s="22"/>
      <c r="BF40" s="22"/>
      <c r="BG40" s="22"/>
      <c r="BH40" s="22"/>
      <c r="BI40" s="22"/>
      <c r="BJ40" s="22"/>
      <c r="BK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D40" s="21" t="str">
        <f>"Pipe-D"&amp;CF$37&amp;"x"&amp;CG40&amp;" mm."</f>
        <v>Pipe-D216.3x8.2 mm.</v>
      </c>
      <c r="CE40" s="519"/>
      <c r="CF40" s="533"/>
      <c r="CG40" s="242">
        <v>8.2</v>
      </c>
      <c r="CH40" s="285">
        <v>42.1</v>
      </c>
      <c r="CI40" s="242">
        <v>53.61</v>
      </c>
      <c r="CJ40" s="285">
        <v>2910</v>
      </c>
      <c r="CK40" s="285">
        <v>269</v>
      </c>
      <c r="CL40" s="279">
        <v>7.36</v>
      </c>
      <c r="CM40" s="21">
        <v>216.3</v>
      </c>
      <c r="CO40" s="21" t="str">
        <f>"[-"&amp;CP$38&amp;"x"&amp;CQ40&amp;" mm."</f>
        <v>[-150x75x20x4.5 mm.</v>
      </c>
      <c r="CP40" s="483"/>
      <c r="CQ40" s="290">
        <v>4.5</v>
      </c>
      <c r="CR40" s="284">
        <v>13.97</v>
      </c>
      <c r="CS40" s="28">
        <v>11</v>
      </c>
      <c r="CT40" s="272">
        <v>0</v>
      </c>
      <c r="CU40" s="203">
        <v>2.5</v>
      </c>
      <c r="CV40" s="170">
        <v>489</v>
      </c>
      <c r="CW40" s="290">
        <v>99.2</v>
      </c>
      <c r="CX40" s="272">
        <v>5.92</v>
      </c>
      <c r="CY40" s="203">
        <v>2.66</v>
      </c>
      <c r="CZ40" s="170">
        <v>65.2</v>
      </c>
      <c r="DA40" s="203">
        <v>19.8</v>
      </c>
      <c r="DB40" s="24">
        <v>150</v>
      </c>
      <c r="DC40" s="24">
        <v>75</v>
      </c>
      <c r="DD40" s="24">
        <v>20</v>
      </c>
      <c r="DE40" s="24"/>
      <c r="DF40" s="24"/>
      <c r="DG40" s="21" t="str">
        <f>"2[]-"&amp;DH$38&amp;"x"&amp;DI40&amp;" mm."</f>
        <v>2[]-150x75x20x4.5 mm.</v>
      </c>
      <c r="DH40" s="483"/>
      <c r="DI40" s="290">
        <v>4.5</v>
      </c>
      <c r="DJ40" s="284">
        <f t="shared" si="2"/>
        <v>27.94</v>
      </c>
      <c r="DK40" s="28">
        <f t="shared" si="3"/>
        <v>22</v>
      </c>
      <c r="DL40" s="272">
        <v>0</v>
      </c>
      <c r="DM40" s="203">
        <v>1.06</v>
      </c>
      <c r="DN40" s="170">
        <f t="shared" si="4"/>
        <v>978</v>
      </c>
      <c r="DO40" s="290">
        <f t="shared" si="5"/>
        <v>198.4</v>
      </c>
      <c r="DP40" s="272">
        <v>2.37</v>
      </c>
      <c r="DQ40" s="203">
        <v>1.11</v>
      </c>
      <c r="DR40" s="170">
        <f t="shared" si="6"/>
        <v>130.4</v>
      </c>
      <c r="DS40" s="203">
        <f t="shared" si="7"/>
        <v>39.6</v>
      </c>
      <c r="DT40" s="24">
        <f t="shared" si="8"/>
        <v>150</v>
      </c>
      <c r="DU40" s="24">
        <f t="shared" si="9"/>
        <v>150</v>
      </c>
      <c r="DV40" s="24">
        <f t="shared" si="10"/>
        <v>20</v>
      </c>
      <c r="DW40" s="24"/>
      <c r="DX40" s="24"/>
      <c r="DY40" s="24"/>
      <c r="DZ40" s="24"/>
      <c r="EA40" s="24"/>
    </row>
    <row r="41" spans="3:131" ht="14.25">
      <c r="C41" s="160" t="str">
        <f>"WF-"&amp;D$38&amp;"x"&amp;E41&amp;"x"&amp;F41&amp;" mm."</f>
        <v>WF-350X350x12x19 mm.</v>
      </c>
      <c r="D41" s="482"/>
      <c r="E41" s="173">
        <v>12</v>
      </c>
      <c r="F41" s="167">
        <v>19</v>
      </c>
      <c r="G41" s="217">
        <v>20</v>
      </c>
      <c r="H41" s="227">
        <v>173.9</v>
      </c>
      <c r="I41" s="24">
        <v>137</v>
      </c>
      <c r="J41" s="248">
        <v>40300</v>
      </c>
      <c r="K41" s="249">
        <v>13600</v>
      </c>
      <c r="L41" s="179">
        <v>15.2</v>
      </c>
      <c r="M41" s="196">
        <v>8.84</v>
      </c>
      <c r="N41" s="179">
        <v>2300</v>
      </c>
      <c r="O41" s="196">
        <v>776</v>
      </c>
      <c r="P41" s="22">
        <v>350</v>
      </c>
      <c r="Q41" s="22">
        <v>350</v>
      </c>
      <c r="AJ41" s="160" t="str">
        <f>"2[]-"&amp;AK$20&amp;"x"&amp;AL41&amp;"x"&amp;AM41&amp;" mm."</f>
        <v>2[]-380x100x10.5x16 mm.</v>
      </c>
      <c r="AK41" s="482" t="s">
        <v>197</v>
      </c>
      <c r="AL41" s="167">
        <v>10.5</v>
      </c>
      <c r="AM41" s="167">
        <v>16</v>
      </c>
      <c r="AN41" s="167">
        <v>18</v>
      </c>
      <c r="AO41" s="178">
        <v>9</v>
      </c>
      <c r="AP41" s="287">
        <f t="shared" si="15"/>
        <v>138.78</v>
      </c>
      <c r="AQ41" s="202">
        <f t="shared" si="15"/>
        <v>109</v>
      </c>
      <c r="AR41" s="166">
        <v>0</v>
      </c>
      <c r="AS41" s="174">
        <v>1.28</v>
      </c>
      <c r="AT41" s="287">
        <f t="shared" si="16"/>
        <v>29000</v>
      </c>
      <c r="AU41" s="202">
        <f t="shared" si="16"/>
        <v>1070</v>
      </c>
      <c r="AV41" s="166">
        <v>2.92</v>
      </c>
      <c r="AW41" s="202">
        <v>1.17</v>
      </c>
      <c r="AX41" s="166">
        <f t="shared" si="17"/>
        <v>1526</v>
      </c>
      <c r="AY41" s="202">
        <f t="shared" si="17"/>
        <v>141</v>
      </c>
      <c r="AZ41" s="22">
        <v>89</v>
      </c>
      <c r="BA41" s="22">
        <f t="shared" si="18"/>
        <v>200</v>
      </c>
      <c r="BE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E41" s="190"/>
      <c r="CF41" s="190"/>
      <c r="CO41" s="21" t="str">
        <f>"[-"&amp;CP$41&amp;"x"&amp;CQ41&amp;" mm."</f>
        <v>[-150x75x25x3.2 mm.</v>
      </c>
      <c r="CP41" s="481" t="s">
        <v>302</v>
      </c>
      <c r="CQ41" s="178">
        <v>3.2</v>
      </c>
      <c r="CR41" s="212">
        <v>10.53</v>
      </c>
      <c r="CS41" s="24">
        <v>8.27</v>
      </c>
      <c r="CT41" s="195">
        <v>0</v>
      </c>
      <c r="CU41" s="196">
        <v>2.66</v>
      </c>
      <c r="CV41" s="179">
        <v>375</v>
      </c>
      <c r="CW41" s="178">
        <v>83.6</v>
      </c>
      <c r="CX41" s="195">
        <v>5.97</v>
      </c>
      <c r="CY41" s="196">
        <v>2.82</v>
      </c>
      <c r="CZ41" s="179">
        <v>50</v>
      </c>
      <c r="DA41" s="196">
        <v>17.3</v>
      </c>
      <c r="DB41" s="24">
        <v>150</v>
      </c>
      <c r="DC41" s="24">
        <v>75</v>
      </c>
      <c r="DD41" s="24">
        <v>25</v>
      </c>
      <c r="DE41" s="24"/>
      <c r="DF41" s="24"/>
      <c r="DG41" s="21" t="str">
        <f>"2[]-"&amp;DH$41&amp;"x"&amp;DI41&amp;" mm."</f>
        <v>2[]-150x75x25x3.2 mm.</v>
      </c>
      <c r="DH41" s="481" t="s">
        <v>302</v>
      </c>
      <c r="DI41" s="178">
        <v>3.2</v>
      </c>
      <c r="DJ41" s="210">
        <f t="shared" si="2"/>
        <v>21.06</v>
      </c>
      <c r="DK41" s="158">
        <f t="shared" si="3"/>
        <v>16.54</v>
      </c>
      <c r="DL41" s="287">
        <v>0</v>
      </c>
      <c r="DM41" s="202">
        <v>1.06</v>
      </c>
      <c r="DN41" s="166">
        <f t="shared" si="4"/>
        <v>750</v>
      </c>
      <c r="DO41" s="174">
        <f t="shared" si="5"/>
        <v>167.2</v>
      </c>
      <c r="DP41" s="287">
        <v>2.37</v>
      </c>
      <c r="DQ41" s="202">
        <v>1.11</v>
      </c>
      <c r="DR41" s="166">
        <f t="shared" si="6"/>
        <v>100</v>
      </c>
      <c r="DS41" s="202">
        <f t="shared" si="7"/>
        <v>34.6</v>
      </c>
      <c r="DT41" s="24">
        <f t="shared" si="8"/>
        <v>150</v>
      </c>
      <c r="DU41" s="24">
        <f t="shared" si="9"/>
        <v>150</v>
      </c>
      <c r="DV41" s="24">
        <f t="shared" si="10"/>
        <v>25</v>
      </c>
      <c r="DW41" s="24"/>
      <c r="DX41" s="24"/>
      <c r="DY41" s="24"/>
      <c r="DZ41" s="24"/>
      <c r="EA41" s="24"/>
    </row>
    <row r="42" spans="3:135" ht="14.25">
      <c r="C42" s="160" t="str">
        <f>"WF-"&amp;D$38&amp;"x"&amp;E42&amp;"x"&amp;F42&amp;" mm."</f>
        <v>WF-350X350x19x19 mm.</v>
      </c>
      <c r="D42" s="482"/>
      <c r="E42" s="173">
        <v>19</v>
      </c>
      <c r="F42" s="167">
        <v>19</v>
      </c>
      <c r="G42" s="217">
        <v>20</v>
      </c>
      <c r="H42" s="227">
        <v>198.4</v>
      </c>
      <c r="I42" s="24">
        <v>156</v>
      </c>
      <c r="J42" s="248">
        <v>42800</v>
      </c>
      <c r="K42" s="249">
        <v>11400</v>
      </c>
      <c r="L42" s="179">
        <v>14.7</v>
      </c>
      <c r="M42" s="196">
        <v>8.53</v>
      </c>
      <c r="N42" s="179">
        <v>2450</v>
      </c>
      <c r="O42" s="196">
        <v>809</v>
      </c>
      <c r="P42" s="22">
        <v>350</v>
      </c>
      <c r="Q42" s="22">
        <v>357</v>
      </c>
      <c r="AJ42" s="160" t="str">
        <f>"2[]-"&amp;AK$20&amp;"x"&amp;AL42&amp;"x"&amp;AM42&amp;" mm."</f>
        <v>2[]-380x100x13x16.5 mm.</v>
      </c>
      <c r="AK42" s="482"/>
      <c r="AL42" s="167">
        <v>13</v>
      </c>
      <c r="AM42" s="167">
        <v>16.5</v>
      </c>
      <c r="AN42" s="167">
        <v>18</v>
      </c>
      <c r="AO42" s="178">
        <v>9</v>
      </c>
      <c r="AP42" s="195">
        <f t="shared" si="15"/>
        <v>157.92</v>
      </c>
      <c r="AQ42" s="196">
        <f t="shared" si="15"/>
        <v>124</v>
      </c>
      <c r="AR42" s="179">
        <v>0</v>
      </c>
      <c r="AS42" s="178">
        <v>1.28</v>
      </c>
      <c r="AT42" s="195">
        <f t="shared" si="16"/>
        <v>31200</v>
      </c>
      <c r="AU42" s="196">
        <f t="shared" si="16"/>
        <v>1130</v>
      </c>
      <c r="AV42" s="179">
        <v>2.92</v>
      </c>
      <c r="AW42" s="196">
        <v>1.17</v>
      </c>
      <c r="AX42" s="179">
        <f t="shared" si="17"/>
        <v>1646</v>
      </c>
      <c r="AY42" s="196">
        <f t="shared" si="17"/>
        <v>147.2</v>
      </c>
      <c r="AZ42" s="22">
        <v>90</v>
      </c>
      <c r="BA42" s="22">
        <f t="shared" si="18"/>
        <v>200</v>
      </c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O42" s="21" t="str">
        <f>"[-"&amp;CP$41&amp;"x"&amp;CQ42&amp;" mm."</f>
        <v>[-150x75x25x4 mm.</v>
      </c>
      <c r="CP42" s="482"/>
      <c r="CQ42" s="178">
        <v>4</v>
      </c>
      <c r="CR42" s="212">
        <v>12.95</v>
      </c>
      <c r="CS42" s="24">
        <v>10.2</v>
      </c>
      <c r="CT42" s="195">
        <v>0</v>
      </c>
      <c r="CU42" s="196">
        <v>2.65</v>
      </c>
      <c r="CV42" s="179">
        <v>455</v>
      </c>
      <c r="CW42" s="178">
        <v>99.8</v>
      </c>
      <c r="CX42" s="195">
        <v>5.93</v>
      </c>
      <c r="CY42" s="196">
        <v>2.78</v>
      </c>
      <c r="CZ42" s="179">
        <v>60.6</v>
      </c>
      <c r="DA42" s="196">
        <v>20.6</v>
      </c>
      <c r="DB42" s="24">
        <v>150</v>
      </c>
      <c r="DC42" s="24">
        <v>75</v>
      </c>
      <c r="DD42" s="24">
        <v>25</v>
      </c>
      <c r="DE42" s="24"/>
      <c r="DF42" s="24"/>
      <c r="DG42" s="21" t="str">
        <f>"2[]-"&amp;DH$41&amp;"x"&amp;DI42&amp;" mm."</f>
        <v>2[]-150x75x25x4 mm.</v>
      </c>
      <c r="DH42" s="482"/>
      <c r="DI42" s="178">
        <v>4</v>
      </c>
      <c r="DJ42" s="212">
        <f t="shared" si="2"/>
        <v>25.9</v>
      </c>
      <c r="DK42" s="24">
        <f t="shared" si="3"/>
        <v>20.4</v>
      </c>
      <c r="DL42" s="195">
        <v>0</v>
      </c>
      <c r="DM42" s="196">
        <v>1.06</v>
      </c>
      <c r="DN42" s="179">
        <f t="shared" si="4"/>
        <v>910</v>
      </c>
      <c r="DO42" s="178">
        <f t="shared" si="5"/>
        <v>199.6</v>
      </c>
      <c r="DP42" s="195">
        <v>2.37</v>
      </c>
      <c r="DQ42" s="196">
        <v>1.11</v>
      </c>
      <c r="DR42" s="179">
        <f t="shared" si="6"/>
        <v>121.2</v>
      </c>
      <c r="DS42" s="196">
        <f t="shared" si="7"/>
        <v>41.2</v>
      </c>
      <c r="DT42" s="24">
        <f t="shared" si="8"/>
        <v>150</v>
      </c>
      <c r="DU42" s="24">
        <f t="shared" si="9"/>
        <v>150</v>
      </c>
      <c r="DV42" s="24">
        <f t="shared" si="10"/>
        <v>25</v>
      </c>
      <c r="DW42" s="24"/>
      <c r="DX42" s="24"/>
      <c r="DY42" s="24"/>
      <c r="DZ42" s="24"/>
      <c r="EA42" s="24"/>
      <c r="ED42" s="21" t="str">
        <f>Rafter1!CW19</f>
        <v>[-100x50x20x2.3 mm.</v>
      </c>
      <c r="EE42" s="21">
        <f>Rafter1!CU7</f>
        <v>7</v>
      </c>
    </row>
    <row r="43" spans="3:148" ht="15" thickBot="1">
      <c r="C43" s="160" t="str">
        <f>"WF-"&amp;D$43&amp;"x"&amp;E43&amp;"x"&amp;F43&amp;" mm."</f>
        <v>WF-400X200x7x11 mm.</v>
      </c>
      <c r="D43" s="481" t="s">
        <v>159</v>
      </c>
      <c r="E43" s="189">
        <v>7</v>
      </c>
      <c r="F43" s="165">
        <v>11</v>
      </c>
      <c r="G43" s="224">
        <v>16</v>
      </c>
      <c r="H43" s="232">
        <v>72.16</v>
      </c>
      <c r="I43" s="158">
        <v>55.6</v>
      </c>
      <c r="J43" s="264">
        <v>20000</v>
      </c>
      <c r="K43" s="265">
        <v>1450</v>
      </c>
      <c r="L43" s="166">
        <v>16.7</v>
      </c>
      <c r="M43" s="202">
        <v>4.48</v>
      </c>
      <c r="N43" s="166">
        <v>1010</v>
      </c>
      <c r="O43" s="202">
        <v>145</v>
      </c>
      <c r="P43" s="22">
        <v>396</v>
      </c>
      <c r="Q43" s="22">
        <v>199</v>
      </c>
      <c r="AJ43" s="160" t="str">
        <f>"2[]-"&amp;AK$20&amp;"x"&amp;AL43&amp;"x"&amp;AM43&amp;" mm."</f>
        <v>2[]-380x100x13x20 mm.</v>
      </c>
      <c r="AK43" s="497"/>
      <c r="AL43" s="206">
        <v>13</v>
      </c>
      <c r="AM43" s="206">
        <v>20</v>
      </c>
      <c r="AN43" s="206">
        <v>24</v>
      </c>
      <c r="AO43" s="291">
        <v>12</v>
      </c>
      <c r="AP43" s="204">
        <f t="shared" si="15"/>
        <v>171.42</v>
      </c>
      <c r="AQ43" s="207">
        <f t="shared" si="15"/>
        <v>134.6</v>
      </c>
      <c r="AR43" s="226">
        <v>0</v>
      </c>
      <c r="AS43" s="291">
        <v>1.28</v>
      </c>
      <c r="AT43" s="204">
        <f t="shared" si="16"/>
        <v>35200</v>
      </c>
      <c r="AU43" s="207">
        <f t="shared" si="16"/>
        <v>1310</v>
      </c>
      <c r="AV43" s="226">
        <v>2.92</v>
      </c>
      <c r="AW43" s="207">
        <v>1.17</v>
      </c>
      <c r="AX43" s="226">
        <f t="shared" si="17"/>
        <v>1852</v>
      </c>
      <c r="AY43" s="207">
        <f t="shared" si="17"/>
        <v>175.6</v>
      </c>
      <c r="AZ43" s="22">
        <v>91</v>
      </c>
      <c r="BA43" s="22">
        <f t="shared" si="18"/>
        <v>200</v>
      </c>
      <c r="CO43" s="21" t="str">
        <f>"[-"&amp;CP$41&amp;"x"&amp;CQ43&amp;" mm."</f>
        <v>[-150x75x25x4.5 mm.</v>
      </c>
      <c r="CP43" s="483"/>
      <c r="CQ43" s="290">
        <v>4.5</v>
      </c>
      <c r="CR43" s="284">
        <v>14.45</v>
      </c>
      <c r="CS43" s="28">
        <v>11.3</v>
      </c>
      <c r="CT43" s="272">
        <v>0</v>
      </c>
      <c r="CU43" s="203">
        <v>2.65</v>
      </c>
      <c r="CV43" s="170">
        <v>501</v>
      </c>
      <c r="CW43" s="290">
        <v>109</v>
      </c>
      <c r="CX43" s="272">
        <v>5.9</v>
      </c>
      <c r="CY43" s="203">
        <v>2.75</v>
      </c>
      <c r="CZ43" s="170">
        <v>66.9</v>
      </c>
      <c r="DA43" s="203">
        <v>22.5</v>
      </c>
      <c r="DB43" s="24">
        <v>150</v>
      </c>
      <c r="DC43" s="24">
        <v>75</v>
      </c>
      <c r="DD43" s="24">
        <v>25</v>
      </c>
      <c r="DE43" s="24"/>
      <c r="DF43" s="24"/>
      <c r="DG43" s="21" t="str">
        <f>"2[]-"&amp;DH$41&amp;"x"&amp;DI43&amp;" mm."</f>
        <v>2[]-150x75x25x4.5 mm.</v>
      </c>
      <c r="DH43" s="483"/>
      <c r="DI43" s="290">
        <v>4.5</v>
      </c>
      <c r="DJ43" s="284">
        <f t="shared" si="2"/>
        <v>28.9</v>
      </c>
      <c r="DK43" s="28">
        <f t="shared" si="3"/>
        <v>22.6</v>
      </c>
      <c r="DL43" s="272">
        <v>0</v>
      </c>
      <c r="DM43" s="203">
        <v>1.06</v>
      </c>
      <c r="DN43" s="170">
        <f t="shared" si="4"/>
        <v>1002</v>
      </c>
      <c r="DO43" s="290">
        <f t="shared" si="5"/>
        <v>218</v>
      </c>
      <c r="DP43" s="272">
        <v>2.37</v>
      </c>
      <c r="DQ43" s="203">
        <v>1.11</v>
      </c>
      <c r="DR43" s="170">
        <f t="shared" si="6"/>
        <v>133.8</v>
      </c>
      <c r="DS43" s="203">
        <f t="shared" si="7"/>
        <v>45</v>
      </c>
      <c r="DT43" s="24">
        <f t="shared" si="8"/>
        <v>150</v>
      </c>
      <c r="DU43" s="24">
        <f t="shared" si="9"/>
        <v>150</v>
      </c>
      <c r="DV43" s="24">
        <f t="shared" si="10"/>
        <v>25</v>
      </c>
      <c r="DW43" s="24"/>
      <c r="DX43" s="24"/>
      <c r="DY43" s="24"/>
      <c r="DZ43" s="24"/>
      <c r="EA43" s="24"/>
      <c r="ED43" s="22" t="s">
        <v>263</v>
      </c>
      <c r="EE43" s="22" t="s">
        <v>142</v>
      </c>
      <c r="EF43" s="22" t="s">
        <v>87</v>
      </c>
      <c r="EG43" s="22" t="s">
        <v>88</v>
      </c>
      <c r="EH43" s="22" t="s">
        <v>89</v>
      </c>
      <c r="EI43" s="22" t="s">
        <v>90</v>
      </c>
      <c r="EJ43" s="22" t="s">
        <v>229</v>
      </c>
      <c r="EK43" s="22" t="s">
        <v>230</v>
      </c>
      <c r="EL43" s="22" t="s">
        <v>324</v>
      </c>
      <c r="EM43" s="22" t="s">
        <v>323</v>
      </c>
      <c r="EN43" s="22" t="s">
        <v>325</v>
      </c>
      <c r="EO43" s="22" t="s">
        <v>137</v>
      </c>
      <c r="EP43" s="22" t="s">
        <v>138</v>
      </c>
      <c r="EQ43" s="22" t="s">
        <v>172</v>
      </c>
      <c r="ER43" s="22" t="s">
        <v>173</v>
      </c>
    </row>
    <row r="44" spans="3:148" ht="14.25">
      <c r="C44" s="160" t="str">
        <f>"WF-"&amp;D$43&amp;"x"&amp;E44&amp;"x"&amp;F44&amp;" mm."</f>
        <v>WF-400X200x8x13 mm.</v>
      </c>
      <c r="D44" s="482"/>
      <c r="E44" s="173">
        <v>8</v>
      </c>
      <c r="F44" s="167">
        <v>13</v>
      </c>
      <c r="G44" s="217">
        <v>16</v>
      </c>
      <c r="H44" s="227">
        <v>84.12</v>
      </c>
      <c r="I44" s="24">
        <v>66</v>
      </c>
      <c r="J44" s="248">
        <v>23700</v>
      </c>
      <c r="K44" s="249">
        <v>1740</v>
      </c>
      <c r="L44" s="179">
        <v>16.8</v>
      </c>
      <c r="M44" s="196">
        <v>4.54</v>
      </c>
      <c r="N44" s="179">
        <v>1190</v>
      </c>
      <c r="O44" s="196">
        <v>174</v>
      </c>
      <c r="P44" s="22">
        <v>400</v>
      </c>
      <c r="Q44" s="22">
        <v>200</v>
      </c>
      <c r="CO44" s="21" t="str">
        <f>"[-"&amp;CP$44&amp;"x"&amp;CQ44&amp;" mm."</f>
        <v>[-200x75x20x3.2 mm.</v>
      </c>
      <c r="CP44" s="481" t="s">
        <v>297</v>
      </c>
      <c r="CQ44" s="178">
        <v>3.2</v>
      </c>
      <c r="CR44" s="212">
        <v>11.81</v>
      </c>
      <c r="CS44" s="24">
        <v>9.27</v>
      </c>
      <c r="CT44" s="195">
        <v>0</v>
      </c>
      <c r="CU44" s="196">
        <v>2.19</v>
      </c>
      <c r="CV44" s="179">
        <v>716</v>
      </c>
      <c r="CW44" s="178">
        <v>84.1</v>
      </c>
      <c r="CX44" s="195">
        <v>7.79</v>
      </c>
      <c r="CY44" s="196">
        <v>2.67</v>
      </c>
      <c r="CZ44" s="179">
        <v>71.6</v>
      </c>
      <c r="DA44" s="196">
        <v>15.8</v>
      </c>
      <c r="DB44" s="24">
        <v>200</v>
      </c>
      <c r="DC44" s="24">
        <v>75</v>
      </c>
      <c r="DD44" s="24">
        <v>20</v>
      </c>
      <c r="DE44" s="24"/>
      <c r="DF44" s="24"/>
      <c r="DG44" s="21" t="str">
        <f>"2[]-"&amp;DH$44&amp;"x"&amp;DI44&amp;" mm."</f>
        <v>2[]-200x75x20x3.2 mm.</v>
      </c>
      <c r="DH44" s="481" t="s">
        <v>297</v>
      </c>
      <c r="DI44" s="178">
        <v>3.2</v>
      </c>
      <c r="DJ44" s="210">
        <f t="shared" si="2"/>
        <v>23.62</v>
      </c>
      <c r="DK44" s="158">
        <f t="shared" si="3"/>
        <v>18.54</v>
      </c>
      <c r="DL44" s="287">
        <v>0</v>
      </c>
      <c r="DM44" s="202">
        <v>1.06</v>
      </c>
      <c r="DN44" s="166">
        <f t="shared" si="4"/>
        <v>1432</v>
      </c>
      <c r="DO44" s="174">
        <f t="shared" si="5"/>
        <v>168.2</v>
      </c>
      <c r="DP44" s="287">
        <v>2.37</v>
      </c>
      <c r="DQ44" s="202">
        <v>1.11</v>
      </c>
      <c r="DR44" s="166">
        <f t="shared" si="6"/>
        <v>143.2</v>
      </c>
      <c r="DS44" s="202">
        <f t="shared" si="7"/>
        <v>31.6</v>
      </c>
      <c r="DT44" s="24">
        <f t="shared" si="8"/>
        <v>200</v>
      </c>
      <c r="DU44" s="24">
        <f t="shared" si="9"/>
        <v>150</v>
      </c>
      <c r="DV44" s="24">
        <f t="shared" si="10"/>
        <v>20</v>
      </c>
      <c r="DW44" s="24"/>
      <c r="DX44" s="24"/>
      <c r="DY44" s="24"/>
      <c r="DZ44" s="24"/>
      <c r="EA44" s="24"/>
      <c r="EB44" s="21">
        <v>1</v>
      </c>
      <c r="EC44" s="21" t="s">
        <v>306</v>
      </c>
      <c r="ED44" s="22" t="e">
        <f>VLOOKUP($ED42,$C$6:$O$77,6,FALSE)</f>
        <v>#N/A</v>
      </c>
      <c r="EE44" s="22" t="e">
        <f>VLOOKUP($ED42,$C$6:$O$77,7,FALSE)</f>
        <v>#N/A</v>
      </c>
      <c r="EF44" s="22" t="e">
        <f>VLOOKUP($ED42,$C$6:$O$77,8,FALSE)</f>
        <v>#N/A</v>
      </c>
      <c r="EG44" s="22" t="e">
        <f>VLOOKUP($ED42,$C$6:$O$77,9,FALSE)</f>
        <v>#N/A</v>
      </c>
      <c r="EH44" s="22" t="e">
        <f>VLOOKUP($ED42,$C$6:$O$77,12,FALSE)</f>
        <v>#N/A</v>
      </c>
      <c r="EI44" s="22" t="e">
        <f>VLOOKUP($ED42,$C$6:$O$77,13,FALSE)</f>
        <v>#N/A</v>
      </c>
      <c r="EJ44" s="22" t="e">
        <f>VLOOKUP($ED42,$C$6:$O$77,10,FALSE)</f>
        <v>#N/A</v>
      </c>
      <c r="EK44" s="22" t="e">
        <f>VLOOKUP($ED42,$C$6:$O$77,11,FALSE)</f>
        <v>#N/A</v>
      </c>
      <c r="EL44" s="22" t="e">
        <f>VLOOKUP($ED42,$C$6:$Q$77,14,FALSE)</f>
        <v>#N/A</v>
      </c>
      <c r="EM44" s="22" t="e">
        <f>VLOOKUP($ED42,$C$6:$Q$77,15,FALSE)</f>
        <v>#N/A</v>
      </c>
      <c r="EN44" s="22"/>
      <c r="EO44" s="22" t="e">
        <f>VLOOKUP($ED42,$C$6:$O$77,3,FALSE)</f>
        <v>#N/A</v>
      </c>
      <c r="EP44" s="22" t="e">
        <f>VLOOKUP($ED42,$C$6:$O$77,4,FALSE)</f>
        <v>#N/A</v>
      </c>
      <c r="EQ44" s="22" t="e">
        <f>VLOOKUP($ED42,$C$6:$O$77,5,FALSE)</f>
        <v>#N/A</v>
      </c>
      <c r="ER44" s="22"/>
    </row>
    <row r="45" spans="3:148" ht="14.25">
      <c r="C45" s="160" t="str">
        <f>"WF-"&amp;D$43&amp;"x"&amp;E45&amp;"x"&amp;F45&amp;" mm."</f>
        <v>WF-400X200x9x15 mm.</v>
      </c>
      <c r="D45" s="483"/>
      <c r="E45" s="185">
        <v>9</v>
      </c>
      <c r="F45" s="169">
        <v>15</v>
      </c>
      <c r="G45" s="222">
        <v>16</v>
      </c>
      <c r="H45" s="230">
        <v>96.16</v>
      </c>
      <c r="I45" s="28">
        <v>75.5</v>
      </c>
      <c r="J45" s="262">
        <v>27500</v>
      </c>
      <c r="K45" s="263">
        <v>2030</v>
      </c>
      <c r="L45" s="170">
        <v>16.9</v>
      </c>
      <c r="M45" s="203">
        <v>4.6</v>
      </c>
      <c r="N45" s="170">
        <v>1360</v>
      </c>
      <c r="O45" s="203">
        <v>202</v>
      </c>
      <c r="P45" s="22">
        <v>404</v>
      </c>
      <c r="Q45" s="22">
        <v>201</v>
      </c>
      <c r="CO45" s="21" t="str">
        <f>"[-"&amp;CP$44&amp;"x"&amp;CQ45&amp;" mm."</f>
        <v>[-200x75x20x4 mm.</v>
      </c>
      <c r="CP45" s="482"/>
      <c r="CQ45" s="178">
        <v>4</v>
      </c>
      <c r="CR45" s="212">
        <v>14.55</v>
      </c>
      <c r="CS45" s="24">
        <v>11.4</v>
      </c>
      <c r="CT45" s="195">
        <v>0</v>
      </c>
      <c r="CU45" s="196">
        <v>2.19</v>
      </c>
      <c r="CV45" s="179">
        <v>871</v>
      </c>
      <c r="CW45" s="178">
        <v>100</v>
      </c>
      <c r="CX45" s="195">
        <v>7.74</v>
      </c>
      <c r="CY45" s="196">
        <v>2.62</v>
      </c>
      <c r="CZ45" s="179">
        <v>87.1</v>
      </c>
      <c r="DA45" s="196">
        <v>18.9</v>
      </c>
      <c r="DB45" s="24">
        <v>200</v>
      </c>
      <c r="DC45" s="24">
        <v>75</v>
      </c>
      <c r="DD45" s="24">
        <v>20</v>
      </c>
      <c r="DE45" s="24"/>
      <c r="DF45" s="24"/>
      <c r="DG45" s="21" t="str">
        <f>"2[]-"&amp;DH$44&amp;"x"&amp;DI45&amp;" mm."</f>
        <v>2[]-200x75x20x4 mm.</v>
      </c>
      <c r="DH45" s="482"/>
      <c r="DI45" s="178">
        <v>4</v>
      </c>
      <c r="DJ45" s="212">
        <f t="shared" si="2"/>
        <v>29.1</v>
      </c>
      <c r="DK45" s="24">
        <f t="shared" si="3"/>
        <v>22.8</v>
      </c>
      <c r="DL45" s="195">
        <v>0</v>
      </c>
      <c r="DM45" s="196">
        <v>1.06</v>
      </c>
      <c r="DN45" s="179">
        <f t="shared" si="4"/>
        <v>1742</v>
      </c>
      <c r="DO45" s="178">
        <f t="shared" si="5"/>
        <v>200</v>
      </c>
      <c r="DP45" s="195">
        <v>2.37</v>
      </c>
      <c r="DQ45" s="196">
        <v>1.11</v>
      </c>
      <c r="DR45" s="179">
        <f t="shared" si="6"/>
        <v>174.2</v>
      </c>
      <c r="DS45" s="196">
        <f t="shared" si="7"/>
        <v>37.8</v>
      </c>
      <c r="DT45" s="24">
        <f t="shared" si="8"/>
        <v>200</v>
      </c>
      <c r="DU45" s="24">
        <f t="shared" si="9"/>
        <v>150</v>
      </c>
      <c r="DV45" s="24">
        <f t="shared" si="10"/>
        <v>20</v>
      </c>
      <c r="DW45" s="24"/>
      <c r="DX45" s="24"/>
      <c r="DY45" s="24"/>
      <c r="DZ45" s="24"/>
      <c r="EA45" s="24"/>
      <c r="EB45" s="21">
        <v>2</v>
      </c>
      <c r="EC45" s="21" t="s">
        <v>307</v>
      </c>
      <c r="ED45" s="22" t="e">
        <f>VLOOKUP($ED42,$S$6:$AF$25,7,FALSE)</f>
        <v>#N/A</v>
      </c>
      <c r="EE45" s="22" t="e">
        <f>VLOOKUP($ED42,$S$6:$AF$25,8,FALSE)</f>
        <v>#N/A</v>
      </c>
      <c r="EF45" s="22" t="e">
        <f>VLOOKUP($ED42,$S$6:$AF$25,9,FALSE)</f>
        <v>#N/A</v>
      </c>
      <c r="EG45" s="22" t="e">
        <f>VLOOKUP($ED42,$S$6:$AF$25,10,FALSE)</f>
        <v>#N/A</v>
      </c>
      <c r="EH45" s="22" t="e">
        <f>VLOOKUP($ED42,$S$6:$AF$25,13,FALSE)</f>
        <v>#N/A</v>
      </c>
      <c r="EI45" s="22" t="e">
        <f>VLOOKUP($ED42,$S$6:$AF$25,14,FALSE)</f>
        <v>#N/A</v>
      </c>
      <c r="EJ45" s="22" t="e">
        <f>VLOOKUP($ED42,$S$6:$AF$25,11,FALSE)</f>
        <v>#N/A</v>
      </c>
      <c r="EK45" s="22" t="e">
        <f>VLOOKUP($ED42,$S$6:$AF$25,12,FALSE)</f>
        <v>#N/A</v>
      </c>
      <c r="EL45" s="22" t="e">
        <f>VLOOKUP($ED42,$S$6:$AH$25,15,FALSE)</f>
        <v>#N/A</v>
      </c>
      <c r="EM45" s="22" t="e">
        <f>VLOOKUP($ED42,$S$6:$AH$25,16,FALSE)</f>
        <v>#N/A</v>
      </c>
      <c r="EN45" s="22"/>
      <c r="EO45" s="22" t="e">
        <f>VLOOKUP($ED42,$S$6:$AH$25,3,FALSE)</f>
        <v>#N/A</v>
      </c>
      <c r="EP45" s="22" t="e">
        <f>VLOOKUP($ED42,$S$6:$AH$25,4,FALSE)</f>
        <v>#N/A</v>
      </c>
      <c r="EQ45" s="22" t="e">
        <f>VLOOKUP($ED42,$S$6:$AH$25,5,FALSE)</f>
        <v>#N/A</v>
      </c>
      <c r="ER45" s="22" t="e">
        <f>VLOOKUP($ED42,$S$6:$AH$25,6,FALSE)</f>
        <v>#N/A</v>
      </c>
    </row>
    <row r="46" spans="3:148" ht="14.25">
      <c r="C46" s="160" t="str">
        <f>"WF-"&amp;D$46&amp;"x"&amp;E46&amp;"x"&amp;F46&amp;" mm."</f>
        <v>WF-400X300x9x14 mm.</v>
      </c>
      <c r="D46" s="482" t="s">
        <v>160</v>
      </c>
      <c r="E46" s="173">
        <v>9</v>
      </c>
      <c r="F46" s="167">
        <v>14</v>
      </c>
      <c r="G46" s="217">
        <v>22</v>
      </c>
      <c r="H46" s="227">
        <v>120.1</v>
      </c>
      <c r="I46" s="24">
        <v>94.3</v>
      </c>
      <c r="J46" s="248">
        <v>33700</v>
      </c>
      <c r="K46" s="249">
        <v>6240</v>
      </c>
      <c r="L46" s="179">
        <v>16.7</v>
      </c>
      <c r="M46" s="196">
        <v>7.21</v>
      </c>
      <c r="N46" s="179">
        <v>1740</v>
      </c>
      <c r="O46" s="196">
        <v>418</v>
      </c>
      <c r="P46" s="22">
        <v>386</v>
      </c>
      <c r="Q46" s="22">
        <v>299</v>
      </c>
      <c r="CO46" s="21" t="str">
        <f>"[-"&amp;CP$44&amp;"x"&amp;CQ46&amp;" mm."</f>
        <v>[-200x75x20x4.5 mm.</v>
      </c>
      <c r="CP46" s="483"/>
      <c r="CQ46" s="290">
        <v>4.5</v>
      </c>
      <c r="CR46" s="284">
        <v>16.22</v>
      </c>
      <c r="CS46" s="28">
        <v>12.7</v>
      </c>
      <c r="CT46" s="272">
        <v>0</v>
      </c>
      <c r="CU46" s="203">
        <v>2.19</v>
      </c>
      <c r="CV46" s="170">
        <v>963</v>
      </c>
      <c r="CW46" s="290">
        <v>109</v>
      </c>
      <c r="CX46" s="272">
        <v>7.71</v>
      </c>
      <c r="CY46" s="203">
        <v>2.6</v>
      </c>
      <c r="CZ46" s="170">
        <v>96.3</v>
      </c>
      <c r="DA46" s="203">
        <v>20.6</v>
      </c>
      <c r="DB46" s="24">
        <v>200</v>
      </c>
      <c r="DC46" s="24">
        <v>75</v>
      </c>
      <c r="DD46" s="24">
        <v>20</v>
      </c>
      <c r="DE46" s="24"/>
      <c r="DF46" s="24"/>
      <c r="DG46" s="21" t="str">
        <f>"2[]-"&amp;DH$44&amp;"x"&amp;DI46&amp;" mm."</f>
        <v>2[]-200x75x20x4.5 mm.</v>
      </c>
      <c r="DH46" s="483"/>
      <c r="DI46" s="290">
        <v>4.5</v>
      </c>
      <c r="DJ46" s="284">
        <f t="shared" si="2"/>
        <v>32.44</v>
      </c>
      <c r="DK46" s="28">
        <f t="shared" si="3"/>
        <v>25.4</v>
      </c>
      <c r="DL46" s="272">
        <v>0</v>
      </c>
      <c r="DM46" s="203">
        <v>1.06</v>
      </c>
      <c r="DN46" s="170">
        <f t="shared" si="4"/>
        <v>1926</v>
      </c>
      <c r="DO46" s="290">
        <f t="shared" si="5"/>
        <v>218</v>
      </c>
      <c r="DP46" s="272">
        <v>2.37</v>
      </c>
      <c r="DQ46" s="203">
        <v>1.11</v>
      </c>
      <c r="DR46" s="170">
        <f t="shared" si="6"/>
        <v>192.6</v>
      </c>
      <c r="DS46" s="203">
        <f t="shared" si="7"/>
        <v>41.2</v>
      </c>
      <c r="DT46" s="24">
        <f t="shared" si="8"/>
        <v>200</v>
      </c>
      <c r="DU46" s="24">
        <f t="shared" si="9"/>
        <v>150</v>
      </c>
      <c r="DV46" s="24">
        <f t="shared" si="10"/>
        <v>20</v>
      </c>
      <c r="DW46" s="24"/>
      <c r="DX46" s="24"/>
      <c r="DY46" s="24"/>
      <c r="DZ46" s="24"/>
      <c r="EA46" s="24"/>
      <c r="EB46" s="21">
        <v>3</v>
      </c>
      <c r="EC46" s="21" t="s">
        <v>308</v>
      </c>
      <c r="ED46" s="22" t="e">
        <f>VLOOKUP($ED42,$AJ$6:$AY$22,7,FALSE)</f>
        <v>#N/A</v>
      </c>
      <c r="EE46" s="22" t="e">
        <f>VLOOKUP($ED42,$AJ$6:$AY$22,8,FALSE)</f>
        <v>#N/A</v>
      </c>
      <c r="EF46" s="22" t="e">
        <f>VLOOKUP($ED42,$AJ$6:$AY$22,11,FALSE)</f>
        <v>#N/A</v>
      </c>
      <c r="EG46" s="22" t="e">
        <f>VLOOKUP($ED42,$AJ$6:$AY$22,12,FALSE)</f>
        <v>#N/A</v>
      </c>
      <c r="EH46" s="22" t="e">
        <f>VLOOKUP($ED42,$AJ$6:$AY$22,15,FALSE)</f>
        <v>#N/A</v>
      </c>
      <c r="EI46" s="22" t="e">
        <f>VLOOKUP($ED42,$AJ$6:$AY$22,16,FALSE)</f>
        <v>#N/A</v>
      </c>
      <c r="EJ46" s="22" t="e">
        <f>VLOOKUP($ED42,$AJ$6:$AY$22,13,FALSE)</f>
        <v>#N/A</v>
      </c>
      <c r="EK46" s="22" t="e">
        <f>VLOOKUP($ED42,$AJ$6:$AY$22,14,FALSE)</f>
        <v>#N/A</v>
      </c>
      <c r="EL46" s="22" t="e">
        <f>VLOOKUP($ED42,$AJ$6:$BA$22,17,FALSE)</f>
        <v>#N/A</v>
      </c>
      <c r="EM46" s="22" t="e">
        <f>VLOOKUP($ED42,$AJ$6:$BA$22,18,FALSE)</f>
        <v>#N/A</v>
      </c>
      <c r="EN46" s="22"/>
      <c r="EO46" s="22" t="e">
        <f>VLOOKUP($ED42,$AJ$6:$BA$22,3,FALSE)</f>
        <v>#N/A</v>
      </c>
      <c r="EP46" s="22" t="e">
        <f>VLOOKUP($ED42,$AJ$6:$BA$22,4,FALSE)</f>
        <v>#N/A</v>
      </c>
      <c r="EQ46" s="22" t="e">
        <f>VLOOKUP($ED42,$AJ$6:$BA$22,5,FALSE)</f>
        <v>#N/A</v>
      </c>
      <c r="ER46" s="22" t="e">
        <f>VLOOKUP($ED42,$AJ$6:$BA$22,6,FALSE)</f>
        <v>#N/A</v>
      </c>
    </row>
    <row r="47" spans="3:145" ht="14.25">
      <c r="C47" s="160" t="str">
        <f>"WF-"&amp;D$46&amp;"x"&amp;E47&amp;"x"&amp;F47&amp;" mm."</f>
        <v>WF-400X300x10x16 mm.</v>
      </c>
      <c r="D47" s="482"/>
      <c r="E47" s="173">
        <v>10</v>
      </c>
      <c r="F47" s="167">
        <v>16</v>
      </c>
      <c r="G47" s="217">
        <v>22</v>
      </c>
      <c r="H47" s="227">
        <v>136</v>
      </c>
      <c r="I47" s="24">
        <v>107</v>
      </c>
      <c r="J47" s="248">
        <v>38700</v>
      </c>
      <c r="K47" s="249">
        <v>7210</v>
      </c>
      <c r="L47" s="179">
        <v>16.9</v>
      </c>
      <c r="M47" s="196">
        <v>7.28</v>
      </c>
      <c r="N47" s="179">
        <v>1980</v>
      </c>
      <c r="O47" s="196">
        <v>481</v>
      </c>
      <c r="P47" s="22">
        <v>390</v>
      </c>
      <c r="Q47" s="22">
        <v>300</v>
      </c>
      <c r="CO47" s="21" t="str">
        <f>"[-"&amp;CP$47&amp;"x"&amp;CQ47&amp;" mm."</f>
        <v>[-200x75x25x3.2 mm.</v>
      </c>
      <c r="CP47" s="481" t="s">
        <v>303</v>
      </c>
      <c r="CQ47" s="178">
        <v>3.2</v>
      </c>
      <c r="CR47" s="212">
        <v>12.13</v>
      </c>
      <c r="CS47" s="24">
        <v>9.52</v>
      </c>
      <c r="CT47" s="195">
        <v>0</v>
      </c>
      <c r="CU47" s="196">
        <v>2.33</v>
      </c>
      <c r="CV47" s="179">
        <v>736</v>
      </c>
      <c r="CW47" s="178">
        <v>92.3</v>
      </c>
      <c r="CX47" s="195">
        <v>7.7</v>
      </c>
      <c r="CY47" s="196">
        <v>2.76</v>
      </c>
      <c r="CZ47" s="179">
        <v>73.6</v>
      </c>
      <c r="DA47" s="196">
        <v>17.8</v>
      </c>
      <c r="DB47" s="24">
        <v>200</v>
      </c>
      <c r="DC47" s="24">
        <v>75</v>
      </c>
      <c r="DD47" s="24">
        <v>25</v>
      </c>
      <c r="DE47" s="24"/>
      <c r="DF47" s="24"/>
      <c r="DG47" s="21" t="str">
        <f>"2[]-"&amp;DH$47&amp;"x"&amp;DI47&amp;" mm."</f>
        <v>2[]-200x75x25x3.2 mm.</v>
      </c>
      <c r="DH47" s="481" t="s">
        <v>303</v>
      </c>
      <c r="DI47" s="178">
        <v>3.2</v>
      </c>
      <c r="DJ47" s="210">
        <f t="shared" si="2"/>
        <v>24.26</v>
      </c>
      <c r="DK47" s="158">
        <f t="shared" si="3"/>
        <v>19.04</v>
      </c>
      <c r="DL47" s="287">
        <v>0</v>
      </c>
      <c r="DM47" s="202">
        <v>1.06</v>
      </c>
      <c r="DN47" s="166">
        <f t="shared" si="4"/>
        <v>1472</v>
      </c>
      <c r="DO47" s="174">
        <f t="shared" si="5"/>
        <v>184.6</v>
      </c>
      <c r="DP47" s="287">
        <v>2.37</v>
      </c>
      <c r="DQ47" s="202">
        <v>1.11</v>
      </c>
      <c r="DR47" s="166">
        <f t="shared" si="6"/>
        <v>147.2</v>
      </c>
      <c r="DS47" s="202">
        <f t="shared" si="7"/>
        <v>35.6</v>
      </c>
      <c r="DT47" s="24">
        <f t="shared" si="8"/>
        <v>200</v>
      </c>
      <c r="DU47" s="24">
        <f t="shared" si="9"/>
        <v>150</v>
      </c>
      <c r="DV47" s="24">
        <f t="shared" si="10"/>
        <v>25</v>
      </c>
      <c r="DW47" s="24"/>
      <c r="DX47" s="24"/>
      <c r="DY47" s="24"/>
      <c r="DZ47" s="24"/>
      <c r="EA47" s="24"/>
      <c r="EB47" s="21">
        <v>4</v>
      </c>
      <c r="EC47" s="21" t="s">
        <v>311</v>
      </c>
      <c r="ED47" s="22" t="e">
        <f>VLOOKUP($ED42,$BC$6:$BK$37,5,FALSE)</f>
        <v>#N/A</v>
      </c>
      <c r="EE47" s="22" t="e">
        <f>VLOOKUP($ED42,$BC$6:$BK$37,6,FALSE)</f>
        <v>#N/A</v>
      </c>
      <c r="EF47" s="22" t="e">
        <f>VLOOKUP($ED42,$BC$6:$BK$37,7,FALSE)</f>
        <v>#N/A</v>
      </c>
      <c r="EG47" s="22" t="e">
        <f>VLOOKUP($ED42,$BC$6:$BK$37,7,FALSE)</f>
        <v>#N/A</v>
      </c>
      <c r="EH47" s="22" t="e">
        <f>VLOOKUP($ED42,$BC$6:$BK$37,8,FALSE)</f>
        <v>#N/A</v>
      </c>
      <c r="EI47" s="22" t="e">
        <f>VLOOKUP($ED42,$BC$6:$BK$37,8,FALSE)</f>
        <v>#N/A</v>
      </c>
      <c r="EJ47" s="22" t="e">
        <f>VLOOKUP($ED42,$BC$6:$BK$37,9,FALSE)</f>
        <v>#N/A</v>
      </c>
      <c r="EK47" s="22" t="e">
        <f>VLOOKUP($ED42,$BC$6:$BK$37,9,FALSE)</f>
        <v>#N/A</v>
      </c>
      <c r="EL47" s="22" t="e">
        <f>VLOOKUP($ED42,$BC$6:$BL$37,10,FALSE)</f>
        <v>#N/A</v>
      </c>
      <c r="EM47" s="22" t="e">
        <f>VLOOKUP($ED42,$BC$6:$BL$37,10,FALSE)</f>
        <v>#N/A</v>
      </c>
      <c r="EN47" s="22"/>
      <c r="EO47" s="22" t="e">
        <f>VLOOKUP($ED42,$BC$6:$BL$37,4,FALSE)</f>
        <v>#N/A</v>
      </c>
    </row>
    <row r="48" spans="3:145" ht="14.25">
      <c r="C48" s="160" t="str">
        <f aca="true" t="shared" si="19" ref="C48:C53">"WF-"&amp;D$48&amp;"x"&amp;E48&amp;"x"&amp;F48&amp;" mm."</f>
        <v>WF-400X400x15x15 mm.</v>
      </c>
      <c r="D48" s="481" t="s">
        <v>161</v>
      </c>
      <c r="E48" s="189">
        <v>15</v>
      </c>
      <c r="F48" s="165">
        <v>15</v>
      </c>
      <c r="G48" s="224">
        <v>22</v>
      </c>
      <c r="H48" s="232">
        <v>178.5</v>
      </c>
      <c r="I48" s="158">
        <v>140</v>
      </c>
      <c r="J48" s="264">
        <v>49000</v>
      </c>
      <c r="K48" s="265">
        <v>16300</v>
      </c>
      <c r="L48" s="166">
        <v>16.6</v>
      </c>
      <c r="M48" s="202">
        <v>9.54</v>
      </c>
      <c r="N48" s="166">
        <v>2520</v>
      </c>
      <c r="O48" s="202">
        <v>809</v>
      </c>
      <c r="P48" s="22">
        <v>388</v>
      </c>
      <c r="Q48" s="22">
        <v>402</v>
      </c>
      <c r="CO48" s="21" t="str">
        <f>"[-"&amp;CP$47&amp;"x"&amp;CQ48&amp;" mm."</f>
        <v>[-200x75x25x4 mm.</v>
      </c>
      <c r="CP48" s="482"/>
      <c r="CQ48" s="178">
        <v>4</v>
      </c>
      <c r="CR48" s="212">
        <v>14.95</v>
      </c>
      <c r="CS48" s="24">
        <v>11.7</v>
      </c>
      <c r="CT48" s="195">
        <v>0</v>
      </c>
      <c r="CU48" s="196">
        <v>2.32</v>
      </c>
      <c r="CV48" s="179">
        <v>895</v>
      </c>
      <c r="CW48" s="178">
        <v>110</v>
      </c>
      <c r="CX48" s="195">
        <v>7.74</v>
      </c>
      <c r="CY48" s="196">
        <v>2.72</v>
      </c>
      <c r="CZ48" s="179">
        <v>89.5</v>
      </c>
      <c r="DA48" s="196">
        <v>21.3</v>
      </c>
      <c r="DB48" s="24">
        <v>200</v>
      </c>
      <c r="DC48" s="24">
        <v>75</v>
      </c>
      <c r="DD48" s="24">
        <v>25</v>
      </c>
      <c r="DE48" s="24"/>
      <c r="DF48" s="24"/>
      <c r="DG48" s="21" t="str">
        <f>"2[]-"&amp;DH$47&amp;"x"&amp;DI48&amp;" mm."</f>
        <v>2[]-200x75x25x4 mm.</v>
      </c>
      <c r="DH48" s="482"/>
      <c r="DI48" s="178">
        <v>4</v>
      </c>
      <c r="DJ48" s="212">
        <f t="shared" si="2"/>
        <v>29.9</v>
      </c>
      <c r="DK48" s="24">
        <f t="shared" si="3"/>
        <v>23.4</v>
      </c>
      <c r="DL48" s="195">
        <v>0</v>
      </c>
      <c r="DM48" s="196">
        <v>1.06</v>
      </c>
      <c r="DN48" s="179">
        <f t="shared" si="4"/>
        <v>1790</v>
      </c>
      <c r="DO48" s="178">
        <f t="shared" si="5"/>
        <v>220</v>
      </c>
      <c r="DP48" s="195">
        <v>2.37</v>
      </c>
      <c r="DQ48" s="196">
        <v>1.11</v>
      </c>
      <c r="DR48" s="179">
        <f t="shared" si="6"/>
        <v>179</v>
      </c>
      <c r="DS48" s="196">
        <f t="shared" si="7"/>
        <v>42.6</v>
      </c>
      <c r="DT48" s="24">
        <f t="shared" si="8"/>
        <v>200</v>
      </c>
      <c r="DU48" s="24">
        <f t="shared" si="9"/>
        <v>150</v>
      </c>
      <c r="DV48" s="24">
        <f t="shared" si="10"/>
        <v>25</v>
      </c>
      <c r="DW48" s="24"/>
      <c r="DX48" s="24"/>
      <c r="DY48" s="24"/>
      <c r="DZ48" s="24"/>
      <c r="EA48" s="24"/>
      <c r="EB48" s="21">
        <v>5</v>
      </c>
      <c r="EC48" s="21" t="s">
        <v>309</v>
      </c>
      <c r="ED48" s="22" t="e">
        <f>VLOOKUP($ED42,$BO$6:$BZ$31,5,FALSE)</f>
        <v>#N/A</v>
      </c>
      <c r="EE48" s="22" t="e">
        <f>VLOOKUP($ED42,$BO$6:$BZ$31,6,FALSE)</f>
        <v>#N/A</v>
      </c>
      <c r="EF48" s="22" t="e">
        <f>VLOOKUP($ED42,$BO$6:$BZ$31,7,FALSE)</f>
        <v>#N/A</v>
      </c>
      <c r="EG48" s="22" t="e">
        <f>VLOOKUP($ED42,$BO$6:$BZ$31,8,FALSE)</f>
        <v>#N/A</v>
      </c>
      <c r="EH48" s="22" t="e">
        <f>VLOOKUP($ED42,$BO$6:$BZ$31,9,FALSE)</f>
        <v>#N/A</v>
      </c>
      <c r="EI48" s="22" t="e">
        <f>VLOOKUP($ED42,$BO$6:$BZ$31,10,FALSE)</f>
        <v>#N/A</v>
      </c>
      <c r="EJ48" s="22" t="e">
        <f>VLOOKUP($ED42,$BO$6:$BZ$31,11,FALSE)</f>
        <v>#N/A</v>
      </c>
      <c r="EK48" s="22" t="e">
        <f>VLOOKUP($ED42,$BO$6:$BZ$31,12,FALSE)</f>
        <v>#N/A</v>
      </c>
      <c r="EL48" s="22" t="e">
        <f>VLOOKUP($ED42,$BO$6:$CB$31,13,FALSE)</f>
        <v>#N/A</v>
      </c>
      <c r="EM48" s="22" t="e">
        <f>VLOOKUP($ED42,$BO$6:$CB$31,14,FALSE)</f>
        <v>#N/A</v>
      </c>
      <c r="EN48" s="22"/>
      <c r="EO48" s="22" t="e">
        <f>VLOOKUP($ED42,$BO$6:$CB$31,4,FALSE)</f>
        <v>#N/A</v>
      </c>
    </row>
    <row r="49" spans="3:146" ht="14.25">
      <c r="C49" s="160" t="str">
        <f t="shared" si="19"/>
        <v>WF-400X400x11x18 mm.</v>
      </c>
      <c r="D49" s="482"/>
      <c r="E49" s="173">
        <v>11</v>
      </c>
      <c r="F49" s="167">
        <v>18</v>
      </c>
      <c r="G49" s="217">
        <v>22</v>
      </c>
      <c r="H49" s="227">
        <v>186.8</v>
      </c>
      <c r="I49" s="24">
        <v>147</v>
      </c>
      <c r="J49" s="248">
        <v>56100</v>
      </c>
      <c r="K49" s="249">
        <v>18900</v>
      </c>
      <c r="L49" s="179">
        <v>17.3</v>
      </c>
      <c r="M49" s="196">
        <v>10.1</v>
      </c>
      <c r="N49" s="179">
        <v>2850</v>
      </c>
      <c r="O49" s="196">
        <v>951</v>
      </c>
      <c r="P49" s="22">
        <v>394</v>
      </c>
      <c r="Q49" s="22">
        <v>398</v>
      </c>
      <c r="CO49" s="21" t="str">
        <f>"[-"&amp;CP$47&amp;"x"&amp;CQ49&amp;" mm."</f>
        <v>[-200x75x25x4.5 mm.</v>
      </c>
      <c r="CP49" s="483"/>
      <c r="CQ49" s="178">
        <v>4.5</v>
      </c>
      <c r="CR49" s="212">
        <v>16.67</v>
      </c>
      <c r="CS49" s="24">
        <v>13.1</v>
      </c>
      <c r="CT49" s="195">
        <v>0</v>
      </c>
      <c r="CU49" s="196">
        <v>2.32</v>
      </c>
      <c r="CV49" s="179">
        <v>990</v>
      </c>
      <c r="CW49" s="178">
        <v>121</v>
      </c>
      <c r="CX49" s="195">
        <v>7.61</v>
      </c>
      <c r="CY49" s="196">
        <v>2.69</v>
      </c>
      <c r="CZ49" s="179">
        <v>99</v>
      </c>
      <c r="DA49" s="196">
        <v>23.3</v>
      </c>
      <c r="DB49" s="24">
        <v>200</v>
      </c>
      <c r="DC49" s="24">
        <v>75</v>
      </c>
      <c r="DD49" s="24">
        <v>25</v>
      </c>
      <c r="DE49" s="24"/>
      <c r="DF49" s="24"/>
      <c r="DG49" s="21" t="str">
        <f>"2[]-"&amp;DH$47&amp;"x"&amp;DI49&amp;" mm."</f>
        <v>2[]-200x75x25x4.5 mm.</v>
      </c>
      <c r="DH49" s="483"/>
      <c r="DI49" s="178">
        <v>4.5</v>
      </c>
      <c r="DJ49" s="284">
        <f t="shared" si="2"/>
        <v>33.34</v>
      </c>
      <c r="DK49" s="28">
        <f t="shared" si="3"/>
        <v>26.2</v>
      </c>
      <c r="DL49" s="272">
        <v>0</v>
      </c>
      <c r="DM49" s="203">
        <v>1.06</v>
      </c>
      <c r="DN49" s="170">
        <f t="shared" si="4"/>
        <v>1980</v>
      </c>
      <c r="DO49" s="290">
        <f t="shared" si="5"/>
        <v>242</v>
      </c>
      <c r="DP49" s="272">
        <v>2.37</v>
      </c>
      <c r="DQ49" s="203">
        <v>1.11</v>
      </c>
      <c r="DR49" s="170">
        <f t="shared" si="6"/>
        <v>198</v>
      </c>
      <c r="DS49" s="203">
        <f t="shared" si="7"/>
        <v>46.6</v>
      </c>
      <c r="DT49" s="24">
        <f t="shared" si="8"/>
        <v>200</v>
      </c>
      <c r="DU49" s="24">
        <f t="shared" si="9"/>
        <v>150</v>
      </c>
      <c r="DV49" s="24">
        <f t="shared" si="10"/>
        <v>25</v>
      </c>
      <c r="DW49" s="24"/>
      <c r="DX49" s="24"/>
      <c r="DY49" s="24"/>
      <c r="DZ49" s="24"/>
      <c r="EA49" s="24"/>
      <c r="EB49" s="21">
        <v>6</v>
      </c>
      <c r="EC49" s="21" t="s">
        <v>278</v>
      </c>
      <c r="ED49" s="22" t="e">
        <f>VLOOKUP($ED42,$CD$6:$CL$40,6,FALSE)</f>
        <v>#N/A</v>
      </c>
      <c r="EE49" s="22" t="e">
        <f>VLOOKUP($ED42,$CD$6:$CL$40,5,FALSE)</f>
        <v>#N/A</v>
      </c>
      <c r="EF49" s="22" t="e">
        <f>VLOOKUP($ED42,$CD$6:$CL$40,7,FALSE)</f>
        <v>#N/A</v>
      </c>
      <c r="EG49" s="22" t="e">
        <f>VLOOKUP($ED42,$CD$6:$CL$40,7,FALSE)</f>
        <v>#N/A</v>
      </c>
      <c r="EH49" s="22" t="e">
        <f>VLOOKUP($ED42,$CD$6:$CL$40,8,FALSE)</f>
        <v>#N/A</v>
      </c>
      <c r="EI49" s="22" t="e">
        <f>VLOOKUP($ED42,$CD$6:$CL$40,8,FALSE)</f>
        <v>#N/A</v>
      </c>
      <c r="EJ49" s="22" t="e">
        <f>VLOOKUP($ED42,$CD$6:$CL$40,9,FALSE)</f>
        <v>#N/A</v>
      </c>
      <c r="EK49" s="22" t="e">
        <f>VLOOKUP($ED42,$CD$6:$CL$40,9,FALSE)</f>
        <v>#N/A</v>
      </c>
      <c r="EL49" s="22" t="e">
        <f>VLOOKUP($ED42,$CD$6:$CM$40,10,FALSE)</f>
        <v>#N/A</v>
      </c>
      <c r="EM49" s="22" t="e">
        <f>VLOOKUP($ED42,$CD$6:$CM$40,10,FALSE)</f>
        <v>#N/A</v>
      </c>
      <c r="EN49" s="22"/>
      <c r="EO49" s="22" t="e">
        <f>VLOOKUP($ED42,$CD$6:$CL$40,4,FALSE)</f>
        <v>#N/A</v>
      </c>
      <c r="EP49" s="22" t="e">
        <f>VLOOKUP($ED42,$CD$6:$CL$40,4,FALSE)</f>
        <v>#N/A</v>
      </c>
    </row>
    <row r="50" spans="3:145" ht="15" thickBot="1">
      <c r="C50" s="160" t="str">
        <f t="shared" si="19"/>
        <v>WF-400X400x18x18 mm.</v>
      </c>
      <c r="D50" s="482"/>
      <c r="E50" s="173">
        <v>18</v>
      </c>
      <c r="F50" s="167">
        <v>18</v>
      </c>
      <c r="G50" s="217">
        <v>22</v>
      </c>
      <c r="H50" s="227">
        <v>214.4</v>
      </c>
      <c r="I50" s="24">
        <v>168</v>
      </c>
      <c r="J50" s="248">
        <v>59700</v>
      </c>
      <c r="K50" s="249">
        <v>20000</v>
      </c>
      <c r="L50" s="179">
        <v>16.7</v>
      </c>
      <c r="M50" s="196">
        <v>9.65</v>
      </c>
      <c r="N50" s="179">
        <v>3030</v>
      </c>
      <c r="O50" s="196">
        <v>985</v>
      </c>
      <c r="P50" s="22">
        <v>394</v>
      </c>
      <c r="Q50" s="22">
        <v>405</v>
      </c>
      <c r="CO50" s="21" t="str">
        <f>"[-"&amp;CP$50&amp;"x"&amp;CQ50&amp;" mm."</f>
        <v>[-250x75x25x4.5 mm.</v>
      </c>
      <c r="CP50" s="313" t="s">
        <v>298</v>
      </c>
      <c r="CQ50" s="282">
        <v>4.5</v>
      </c>
      <c r="CR50" s="208">
        <v>18.92</v>
      </c>
      <c r="CS50" s="286">
        <v>14.9</v>
      </c>
      <c r="CT50" s="280">
        <v>0</v>
      </c>
      <c r="CU50" s="281">
        <v>2.07</v>
      </c>
      <c r="CV50" s="283">
        <v>1690</v>
      </c>
      <c r="CW50" s="282">
        <v>129</v>
      </c>
      <c r="CX50" s="280">
        <v>9.44</v>
      </c>
      <c r="CY50" s="281">
        <v>2.62</v>
      </c>
      <c r="CZ50" s="283">
        <v>135</v>
      </c>
      <c r="DA50" s="281">
        <v>23.8</v>
      </c>
      <c r="DB50" s="24">
        <v>250</v>
      </c>
      <c r="DC50" s="24">
        <v>75</v>
      </c>
      <c r="DD50" s="24">
        <v>25</v>
      </c>
      <c r="DE50" s="24"/>
      <c r="DF50" s="24"/>
      <c r="DG50" s="21" t="str">
        <f>"2[]-"&amp;DH$50&amp;"x"&amp;DI50&amp;" mm."</f>
        <v>2[]-250x75x25x4.5 mm.</v>
      </c>
      <c r="DH50" s="313" t="s">
        <v>298</v>
      </c>
      <c r="DI50" s="282">
        <v>4.5</v>
      </c>
      <c r="DJ50" s="208">
        <f t="shared" si="2"/>
        <v>37.84</v>
      </c>
      <c r="DK50" s="286">
        <f t="shared" si="3"/>
        <v>29.8</v>
      </c>
      <c r="DL50" s="280">
        <v>0</v>
      </c>
      <c r="DM50" s="281">
        <v>1.06</v>
      </c>
      <c r="DN50" s="283">
        <f t="shared" si="4"/>
        <v>3380</v>
      </c>
      <c r="DO50" s="282">
        <f t="shared" si="5"/>
        <v>258</v>
      </c>
      <c r="DP50" s="280">
        <v>2.37</v>
      </c>
      <c r="DQ50" s="281">
        <v>1.11</v>
      </c>
      <c r="DR50" s="283">
        <f t="shared" si="6"/>
        <v>270</v>
      </c>
      <c r="DS50" s="281">
        <f t="shared" si="7"/>
        <v>47.6</v>
      </c>
      <c r="DT50" s="24">
        <f t="shared" si="8"/>
        <v>250</v>
      </c>
      <c r="DU50" s="24">
        <f t="shared" si="9"/>
        <v>150</v>
      </c>
      <c r="DV50" s="24">
        <f t="shared" si="10"/>
        <v>25</v>
      </c>
      <c r="DW50" s="24"/>
      <c r="DX50" s="24"/>
      <c r="DY50" s="24"/>
      <c r="DZ50" s="24"/>
      <c r="EA50" s="24"/>
      <c r="EB50" s="21">
        <v>7</v>
      </c>
      <c r="EC50" s="21" t="s">
        <v>310</v>
      </c>
      <c r="ED50" s="22">
        <f>VLOOKUP($ED42,$CO$6:$DA$50,4,FALSE)</f>
        <v>5.172</v>
      </c>
      <c r="EE50" s="22">
        <f>VLOOKUP($ED42,$CO$6:$DA$50,5,FALSE)</f>
        <v>4.06</v>
      </c>
      <c r="EF50" s="22">
        <f>VLOOKUP($ED42,$CO$6:$DA$50,8,FALSE)</f>
        <v>80.7</v>
      </c>
      <c r="EG50" s="22">
        <f>VLOOKUP($ED42,$CO$6:$DA$50,9,FALSE)</f>
        <v>19</v>
      </c>
      <c r="EH50" s="22">
        <f>VLOOKUP($ED42,$CO$6:$DA$50,12,FALSE)</f>
        <v>16</v>
      </c>
      <c r="EI50" s="22">
        <f>VLOOKUP($ED42,$CO$6:$DA$50,13,FALSE)</f>
        <v>6.06</v>
      </c>
      <c r="EJ50" s="22">
        <f>VLOOKUP($ED42,$CO$6:$DA$50,10,FALSE)</f>
        <v>3.95</v>
      </c>
      <c r="EK50" s="22">
        <f>VLOOKUP($ED42,$CO$6:$DA$50,11,FALSE)</f>
        <v>1.92</v>
      </c>
      <c r="EL50" s="22">
        <f>VLOOKUP($ED42,$CO$6:$DD$50,14,FALSE)</f>
        <v>100</v>
      </c>
      <c r="EM50" s="22">
        <f>VLOOKUP($ED42,$CO$6:$DD$50,15,FALSE)</f>
        <v>50</v>
      </c>
      <c r="EN50" s="22">
        <f>VLOOKUP($ED42,$CO$6:$DD$50,16,FALSE)</f>
        <v>20</v>
      </c>
      <c r="EO50" s="22">
        <f>VLOOKUP($ED42,$CO$6:$DD$50,3,FALSE)</f>
        <v>2.3</v>
      </c>
    </row>
    <row r="51" spans="3:148" ht="14.25">
      <c r="C51" s="160" t="str">
        <f t="shared" si="19"/>
        <v>WF-400X400x13x21 mm.</v>
      </c>
      <c r="D51" s="482"/>
      <c r="E51" s="173">
        <v>13</v>
      </c>
      <c r="F51" s="167">
        <v>21</v>
      </c>
      <c r="G51" s="217">
        <v>22</v>
      </c>
      <c r="H51" s="227">
        <v>218.7</v>
      </c>
      <c r="I51" s="24">
        <v>172</v>
      </c>
      <c r="J51" s="248">
        <v>66600</v>
      </c>
      <c r="K51" s="249">
        <v>22400</v>
      </c>
      <c r="L51" s="179">
        <v>17.5</v>
      </c>
      <c r="M51" s="196">
        <v>10.1</v>
      </c>
      <c r="N51" s="179">
        <v>3330</v>
      </c>
      <c r="O51" s="196">
        <v>1120</v>
      </c>
      <c r="P51" s="22">
        <v>400</v>
      </c>
      <c r="Q51" s="22">
        <v>400</v>
      </c>
      <c r="EB51" s="21">
        <v>8</v>
      </c>
      <c r="EC51" s="21" t="s">
        <v>465</v>
      </c>
      <c r="ED51" s="22" t="e">
        <f>VLOOKUP($ED42,$AJ$27:$BA$43,7,FALSE)</f>
        <v>#N/A</v>
      </c>
      <c r="EE51" s="22" t="e">
        <f>VLOOKUP($ED42,$AJ$27:$BA$43,8,FALSE)</f>
        <v>#N/A</v>
      </c>
      <c r="EF51" s="22" t="e">
        <f>VLOOKUP($ED42,$AJ$27:$BA$43,11,FALSE)</f>
        <v>#N/A</v>
      </c>
      <c r="EG51" s="22" t="e">
        <f>VLOOKUP($ED42,$AJ$27:$BA$43,12,FALSE)</f>
        <v>#N/A</v>
      </c>
      <c r="EH51" s="22" t="e">
        <f>VLOOKUP($ED42,$AJ$27:$BA$43,15,FALSE)</f>
        <v>#N/A</v>
      </c>
      <c r="EI51" s="22" t="e">
        <f>VLOOKUP($ED42,$AJ$27:$BA$43,16,FALSE)</f>
        <v>#N/A</v>
      </c>
      <c r="EJ51" s="22" t="e">
        <f>VLOOKUP($ED42,$AJ$27:$BA$43,13,FALSE)</f>
        <v>#N/A</v>
      </c>
      <c r="EK51" s="22" t="e">
        <f>VLOOKUP($ED42,$AJ$27:$BA$43,14,FALSE)</f>
        <v>#N/A</v>
      </c>
      <c r="EL51" s="22" t="e">
        <f>VLOOKUP($ED42,$AJ$27:$BA$43,17,FALSE)</f>
        <v>#N/A</v>
      </c>
      <c r="EM51" s="22" t="e">
        <f>VLOOKUP($ED42,$AJ$27:$BA$43,18,FALSE)</f>
        <v>#N/A</v>
      </c>
      <c r="EN51" s="22"/>
      <c r="EO51" s="22" t="e">
        <f>VLOOKUP($ED42,$AJ$27:$BA$43,3,FALSE)</f>
        <v>#N/A</v>
      </c>
      <c r="EP51" s="22" t="e">
        <f>VLOOKUP($ED42,$AJ$27:$BA$43,4,FALSE)</f>
        <v>#N/A</v>
      </c>
      <c r="EQ51" s="22" t="e">
        <f>VLOOKUP($ED42,$AJ$27:$BA$43,5,FALSE)</f>
        <v>#N/A</v>
      </c>
      <c r="ER51" s="22" t="e">
        <f>VLOOKUP($ED42,$AJ$27:$BA$43,6,FALSE)</f>
        <v>#N/A</v>
      </c>
    </row>
    <row r="52" spans="3:148" ht="14.25">
      <c r="C52" s="160" t="str">
        <f t="shared" si="19"/>
        <v>WF-400X400x21x21 mm.</v>
      </c>
      <c r="D52" s="482"/>
      <c r="E52" s="173">
        <v>21</v>
      </c>
      <c r="F52" s="167">
        <v>21</v>
      </c>
      <c r="G52" s="217">
        <v>22</v>
      </c>
      <c r="H52" s="227">
        <v>250.7</v>
      </c>
      <c r="I52" s="24">
        <v>197</v>
      </c>
      <c r="J52" s="248">
        <v>70900</v>
      </c>
      <c r="K52" s="249">
        <v>23800</v>
      </c>
      <c r="L52" s="179">
        <v>16.8</v>
      </c>
      <c r="M52" s="196">
        <v>9.75</v>
      </c>
      <c r="N52" s="179">
        <v>3540</v>
      </c>
      <c r="O52" s="196">
        <v>1170</v>
      </c>
      <c r="P52" s="22">
        <v>400</v>
      </c>
      <c r="Q52" s="22">
        <v>408</v>
      </c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1">
        <v>9</v>
      </c>
      <c r="EC52" s="21" t="s">
        <v>466</v>
      </c>
      <c r="ED52" s="22" t="e">
        <f>VLOOKUP($ED42,$DG$6:$DV$50,4,FALSE)</f>
        <v>#N/A</v>
      </c>
      <c r="EE52" s="22" t="e">
        <f>VLOOKUP($ED42,$DG$6:$DV$50,5,FALSE)</f>
        <v>#N/A</v>
      </c>
      <c r="EF52" s="22" t="e">
        <f>VLOOKUP($ED42,$DG$6:$DV$50,8,FALSE)</f>
        <v>#N/A</v>
      </c>
      <c r="EG52" s="22" t="e">
        <f>VLOOKUP($ED42,$DG$6:$DV$50,9,FALSE)</f>
        <v>#N/A</v>
      </c>
      <c r="EH52" s="22" t="e">
        <f>VLOOKUP($ED42,$DG$6:$DV$50,12,FALSE)</f>
        <v>#N/A</v>
      </c>
      <c r="EI52" s="22" t="e">
        <f>VLOOKUP($ED42,$DG$6:$DV$50,13,FALSE)</f>
        <v>#N/A</v>
      </c>
      <c r="EJ52" s="22" t="e">
        <f>VLOOKUP($ED42,$DG$6:$DV$50,10,FALSE)</f>
        <v>#N/A</v>
      </c>
      <c r="EK52" s="22" t="e">
        <f>VLOOKUP($ED42,$DG$6:$DV$50,11,FALSE)</f>
        <v>#N/A</v>
      </c>
      <c r="EL52" s="22" t="e">
        <f>VLOOKUP($ED42,$DG$6:$DV$50,14,FALSE)</f>
        <v>#N/A</v>
      </c>
      <c r="EM52" s="22" t="e">
        <f>VLOOKUP($ED42,$DG$6:$DV$50,15,FALSE)</f>
        <v>#N/A</v>
      </c>
      <c r="EN52" s="22" t="e">
        <f>VLOOKUP($ED42,$DG$6:$DV$50,16,FALSE)</f>
        <v>#N/A</v>
      </c>
      <c r="EO52" s="22" t="e">
        <f>VLOOKUP($ED42,$DG$6:$DV$50,3,FALSE)</f>
        <v>#N/A</v>
      </c>
      <c r="EP52" s="22" t="e">
        <f>VLOOKUP($ED42,$DG$6:$DV$50,3,FALSE)</f>
        <v>#N/A</v>
      </c>
      <c r="EQ52" s="22"/>
      <c r="ER52" s="22"/>
    </row>
    <row r="53" spans="3:148" ht="14.25">
      <c r="C53" s="160" t="str">
        <f t="shared" si="19"/>
        <v>WF-400X400x18x28 mm.</v>
      </c>
      <c r="D53" s="483"/>
      <c r="E53" s="185">
        <v>18</v>
      </c>
      <c r="F53" s="169">
        <v>28</v>
      </c>
      <c r="G53" s="222">
        <v>22</v>
      </c>
      <c r="H53" s="230">
        <v>295.4</v>
      </c>
      <c r="I53" s="28">
        <v>232</v>
      </c>
      <c r="J53" s="262">
        <v>92800</v>
      </c>
      <c r="K53" s="263">
        <v>31000</v>
      </c>
      <c r="L53" s="170">
        <v>17.7</v>
      </c>
      <c r="M53" s="203">
        <v>10.2</v>
      </c>
      <c r="N53" s="170">
        <v>4480</v>
      </c>
      <c r="O53" s="203">
        <v>1530</v>
      </c>
      <c r="P53" s="22">
        <v>414</v>
      </c>
      <c r="Q53" s="22">
        <v>405</v>
      </c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</row>
    <row r="54" spans="3:131" ht="14.25">
      <c r="C54" s="160" t="str">
        <f>"WF-"&amp;D$54&amp;"x"&amp;E54&amp;"x"&amp;F54&amp;" mm."</f>
        <v>WF-450X200x8x12 mm.</v>
      </c>
      <c r="D54" s="482" t="s">
        <v>162</v>
      </c>
      <c r="E54" s="173">
        <v>8</v>
      </c>
      <c r="F54" s="167">
        <v>12</v>
      </c>
      <c r="G54" s="217">
        <v>18</v>
      </c>
      <c r="H54" s="227">
        <v>84.3</v>
      </c>
      <c r="I54" s="24">
        <v>66.2</v>
      </c>
      <c r="J54" s="248">
        <v>28700</v>
      </c>
      <c r="K54" s="249">
        <v>1580</v>
      </c>
      <c r="L54" s="179">
        <v>18.5</v>
      </c>
      <c r="M54" s="196">
        <v>4.33</v>
      </c>
      <c r="N54" s="179">
        <v>1290</v>
      </c>
      <c r="O54" s="196">
        <v>159</v>
      </c>
      <c r="P54" s="22">
        <v>446</v>
      </c>
      <c r="Q54" s="22">
        <v>199</v>
      </c>
      <c r="CP54" s="23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</row>
    <row r="55" spans="3:131" ht="14.25">
      <c r="C55" s="160" t="str">
        <f>"WF-"&amp;D$54&amp;"x"&amp;E55&amp;"x"&amp;F55&amp;" mm."</f>
        <v>WF-450X200x9x14 mm.</v>
      </c>
      <c r="D55" s="482"/>
      <c r="E55" s="173">
        <v>9</v>
      </c>
      <c r="F55" s="167">
        <v>14</v>
      </c>
      <c r="G55" s="217">
        <v>18</v>
      </c>
      <c r="H55" s="227">
        <v>96.76</v>
      </c>
      <c r="I55" s="24">
        <v>76</v>
      </c>
      <c r="J55" s="248">
        <v>33500</v>
      </c>
      <c r="K55" s="249">
        <v>1870</v>
      </c>
      <c r="L55" s="179">
        <v>18.6</v>
      </c>
      <c r="M55" s="196">
        <v>4.4</v>
      </c>
      <c r="N55" s="179">
        <v>1490</v>
      </c>
      <c r="O55" s="196">
        <v>187</v>
      </c>
      <c r="P55" s="22">
        <v>450</v>
      </c>
      <c r="Q55" s="22">
        <v>200</v>
      </c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</row>
    <row r="56" spans="3:148" ht="14.25">
      <c r="C56" s="160" t="str">
        <f>"WF-"&amp;D$54&amp;"x"&amp;E56&amp;"x"&amp;F56&amp;" mm."</f>
        <v>WF-450X200x10x17 mm.</v>
      </c>
      <c r="D56" s="482"/>
      <c r="E56" s="173">
        <v>10</v>
      </c>
      <c r="F56" s="167">
        <v>17</v>
      </c>
      <c r="G56" s="217">
        <v>18</v>
      </c>
      <c r="H56" s="227">
        <v>113.3</v>
      </c>
      <c r="I56" s="24">
        <v>88.9</v>
      </c>
      <c r="J56" s="248">
        <v>40400</v>
      </c>
      <c r="K56" s="249">
        <v>2310</v>
      </c>
      <c r="L56" s="179">
        <v>18.9</v>
      </c>
      <c r="M56" s="196">
        <v>4.51</v>
      </c>
      <c r="N56" s="179">
        <v>1770</v>
      </c>
      <c r="O56" s="196">
        <v>230</v>
      </c>
      <c r="P56" s="22">
        <v>456</v>
      </c>
      <c r="Q56" s="22">
        <v>201</v>
      </c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C56" s="21" t="s">
        <v>313</v>
      </c>
      <c r="ED56" s="22">
        <f>VLOOKUP($EE42,$EB44:$EK52,3,TRUE)</f>
        <v>5.172</v>
      </c>
      <c r="EE56" s="22">
        <f>VLOOKUP($EE42,$EB44:$EK52,4,TRUE)</f>
        <v>4.06</v>
      </c>
      <c r="EF56" s="22">
        <f>VLOOKUP($EE42,$EB44:$EK52,5,TRUE)</f>
        <v>80.7</v>
      </c>
      <c r="EG56" s="22">
        <f>VLOOKUP($EE42,$EB44:$EK52,6,TRUE)</f>
        <v>19</v>
      </c>
      <c r="EH56" s="22">
        <f>VLOOKUP($EE42,$EB44:$EK52,7,TRUE)</f>
        <v>16</v>
      </c>
      <c r="EI56" s="22">
        <f>VLOOKUP($EE42,$EB44:$EK52,8,TRUE)</f>
        <v>6.06</v>
      </c>
      <c r="EJ56" s="22">
        <f>VLOOKUP($EE42,$EB44:$EK52,9,TRUE)</f>
        <v>3.95</v>
      </c>
      <c r="EK56" s="22">
        <f>VLOOKUP($EE42,$EB44:$EK52,10,TRUE)</f>
        <v>1.92</v>
      </c>
      <c r="EL56" s="22">
        <f>VLOOKUP($EE42,$EB44:$ER52,11,TRUE)</f>
        <v>100</v>
      </c>
      <c r="EM56" s="22">
        <f>VLOOKUP($EE42,$EB44:$ER52,12,TRUE)</f>
        <v>50</v>
      </c>
      <c r="EN56" s="22">
        <f>VLOOKUP($EE42,$EB44:$ER52,13,TRUE)</f>
        <v>20</v>
      </c>
      <c r="EO56" s="22">
        <f>VLOOKUP($EE42,$EB44:$ER52,14,TRUE)</f>
        <v>2.3</v>
      </c>
      <c r="EP56" s="187">
        <f>VLOOKUP($EE42,$EB44:$ER52,15,TRUE)</f>
        <v>0</v>
      </c>
      <c r="EQ56" s="22">
        <f>VLOOKUP($EE42,$EB44:$ER52,16,TRUE)</f>
        <v>0</v>
      </c>
      <c r="ER56" s="22">
        <f>VLOOKUP($EE42,$EB44:$ER52,17,TRUE)</f>
        <v>0</v>
      </c>
    </row>
    <row r="57" spans="3:132" ht="14.25">
      <c r="C57" s="160" t="str">
        <f>"WF-"&amp;D$57&amp;"x"&amp;E57&amp;"x"&amp;F57&amp;" mm."</f>
        <v>WF-450X300x10x17 mm.</v>
      </c>
      <c r="D57" s="481" t="s">
        <v>163</v>
      </c>
      <c r="E57" s="189">
        <v>10</v>
      </c>
      <c r="F57" s="165">
        <v>17</v>
      </c>
      <c r="G57" s="224">
        <v>24</v>
      </c>
      <c r="H57" s="232">
        <v>135</v>
      </c>
      <c r="I57" s="158">
        <v>106</v>
      </c>
      <c r="J57" s="264">
        <v>46800</v>
      </c>
      <c r="K57" s="265">
        <v>6690</v>
      </c>
      <c r="L57" s="166">
        <v>18.6</v>
      </c>
      <c r="M57" s="202">
        <v>7.04</v>
      </c>
      <c r="N57" s="166">
        <v>2160</v>
      </c>
      <c r="O57" s="202">
        <v>448</v>
      </c>
      <c r="P57" s="22">
        <v>434</v>
      </c>
      <c r="Q57" s="22">
        <v>299</v>
      </c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3:132" ht="14.25">
      <c r="C58" s="160" t="str">
        <f>"WF-"&amp;D$57&amp;"x"&amp;E58&amp;"x"&amp;F58&amp;" mm."</f>
        <v>WF-450X300x11x18 mm.</v>
      </c>
      <c r="D58" s="482"/>
      <c r="E58" s="173">
        <v>11</v>
      </c>
      <c r="F58" s="167">
        <v>18</v>
      </c>
      <c r="G58" s="217">
        <v>24</v>
      </c>
      <c r="H58" s="227">
        <v>157.4</v>
      </c>
      <c r="I58" s="24">
        <v>124</v>
      </c>
      <c r="J58" s="248">
        <v>56100</v>
      </c>
      <c r="K58" s="249">
        <v>8110</v>
      </c>
      <c r="L58" s="179">
        <v>18.9</v>
      </c>
      <c r="M58" s="196">
        <v>7.18</v>
      </c>
      <c r="N58" s="179">
        <v>2550</v>
      </c>
      <c r="O58" s="196">
        <v>541</v>
      </c>
      <c r="P58" s="22">
        <v>440</v>
      </c>
      <c r="Q58" s="22">
        <v>300</v>
      </c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3:135" ht="14.25">
      <c r="C59" s="160" t="str">
        <f>"WF-"&amp;D$57&amp;"x"&amp;E59&amp;"x"&amp;F59&amp;" mm."</f>
        <v>WF-450X300x13x21 mm.</v>
      </c>
      <c r="D59" s="483"/>
      <c r="E59" s="185">
        <v>13</v>
      </c>
      <c r="F59" s="169">
        <v>21</v>
      </c>
      <c r="G59" s="222">
        <v>24</v>
      </c>
      <c r="H59" s="230">
        <v>184.3</v>
      </c>
      <c r="I59" s="28">
        <v>145</v>
      </c>
      <c r="J59" s="262">
        <v>56400</v>
      </c>
      <c r="K59" s="263">
        <v>9660</v>
      </c>
      <c r="L59" s="170">
        <v>19</v>
      </c>
      <c r="M59" s="203">
        <v>7.24</v>
      </c>
      <c r="N59" s="170">
        <v>2980</v>
      </c>
      <c r="O59" s="203">
        <v>639</v>
      </c>
      <c r="P59" s="22">
        <v>446</v>
      </c>
      <c r="Q59" s="22">
        <v>302</v>
      </c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D59" s="21" t="str">
        <f>'Rafter 2'!CW19</f>
        <v>[-100x50x20x2.3 mm.</v>
      </c>
      <c r="EE59" s="21">
        <f>'Rafter 2'!CU7</f>
        <v>7</v>
      </c>
    </row>
    <row r="60" spans="3:148" ht="14.25">
      <c r="C60" s="160" t="str">
        <f>"WF-"&amp;D$60&amp;"x"&amp;E60&amp;"x"&amp;F60&amp;" mm."</f>
        <v>WF-500X200x9x14 mm.</v>
      </c>
      <c r="D60" s="482" t="s">
        <v>164</v>
      </c>
      <c r="E60" s="173">
        <v>9</v>
      </c>
      <c r="F60" s="167">
        <v>14</v>
      </c>
      <c r="G60" s="217">
        <v>20</v>
      </c>
      <c r="H60" s="227">
        <v>101.3</v>
      </c>
      <c r="I60" s="24">
        <v>79.5</v>
      </c>
      <c r="J60" s="248">
        <v>41900</v>
      </c>
      <c r="K60" s="249">
        <v>1840</v>
      </c>
      <c r="L60" s="179">
        <v>20.3</v>
      </c>
      <c r="M60" s="196">
        <v>4.27</v>
      </c>
      <c r="N60" s="179">
        <v>1690</v>
      </c>
      <c r="O60" s="196">
        <v>185</v>
      </c>
      <c r="P60" s="22">
        <v>496</v>
      </c>
      <c r="Q60" s="22">
        <v>199</v>
      </c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D60" s="22" t="s">
        <v>263</v>
      </c>
      <c r="EE60" s="22" t="s">
        <v>142</v>
      </c>
      <c r="EF60" s="22" t="s">
        <v>87</v>
      </c>
      <c r="EG60" s="22" t="s">
        <v>88</v>
      </c>
      <c r="EH60" s="22" t="s">
        <v>89</v>
      </c>
      <c r="EI60" s="22" t="s">
        <v>90</v>
      </c>
      <c r="EJ60" s="22" t="s">
        <v>229</v>
      </c>
      <c r="EK60" s="22" t="s">
        <v>230</v>
      </c>
      <c r="EL60" s="22" t="s">
        <v>324</v>
      </c>
      <c r="EM60" s="22" t="s">
        <v>323</v>
      </c>
      <c r="EN60" s="22" t="s">
        <v>325</v>
      </c>
      <c r="EO60" s="22" t="s">
        <v>137</v>
      </c>
      <c r="EP60" s="22" t="s">
        <v>138</v>
      </c>
      <c r="EQ60" s="22" t="s">
        <v>172</v>
      </c>
      <c r="ER60" s="22" t="s">
        <v>173</v>
      </c>
    </row>
    <row r="61" spans="3:148" ht="14.25">
      <c r="C61" s="160" t="str">
        <f>"WF-"&amp;D$60&amp;"x"&amp;E61&amp;"x"&amp;F61&amp;" mm."</f>
        <v>WF-500X200x10x16 mm.</v>
      </c>
      <c r="D61" s="482"/>
      <c r="E61" s="173">
        <v>10</v>
      </c>
      <c r="F61" s="167">
        <v>16</v>
      </c>
      <c r="G61" s="217">
        <v>20</v>
      </c>
      <c r="H61" s="227">
        <v>114.2</v>
      </c>
      <c r="I61" s="24">
        <v>89.6</v>
      </c>
      <c r="J61" s="248">
        <v>47800</v>
      </c>
      <c r="K61" s="249">
        <v>2140</v>
      </c>
      <c r="L61" s="179">
        <v>20.5</v>
      </c>
      <c r="M61" s="196">
        <v>4.33</v>
      </c>
      <c r="N61" s="179">
        <v>1910</v>
      </c>
      <c r="O61" s="196">
        <v>214</v>
      </c>
      <c r="P61" s="22">
        <v>500</v>
      </c>
      <c r="Q61" s="22">
        <v>200</v>
      </c>
      <c r="EB61" s="21">
        <v>1</v>
      </c>
      <c r="EC61" s="21" t="s">
        <v>306</v>
      </c>
      <c r="ED61" s="22" t="e">
        <f>VLOOKUP($ED59,$C$6:$O$77,6,FALSE)</f>
        <v>#N/A</v>
      </c>
      <c r="EE61" s="22" t="e">
        <f>VLOOKUP($ED59,$C$6:$O$77,7,FALSE)</f>
        <v>#N/A</v>
      </c>
      <c r="EF61" s="22" t="e">
        <f>VLOOKUP($ED59,$C$6:$O$77,8,FALSE)</f>
        <v>#N/A</v>
      </c>
      <c r="EG61" s="22" t="e">
        <f>VLOOKUP($ED59,$C$6:$O$77,9,FALSE)</f>
        <v>#N/A</v>
      </c>
      <c r="EH61" s="22" t="e">
        <f>VLOOKUP($ED59,$C$6:$O$77,12,FALSE)</f>
        <v>#N/A</v>
      </c>
      <c r="EI61" s="22" t="e">
        <f>VLOOKUP($ED59,$C$6:$O$77,13,FALSE)</f>
        <v>#N/A</v>
      </c>
      <c r="EJ61" s="22" t="e">
        <f>VLOOKUP($ED59,$C$6:$O$77,10,FALSE)</f>
        <v>#N/A</v>
      </c>
      <c r="EK61" s="22" t="e">
        <f>VLOOKUP($ED59,$C$6:$O$77,11,FALSE)</f>
        <v>#N/A</v>
      </c>
      <c r="EL61" s="22" t="e">
        <f>VLOOKUP($ED59,$C$6:$Q$77,14,FALSE)</f>
        <v>#N/A</v>
      </c>
      <c r="EM61" s="22" t="e">
        <f>VLOOKUP($ED59,$C$6:$Q$77,15,FALSE)</f>
        <v>#N/A</v>
      </c>
      <c r="EN61" s="22"/>
      <c r="EO61" s="22" t="e">
        <f>VLOOKUP($ED59,$C$6:$O$77,3,FALSE)</f>
        <v>#N/A</v>
      </c>
      <c r="EP61" s="22" t="e">
        <f>VLOOKUP($ED59,$C$6:$O$77,4,FALSE)</f>
        <v>#N/A</v>
      </c>
      <c r="EQ61" s="22" t="e">
        <f>VLOOKUP($ED59,$C$6:$O$77,5,FALSE)</f>
        <v>#N/A</v>
      </c>
      <c r="ER61" s="22"/>
    </row>
    <row r="62" spans="3:148" ht="14.25">
      <c r="C62" s="160" t="str">
        <f>"WF-"&amp;D$60&amp;"x"&amp;E62&amp;"x"&amp;F62&amp;" mm."</f>
        <v>WF-500X200x11x19 mm.</v>
      </c>
      <c r="D62" s="482"/>
      <c r="E62" s="173">
        <v>11</v>
      </c>
      <c r="F62" s="167">
        <v>19</v>
      </c>
      <c r="G62" s="217">
        <v>20</v>
      </c>
      <c r="H62" s="227">
        <v>131.3</v>
      </c>
      <c r="I62" s="24">
        <v>103</v>
      </c>
      <c r="J62" s="248">
        <v>56500</v>
      </c>
      <c r="K62" s="249">
        <v>2580</v>
      </c>
      <c r="L62" s="179">
        <v>20.7</v>
      </c>
      <c r="M62" s="196">
        <v>4.43</v>
      </c>
      <c r="N62" s="179">
        <v>2230</v>
      </c>
      <c r="O62" s="196">
        <v>257</v>
      </c>
      <c r="P62" s="22">
        <v>506</v>
      </c>
      <c r="Q62" s="22">
        <v>201</v>
      </c>
      <c r="EB62" s="21">
        <v>2</v>
      </c>
      <c r="EC62" s="21" t="s">
        <v>307</v>
      </c>
      <c r="ED62" s="22" t="e">
        <f>VLOOKUP($ED59,$S$6:$AF$25,7,FALSE)</f>
        <v>#N/A</v>
      </c>
      <c r="EE62" s="22" t="e">
        <f>VLOOKUP($ED59,$S$6:$AF$25,8,FALSE)</f>
        <v>#N/A</v>
      </c>
      <c r="EF62" s="22" t="e">
        <f>VLOOKUP($ED59,$S$6:$AF$25,9,FALSE)</f>
        <v>#N/A</v>
      </c>
      <c r="EG62" s="22" t="e">
        <f>VLOOKUP($ED59,$S$6:$AF$25,10,FALSE)</f>
        <v>#N/A</v>
      </c>
      <c r="EH62" s="22" t="e">
        <f>VLOOKUP($ED59,$S$6:$AF$25,13,FALSE)</f>
        <v>#N/A</v>
      </c>
      <c r="EI62" s="22" t="e">
        <f>VLOOKUP($ED59,$S$6:$AF$25,14,FALSE)</f>
        <v>#N/A</v>
      </c>
      <c r="EJ62" s="22" t="e">
        <f>VLOOKUP($ED59,$S$6:$AF$25,11,FALSE)</f>
        <v>#N/A</v>
      </c>
      <c r="EK62" s="22" t="e">
        <f>VLOOKUP($ED59,$S$6:$AF$25,12,FALSE)</f>
        <v>#N/A</v>
      </c>
      <c r="EL62" s="22" t="e">
        <f>VLOOKUP($ED59,$S$6:$AH$25,15,FALSE)</f>
        <v>#N/A</v>
      </c>
      <c r="EM62" s="22" t="e">
        <f>VLOOKUP($ED59,$S$6:$AH$25,16,FALSE)</f>
        <v>#N/A</v>
      </c>
      <c r="EN62" s="22"/>
      <c r="EO62" s="22" t="e">
        <f>VLOOKUP($ED59,$S$6:$AH$25,3,FALSE)</f>
        <v>#N/A</v>
      </c>
      <c r="EP62" s="22" t="e">
        <f>VLOOKUP($ED59,$S$6:$AH$25,4,FALSE)</f>
        <v>#N/A</v>
      </c>
      <c r="EQ62" s="22" t="e">
        <f>VLOOKUP($ED59,$S$6:$AH$25,5,FALSE)</f>
        <v>#N/A</v>
      </c>
      <c r="ER62" s="22" t="e">
        <f>VLOOKUP($ED59,$S$6:$AH$25,6,FALSE)</f>
        <v>#N/A</v>
      </c>
    </row>
    <row r="63" spans="3:148" ht="14.25">
      <c r="C63" s="160" t="str">
        <f>"WF-"&amp;D$63&amp;"x"&amp;E63&amp;"x"&amp;F63&amp;" mm."</f>
        <v>WF-500X300x11x15 mm.</v>
      </c>
      <c r="D63" s="481" t="s">
        <v>165</v>
      </c>
      <c r="E63" s="189">
        <v>11</v>
      </c>
      <c r="F63" s="165">
        <v>15</v>
      </c>
      <c r="G63" s="224">
        <v>26</v>
      </c>
      <c r="H63" s="232">
        <v>145.5</v>
      </c>
      <c r="I63" s="158">
        <v>114</v>
      </c>
      <c r="J63" s="264">
        <v>60400</v>
      </c>
      <c r="K63" s="265">
        <v>6760</v>
      </c>
      <c r="L63" s="166">
        <v>20.4</v>
      </c>
      <c r="M63" s="202">
        <v>6.82</v>
      </c>
      <c r="N63" s="166">
        <v>2500</v>
      </c>
      <c r="O63" s="202">
        <v>451</v>
      </c>
      <c r="P63" s="22">
        <v>482</v>
      </c>
      <c r="Q63" s="22">
        <v>300</v>
      </c>
      <c r="EB63" s="21">
        <v>3</v>
      </c>
      <c r="EC63" s="21" t="s">
        <v>308</v>
      </c>
      <c r="ED63" s="22" t="e">
        <f>VLOOKUP($ED59,$AJ$6:$AY$22,7,FALSE)</f>
        <v>#N/A</v>
      </c>
      <c r="EE63" s="22" t="e">
        <f>VLOOKUP($ED59,$AJ$6:$AY$22,8,FALSE)</f>
        <v>#N/A</v>
      </c>
      <c r="EF63" s="22" t="e">
        <f>VLOOKUP($ED59,$AJ$6:$AY$22,11,FALSE)</f>
        <v>#N/A</v>
      </c>
      <c r="EG63" s="22" t="e">
        <f>VLOOKUP($ED59,$AJ$6:$AY$22,12,FALSE)</f>
        <v>#N/A</v>
      </c>
      <c r="EH63" s="22" t="e">
        <f>VLOOKUP($ED59,$AJ$6:$AY$22,15,FALSE)</f>
        <v>#N/A</v>
      </c>
      <c r="EI63" s="22" t="e">
        <f>VLOOKUP($ED59,$AJ$6:$AY$22,16,FALSE)</f>
        <v>#N/A</v>
      </c>
      <c r="EJ63" s="22" t="e">
        <f>VLOOKUP($ED59,$AJ$6:$AY$22,13,FALSE)</f>
        <v>#N/A</v>
      </c>
      <c r="EK63" s="22" t="e">
        <f>VLOOKUP($ED59,$AJ$6:$AY$22,14,FALSE)</f>
        <v>#N/A</v>
      </c>
      <c r="EL63" s="22" t="e">
        <f>VLOOKUP($ED59,$AJ$6:$BA$22,17,FALSE)</f>
        <v>#N/A</v>
      </c>
      <c r="EM63" s="22" t="e">
        <f>VLOOKUP($ED59,$AJ$6:$BA$22,18,FALSE)</f>
        <v>#N/A</v>
      </c>
      <c r="EN63" s="22"/>
      <c r="EO63" s="22" t="e">
        <f>VLOOKUP($ED59,$AJ$6:$BA$22,3,FALSE)</f>
        <v>#N/A</v>
      </c>
      <c r="EP63" s="22" t="e">
        <f>VLOOKUP($ED59,$AJ$6:$BA$22,4,FALSE)</f>
        <v>#N/A</v>
      </c>
      <c r="EQ63" s="22" t="e">
        <f>VLOOKUP($ED59,$AJ$6:$BA$22,5,FALSE)</f>
        <v>#N/A</v>
      </c>
      <c r="ER63" s="22" t="e">
        <f>VLOOKUP($ED59,$AJ$6:$BA$22,6,FALSE)</f>
        <v>#N/A</v>
      </c>
    </row>
    <row r="64" spans="3:145" ht="14.25">
      <c r="C64" s="160" t="str">
        <f>"WF-"&amp;D$63&amp;"x"&amp;E64&amp;"x"&amp;F64&amp;" mm."</f>
        <v>WF-500X300x11x18 mm.</v>
      </c>
      <c r="D64" s="482"/>
      <c r="E64" s="173">
        <v>11</v>
      </c>
      <c r="F64" s="167">
        <v>18</v>
      </c>
      <c r="G64" s="217">
        <v>26</v>
      </c>
      <c r="H64" s="227">
        <v>163.5</v>
      </c>
      <c r="I64" s="24">
        <v>128</v>
      </c>
      <c r="J64" s="248">
        <v>71000</v>
      </c>
      <c r="K64" s="249">
        <v>8110</v>
      </c>
      <c r="L64" s="179">
        <v>20.8</v>
      </c>
      <c r="M64" s="196">
        <v>7.04</v>
      </c>
      <c r="N64" s="179">
        <v>2910</v>
      </c>
      <c r="O64" s="196">
        <v>541</v>
      </c>
      <c r="P64" s="22">
        <v>488</v>
      </c>
      <c r="Q64" s="22">
        <v>300</v>
      </c>
      <c r="EB64" s="21">
        <v>4</v>
      </c>
      <c r="EC64" s="21" t="s">
        <v>311</v>
      </c>
      <c r="ED64" s="22" t="e">
        <f>VLOOKUP($ED59,$BC$6:$BK$37,5,FALSE)</f>
        <v>#N/A</v>
      </c>
      <c r="EE64" s="22" t="e">
        <f>VLOOKUP($ED59,$BC$6:$BK$37,6,FALSE)</f>
        <v>#N/A</v>
      </c>
      <c r="EF64" s="22" t="e">
        <f>VLOOKUP($ED59,$BC$6:$BK$37,7,FALSE)</f>
        <v>#N/A</v>
      </c>
      <c r="EG64" s="22" t="e">
        <f>VLOOKUP($ED59,$BC$6:$BK$37,7,FALSE)</f>
        <v>#N/A</v>
      </c>
      <c r="EH64" s="22" t="e">
        <f>VLOOKUP($ED59,$BC$6:$BK$37,8,FALSE)</f>
        <v>#N/A</v>
      </c>
      <c r="EI64" s="22" t="e">
        <f>VLOOKUP($ED59,$BC$6:$BK$37,8,FALSE)</f>
        <v>#N/A</v>
      </c>
      <c r="EJ64" s="22" t="e">
        <f>VLOOKUP($ED59,$BC$6:$BK$37,9,FALSE)</f>
        <v>#N/A</v>
      </c>
      <c r="EK64" s="22" t="e">
        <f>VLOOKUP($ED59,$BC$6:$BK$37,9,FALSE)</f>
        <v>#N/A</v>
      </c>
      <c r="EL64" s="22" t="e">
        <f>VLOOKUP($ED59,$BC$6:$BL$37,10,FALSE)</f>
        <v>#N/A</v>
      </c>
      <c r="EM64" s="22" t="e">
        <f>VLOOKUP($ED59,$BC$6:$BL$37,10,FALSE)</f>
        <v>#N/A</v>
      </c>
      <c r="EN64" s="22"/>
      <c r="EO64" s="22" t="e">
        <f>VLOOKUP($ED59,$BC$6:$BL$37,4,FALSE)</f>
        <v>#N/A</v>
      </c>
    </row>
    <row r="65" spans="3:145" ht="14.25">
      <c r="C65" s="160" t="str">
        <f>"WF-"&amp;D$63&amp;"x"&amp;E65&amp;"x"&amp;F65&amp;" mm."</f>
        <v>WF-500X300x13x21 mm.</v>
      </c>
      <c r="D65" s="483"/>
      <c r="E65" s="185">
        <v>13</v>
      </c>
      <c r="F65" s="169">
        <v>21</v>
      </c>
      <c r="G65" s="222">
        <v>26</v>
      </c>
      <c r="H65" s="230">
        <v>191.4</v>
      </c>
      <c r="I65" s="28">
        <v>150</v>
      </c>
      <c r="J65" s="262">
        <v>83800</v>
      </c>
      <c r="K65" s="263">
        <v>9660</v>
      </c>
      <c r="L65" s="170">
        <v>20.9</v>
      </c>
      <c r="M65" s="203">
        <v>7.1</v>
      </c>
      <c r="N65" s="170">
        <v>3390</v>
      </c>
      <c r="O65" s="203">
        <v>640</v>
      </c>
      <c r="P65" s="22">
        <v>494</v>
      </c>
      <c r="Q65" s="22">
        <v>302</v>
      </c>
      <c r="EB65" s="21">
        <v>5</v>
      </c>
      <c r="EC65" s="21" t="s">
        <v>309</v>
      </c>
      <c r="ED65" s="22" t="e">
        <f>VLOOKUP($ED59,$BO$6:$BZ$31,5,FALSE)</f>
        <v>#N/A</v>
      </c>
      <c r="EE65" s="22" t="e">
        <f>VLOOKUP($ED59,$BO$6:$BZ$31,6,FALSE)</f>
        <v>#N/A</v>
      </c>
      <c r="EF65" s="22" t="e">
        <f>VLOOKUP($ED59,$BO$6:$BZ$31,7,FALSE)</f>
        <v>#N/A</v>
      </c>
      <c r="EG65" s="22" t="e">
        <f>VLOOKUP($ED59,$BO$6:$BZ$31,8,FALSE)</f>
        <v>#N/A</v>
      </c>
      <c r="EH65" s="22" t="e">
        <f>VLOOKUP($ED59,$BO$6:$BZ$31,9,FALSE)</f>
        <v>#N/A</v>
      </c>
      <c r="EI65" s="22" t="e">
        <f>VLOOKUP($ED59,$BO$6:$BZ$31,10,FALSE)</f>
        <v>#N/A</v>
      </c>
      <c r="EJ65" s="22" t="e">
        <f>VLOOKUP($ED59,$BO$6:$BZ$31,11,FALSE)</f>
        <v>#N/A</v>
      </c>
      <c r="EK65" s="22" t="e">
        <f>VLOOKUP($ED59,$BO$6:$BZ$31,12,FALSE)</f>
        <v>#N/A</v>
      </c>
      <c r="EL65" s="22" t="e">
        <f>VLOOKUP($ED59,$BO$6:$CB$31,13,FALSE)</f>
        <v>#N/A</v>
      </c>
      <c r="EM65" s="22" t="e">
        <f>VLOOKUP($ED59,$BO$6:$CB$31,14,FALSE)</f>
        <v>#N/A</v>
      </c>
      <c r="EN65" s="22"/>
      <c r="EO65" s="22" t="e">
        <f>VLOOKUP($ED59,$BO$6:$CB$31,4,FALSE)</f>
        <v>#N/A</v>
      </c>
    </row>
    <row r="66" spans="3:146" ht="14.25">
      <c r="C66" s="160" t="str">
        <f>"WF-"&amp;D$66&amp;"x"&amp;E66&amp;"x"&amp;F66&amp;" mm."</f>
        <v>WF-600X200x10x15 mm.</v>
      </c>
      <c r="D66" s="482" t="s">
        <v>166</v>
      </c>
      <c r="E66" s="173">
        <v>10</v>
      </c>
      <c r="F66" s="167">
        <v>15</v>
      </c>
      <c r="G66" s="217">
        <v>22</v>
      </c>
      <c r="H66" s="227">
        <v>120.5</v>
      </c>
      <c r="I66" s="24">
        <v>94.6</v>
      </c>
      <c r="J66" s="248">
        <v>68700</v>
      </c>
      <c r="K66" s="249">
        <v>1980</v>
      </c>
      <c r="L66" s="179">
        <v>23.9</v>
      </c>
      <c r="M66" s="196">
        <v>4.05</v>
      </c>
      <c r="N66" s="179">
        <v>2310</v>
      </c>
      <c r="O66" s="196">
        <v>199</v>
      </c>
      <c r="P66" s="22">
        <v>596</v>
      </c>
      <c r="Q66" s="22">
        <v>199</v>
      </c>
      <c r="EB66" s="21">
        <v>6</v>
      </c>
      <c r="EC66" s="21" t="s">
        <v>278</v>
      </c>
      <c r="ED66" s="22" t="e">
        <f>VLOOKUP($ED59,$CD$6:$CL$40,6,FALSE)</f>
        <v>#N/A</v>
      </c>
      <c r="EE66" s="22" t="e">
        <f>VLOOKUP($ED59,$CD$6:$CL$40,5,FALSE)</f>
        <v>#N/A</v>
      </c>
      <c r="EF66" s="22" t="e">
        <f>VLOOKUP($ED59,$CD$6:$CL$40,7,FALSE)</f>
        <v>#N/A</v>
      </c>
      <c r="EG66" s="22" t="e">
        <f>VLOOKUP($ED59,$CD$6:$CL$40,7,FALSE)</f>
        <v>#N/A</v>
      </c>
      <c r="EH66" s="22" t="e">
        <f>VLOOKUP($ED59,$CD$6:$CL$40,8,FALSE)</f>
        <v>#N/A</v>
      </c>
      <c r="EI66" s="22" t="e">
        <f>VLOOKUP($ED59,$CD$6:$CL$40,8,FALSE)</f>
        <v>#N/A</v>
      </c>
      <c r="EJ66" s="22" t="e">
        <f>VLOOKUP($ED59,$CD$6:$CL$40,9,FALSE)</f>
        <v>#N/A</v>
      </c>
      <c r="EK66" s="22" t="e">
        <f>VLOOKUP($ED59,$CD$6:$CL$40,9,FALSE)</f>
        <v>#N/A</v>
      </c>
      <c r="EL66" s="22" t="e">
        <f>VLOOKUP($ED59,$CD$6:$CM$40,10,FALSE)</f>
        <v>#N/A</v>
      </c>
      <c r="EM66" s="22" t="e">
        <f>VLOOKUP($ED59,$CD$6:$CM$40,10,FALSE)</f>
        <v>#N/A</v>
      </c>
      <c r="EN66" s="22"/>
      <c r="EO66" s="22" t="e">
        <f>VLOOKUP($ED59,$CD$6:$CL$40,4,FALSE)</f>
        <v>#N/A</v>
      </c>
      <c r="EP66" s="22" t="e">
        <f>VLOOKUP($ED59,$CD$6:$CL$40,4,FALSE)</f>
        <v>#N/A</v>
      </c>
    </row>
    <row r="67" spans="3:145" ht="14.25">
      <c r="C67" s="160" t="str">
        <f>"WF-"&amp;D$66&amp;"x"&amp;E67&amp;"x"&amp;F67&amp;" mm."</f>
        <v>WF-600X200x11x17 mm.</v>
      </c>
      <c r="D67" s="482"/>
      <c r="E67" s="173">
        <v>11</v>
      </c>
      <c r="F67" s="167">
        <v>17</v>
      </c>
      <c r="G67" s="217">
        <v>22</v>
      </c>
      <c r="H67" s="227">
        <v>134.4</v>
      </c>
      <c r="I67" s="24">
        <v>106</v>
      </c>
      <c r="J67" s="248">
        <v>77600</v>
      </c>
      <c r="K67" s="249">
        <v>2280</v>
      </c>
      <c r="L67" s="179">
        <v>24</v>
      </c>
      <c r="M67" s="196">
        <v>4.12</v>
      </c>
      <c r="N67" s="179">
        <v>2590</v>
      </c>
      <c r="O67" s="196">
        <v>228</v>
      </c>
      <c r="P67" s="22">
        <v>600</v>
      </c>
      <c r="Q67" s="22">
        <v>200</v>
      </c>
      <c r="EB67" s="21">
        <v>7</v>
      </c>
      <c r="EC67" s="21" t="s">
        <v>310</v>
      </c>
      <c r="ED67" s="22">
        <f>VLOOKUP($ED59,$CO$6:$DA$50,4,FALSE)</f>
        <v>5.172</v>
      </c>
      <c r="EE67" s="22">
        <f>VLOOKUP($ED59,$CO$6:$DA$50,5,FALSE)</f>
        <v>4.06</v>
      </c>
      <c r="EF67" s="22">
        <f>VLOOKUP($ED59,$CO$6:$DA$50,8,FALSE)</f>
        <v>80.7</v>
      </c>
      <c r="EG67" s="22">
        <f>VLOOKUP($ED59,$CO$6:$DA$50,9,FALSE)</f>
        <v>19</v>
      </c>
      <c r="EH67" s="22">
        <f>VLOOKUP($ED59,$CO$6:$DA$50,12,FALSE)</f>
        <v>16</v>
      </c>
      <c r="EI67" s="22">
        <f>VLOOKUP($ED59,$CO$6:$DA$50,13,FALSE)</f>
        <v>6.06</v>
      </c>
      <c r="EJ67" s="22">
        <f>VLOOKUP($ED59,$CO$6:$DA$50,10,FALSE)</f>
        <v>3.95</v>
      </c>
      <c r="EK67" s="22">
        <f>VLOOKUP($ED59,$CO$6:$DA$50,11,FALSE)</f>
        <v>1.92</v>
      </c>
      <c r="EL67" s="22">
        <f>VLOOKUP($ED59,$CO$6:$DD$50,14,FALSE)</f>
        <v>100</v>
      </c>
      <c r="EM67" s="22">
        <f>VLOOKUP($ED59,$CO$6:$DD$50,15,FALSE)</f>
        <v>50</v>
      </c>
      <c r="EN67" s="22">
        <f>VLOOKUP($ED59,$CO$6:$DD$50,16,FALSE)</f>
        <v>20</v>
      </c>
      <c r="EO67" s="22">
        <f>VLOOKUP($ED59,$CO$6:$DD$50,3,FALSE)</f>
        <v>2.3</v>
      </c>
    </row>
    <row r="68" spans="3:148" ht="14.25">
      <c r="C68" s="160" t="str">
        <f>"WF-"&amp;D$66&amp;"x"&amp;E68&amp;"x"&amp;F68&amp;" mm."</f>
        <v>WF-600X200x12x20 mm.</v>
      </c>
      <c r="D68" s="482"/>
      <c r="E68" s="173">
        <v>12</v>
      </c>
      <c r="F68" s="167">
        <v>20</v>
      </c>
      <c r="G68" s="217">
        <v>22</v>
      </c>
      <c r="H68" s="227">
        <v>152.5</v>
      </c>
      <c r="I68" s="24">
        <v>120</v>
      </c>
      <c r="J68" s="248">
        <v>90400</v>
      </c>
      <c r="K68" s="249">
        <v>2720</v>
      </c>
      <c r="L68" s="179">
        <v>24.3</v>
      </c>
      <c r="M68" s="196">
        <v>4.22</v>
      </c>
      <c r="N68" s="179">
        <v>2980</v>
      </c>
      <c r="O68" s="196">
        <v>271</v>
      </c>
      <c r="P68" s="22">
        <v>606</v>
      </c>
      <c r="Q68" s="22">
        <v>201</v>
      </c>
      <c r="EB68" s="21">
        <v>8</v>
      </c>
      <c r="EC68" s="21" t="s">
        <v>465</v>
      </c>
      <c r="ED68" s="22" t="e">
        <f>VLOOKUP($ED59,$AJ$27:$BA$43,7,FALSE)</f>
        <v>#N/A</v>
      </c>
      <c r="EE68" s="22" t="e">
        <f>VLOOKUP($ED59,$AJ$27:$BA$43,8,FALSE)</f>
        <v>#N/A</v>
      </c>
      <c r="EF68" s="22" t="e">
        <f>VLOOKUP($ED59,$AJ$27:$BA$43,11,FALSE)</f>
        <v>#N/A</v>
      </c>
      <c r="EG68" s="22" t="e">
        <f>VLOOKUP($ED59,$AJ$27:$BA$43,12,FALSE)</f>
        <v>#N/A</v>
      </c>
      <c r="EH68" s="22" t="e">
        <f>VLOOKUP($ED59,$AJ$27:$BA$43,15,FALSE)</f>
        <v>#N/A</v>
      </c>
      <c r="EI68" s="22" t="e">
        <f>VLOOKUP($ED59,$AJ$27:$BA$43,16,FALSE)</f>
        <v>#N/A</v>
      </c>
      <c r="EJ68" s="22" t="e">
        <f>VLOOKUP($ED59,$AJ$27:$BA$43,13,FALSE)</f>
        <v>#N/A</v>
      </c>
      <c r="EK68" s="22" t="e">
        <f>VLOOKUP($ED59,$AJ$27:$BA$43,14,FALSE)</f>
        <v>#N/A</v>
      </c>
      <c r="EL68" s="22" t="e">
        <f>VLOOKUP($ED59,$AJ$27:$BA$43,17,FALSE)</f>
        <v>#N/A</v>
      </c>
      <c r="EM68" s="22" t="e">
        <f>VLOOKUP($ED59,$AJ$27:$BA$43,18,FALSE)</f>
        <v>#N/A</v>
      </c>
      <c r="EN68" s="22"/>
      <c r="EO68" s="22" t="e">
        <f>VLOOKUP($ED59,$AJ$27:$BA$43,3,FALSE)</f>
        <v>#N/A</v>
      </c>
      <c r="EP68" s="22" t="e">
        <f>VLOOKUP($ED59,$AJ$27:$BA$43,4,FALSE)</f>
        <v>#N/A</v>
      </c>
      <c r="EQ68" s="22" t="e">
        <f>VLOOKUP($ED59,$AJ$27:$BA$43,5,FALSE)</f>
        <v>#N/A</v>
      </c>
      <c r="ER68" s="22" t="e">
        <f>VLOOKUP($ED59,$AJ$27:$BA$43,6,FALSE)</f>
        <v>#N/A</v>
      </c>
    </row>
    <row r="69" spans="3:148" ht="14.25">
      <c r="C69" s="160" t="str">
        <f>"WF-"&amp;D$66&amp;"x"&amp;E69&amp;"x"&amp;F69&amp;" mm."</f>
        <v>WF-600X200x13x23 mm.</v>
      </c>
      <c r="D69" s="482"/>
      <c r="E69" s="173">
        <v>13</v>
      </c>
      <c r="F69" s="167">
        <v>23</v>
      </c>
      <c r="G69" s="217">
        <v>22</v>
      </c>
      <c r="H69" s="227">
        <v>170.7</v>
      </c>
      <c r="I69" s="24">
        <v>134</v>
      </c>
      <c r="J69" s="248">
        <v>103000</v>
      </c>
      <c r="K69" s="249">
        <v>3180</v>
      </c>
      <c r="L69" s="179">
        <v>24.6</v>
      </c>
      <c r="M69" s="196">
        <v>4.31</v>
      </c>
      <c r="N69" s="179">
        <v>3380</v>
      </c>
      <c r="O69" s="196">
        <v>314</v>
      </c>
      <c r="P69" s="22">
        <v>612</v>
      </c>
      <c r="Q69" s="22">
        <v>202</v>
      </c>
      <c r="EB69" s="21">
        <v>9</v>
      </c>
      <c r="EC69" s="21" t="s">
        <v>466</v>
      </c>
      <c r="ED69" s="22" t="e">
        <f>VLOOKUP($ED59,$DG$6:$DV$50,4,FALSE)</f>
        <v>#N/A</v>
      </c>
      <c r="EE69" s="22" t="e">
        <f>VLOOKUP($ED59,$DG$6:$DV$50,5,FALSE)</f>
        <v>#N/A</v>
      </c>
      <c r="EF69" s="22" t="e">
        <f>VLOOKUP($ED59,$DG$6:$DV$50,8,FALSE)</f>
        <v>#N/A</v>
      </c>
      <c r="EG69" s="22" t="e">
        <f>VLOOKUP($ED59,$DG$6:$DV$50,9,FALSE)</f>
        <v>#N/A</v>
      </c>
      <c r="EH69" s="22" t="e">
        <f>VLOOKUP($ED59,$DG$6:$DV$50,12,FALSE)</f>
        <v>#N/A</v>
      </c>
      <c r="EI69" s="22" t="e">
        <f>VLOOKUP($ED59,$DG$6:$DV$50,13,FALSE)</f>
        <v>#N/A</v>
      </c>
      <c r="EJ69" s="22" t="e">
        <f>VLOOKUP($ED59,$DG$6:$DV$50,10,FALSE)</f>
        <v>#N/A</v>
      </c>
      <c r="EK69" s="22" t="e">
        <f>VLOOKUP($ED59,$DG$6:$DV$50,11,FALSE)</f>
        <v>#N/A</v>
      </c>
      <c r="EL69" s="22" t="e">
        <f>VLOOKUP($ED59,$DG$6:$DV$50,14,FALSE)</f>
        <v>#N/A</v>
      </c>
      <c r="EM69" s="22" t="e">
        <f>VLOOKUP($ED59,$DG$6:$DV$50,15,FALSE)</f>
        <v>#N/A</v>
      </c>
      <c r="EN69" s="22" t="e">
        <f>VLOOKUP($ED59,$DG$6:$DV$50,16,FALSE)</f>
        <v>#N/A</v>
      </c>
      <c r="EO69" s="22" t="e">
        <f>VLOOKUP($ED59,$DG$6:$DV$50,3,FALSE)</f>
        <v>#N/A</v>
      </c>
      <c r="EP69" s="22" t="e">
        <f>VLOOKUP($ED59,$DG$6:$DV$50,3,FALSE)</f>
        <v>#N/A</v>
      </c>
      <c r="EQ69" s="22"/>
      <c r="ER69" s="22"/>
    </row>
    <row r="70" spans="3:148" ht="14.25">
      <c r="C70" s="160" t="str">
        <f>"WF-"&amp;D$70&amp;"x"&amp;E70&amp;"x"&amp;F70&amp;" mm."</f>
        <v>WF-600X300x12x17 mm.</v>
      </c>
      <c r="D70" s="481" t="s">
        <v>170</v>
      </c>
      <c r="E70" s="189">
        <v>12</v>
      </c>
      <c r="F70" s="165">
        <v>17</v>
      </c>
      <c r="G70" s="224">
        <v>28</v>
      </c>
      <c r="H70" s="232">
        <v>174.5</v>
      </c>
      <c r="I70" s="158">
        <v>137</v>
      </c>
      <c r="J70" s="264">
        <v>103000</v>
      </c>
      <c r="K70" s="265">
        <v>7670</v>
      </c>
      <c r="L70" s="166">
        <v>24.3</v>
      </c>
      <c r="M70" s="202">
        <v>6.63</v>
      </c>
      <c r="N70" s="166">
        <v>3530</v>
      </c>
      <c r="O70" s="202">
        <v>511</v>
      </c>
      <c r="P70" s="22">
        <v>582</v>
      </c>
      <c r="Q70" s="22">
        <v>300</v>
      </c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</row>
    <row r="71" spans="3:17" ht="14.25">
      <c r="C71" s="160" t="str">
        <f>"WF-"&amp;D$70&amp;"x"&amp;E71&amp;"x"&amp;F71&amp;" mm."</f>
        <v>WF-600X300x12x20 mm.</v>
      </c>
      <c r="D71" s="482"/>
      <c r="E71" s="173">
        <v>12</v>
      </c>
      <c r="F71" s="167">
        <v>20</v>
      </c>
      <c r="G71" s="217">
        <v>28</v>
      </c>
      <c r="H71" s="227">
        <v>192.5</v>
      </c>
      <c r="I71" s="24">
        <v>151</v>
      </c>
      <c r="J71" s="248">
        <v>118000</v>
      </c>
      <c r="K71" s="249">
        <v>9020</v>
      </c>
      <c r="L71" s="179">
        <v>24.8</v>
      </c>
      <c r="M71" s="196">
        <v>6.85</v>
      </c>
      <c r="N71" s="179">
        <v>4020</v>
      </c>
      <c r="O71" s="196">
        <v>601</v>
      </c>
      <c r="P71" s="22">
        <v>588</v>
      </c>
      <c r="Q71" s="22">
        <v>300</v>
      </c>
    </row>
    <row r="72" spans="3:17" ht="14.25">
      <c r="C72" s="160" t="str">
        <f>"WF-"&amp;D$70&amp;"x"&amp;E72&amp;"x"&amp;F72&amp;" mm."</f>
        <v>WF-600X300x14x23 mm.</v>
      </c>
      <c r="D72" s="483"/>
      <c r="E72" s="185">
        <v>14</v>
      </c>
      <c r="F72" s="169">
        <v>23</v>
      </c>
      <c r="G72" s="222">
        <v>28</v>
      </c>
      <c r="H72" s="230">
        <v>222.4</v>
      </c>
      <c r="I72" s="28">
        <v>175</v>
      </c>
      <c r="J72" s="262">
        <v>137000</v>
      </c>
      <c r="K72" s="263">
        <v>10600</v>
      </c>
      <c r="L72" s="170">
        <v>24.9</v>
      </c>
      <c r="M72" s="203">
        <v>6.9</v>
      </c>
      <c r="N72" s="170">
        <v>4620</v>
      </c>
      <c r="O72" s="203">
        <v>701</v>
      </c>
      <c r="P72" s="22">
        <v>594</v>
      </c>
      <c r="Q72" s="22">
        <v>302</v>
      </c>
    </row>
    <row r="73" spans="3:148" ht="14.25">
      <c r="C73" s="160" t="str">
        <f>"WF-"&amp;D$73&amp;"x"&amp;E73&amp;"x"&amp;F73&amp;" mm."</f>
        <v>WF-700x300x13x20 mm.</v>
      </c>
      <c r="D73" s="482" t="s">
        <v>222</v>
      </c>
      <c r="E73" s="173">
        <v>13</v>
      </c>
      <c r="F73" s="167">
        <v>20</v>
      </c>
      <c r="G73" s="217">
        <v>28</v>
      </c>
      <c r="H73" s="227">
        <v>211.5</v>
      </c>
      <c r="I73" s="24">
        <v>166</v>
      </c>
      <c r="J73" s="248">
        <v>172000</v>
      </c>
      <c r="K73" s="249">
        <v>9020</v>
      </c>
      <c r="L73" s="179">
        <v>28.6</v>
      </c>
      <c r="M73" s="196">
        <v>6.53</v>
      </c>
      <c r="N73" s="179">
        <v>4980</v>
      </c>
      <c r="O73" s="196">
        <v>602</v>
      </c>
      <c r="P73" s="22">
        <v>692</v>
      </c>
      <c r="Q73" s="22">
        <v>300</v>
      </c>
      <c r="EC73" s="21" t="s">
        <v>313</v>
      </c>
      <c r="ED73" s="22">
        <f>VLOOKUP($EE59,$EB61:$EK69,3,TRUE)</f>
        <v>5.172</v>
      </c>
      <c r="EE73" s="22">
        <f>VLOOKUP($EE59,$EB61:$EK69,4,TRUE)</f>
        <v>4.06</v>
      </c>
      <c r="EF73" s="22">
        <f>VLOOKUP($EE59,$EB61:$EK69,5,TRUE)</f>
        <v>80.7</v>
      </c>
      <c r="EG73" s="22">
        <f>VLOOKUP($EE59,$EB61:$EK69,6,TRUE)</f>
        <v>19</v>
      </c>
      <c r="EH73" s="22">
        <f>VLOOKUP($EE59,$EB61:$EK69,7,TRUE)</f>
        <v>16</v>
      </c>
      <c r="EI73" s="22">
        <f>VLOOKUP($EE59,$EB61:$EK69,8,TRUE)</f>
        <v>6.06</v>
      </c>
      <c r="EJ73" s="22">
        <f>VLOOKUP($EE59,$EB61:$EK69,9,TRUE)</f>
        <v>3.95</v>
      </c>
      <c r="EK73" s="22">
        <f>VLOOKUP($EE59,$EB61:$EK69,10,TRUE)</f>
        <v>1.92</v>
      </c>
      <c r="EL73" s="22">
        <f>VLOOKUP($EE59,$EB61:$ER69,11,TRUE)</f>
        <v>100</v>
      </c>
      <c r="EM73" s="22">
        <f>VLOOKUP($EE59,$EB61:$ER69,12,TRUE)</f>
        <v>50</v>
      </c>
      <c r="EN73" s="22">
        <f>VLOOKUP($EE59,$EB61:$ER69,13,TRUE)</f>
        <v>20</v>
      </c>
      <c r="EO73" s="22">
        <f>VLOOKUP($EE59,$EB61:$ER69,14,TRUE)</f>
        <v>2.3</v>
      </c>
      <c r="EP73" s="187">
        <f>VLOOKUP($EE59,$EB61:$ER69,15,TRUE)</f>
        <v>0</v>
      </c>
      <c r="EQ73" s="22">
        <f>VLOOKUP($EE59,$EB61:$ER69,16,TRUE)</f>
        <v>0</v>
      </c>
      <c r="ER73" s="22">
        <f>VLOOKUP($EE59,$EB61:$ER69,17,TRUE)</f>
        <v>0</v>
      </c>
    </row>
    <row r="74" spans="3:17" ht="14.25">
      <c r="C74" s="160" t="str">
        <f>"WF-"&amp;D$73&amp;"x"&amp;E74&amp;"x"&amp;F74&amp;" mm."</f>
        <v>WF-700x300x13x24 mm.</v>
      </c>
      <c r="D74" s="482"/>
      <c r="E74" s="173">
        <v>13</v>
      </c>
      <c r="F74" s="167">
        <v>24</v>
      </c>
      <c r="G74" s="217">
        <v>28</v>
      </c>
      <c r="H74" s="227">
        <v>235.5</v>
      </c>
      <c r="I74" s="24">
        <v>185</v>
      </c>
      <c r="J74" s="248">
        <v>201000</v>
      </c>
      <c r="K74" s="249">
        <v>10800</v>
      </c>
      <c r="L74" s="179">
        <v>29.3</v>
      </c>
      <c r="M74" s="196">
        <v>6.78</v>
      </c>
      <c r="N74" s="179">
        <v>5760</v>
      </c>
      <c r="O74" s="196">
        <v>722</v>
      </c>
      <c r="P74" s="22">
        <v>700</v>
      </c>
      <c r="Q74" s="22">
        <v>300</v>
      </c>
    </row>
    <row r="75" spans="3:17" ht="14.25">
      <c r="C75" s="160" t="str">
        <f>"WF-"&amp;D$75&amp;"x"&amp;E75&amp;"x"&amp;F75&amp;" mm."</f>
        <v>WF-800x300x14x22 mm.</v>
      </c>
      <c r="D75" s="481" t="s">
        <v>223</v>
      </c>
      <c r="E75" s="189">
        <v>14</v>
      </c>
      <c r="F75" s="165">
        <v>22</v>
      </c>
      <c r="G75" s="224">
        <v>28</v>
      </c>
      <c r="H75" s="232">
        <v>243.4</v>
      </c>
      <c r="I75" s="158">
        <v>191</v>
      </c>
      <c r="J75" s="264">
        <v>254000</v>
      </c>
      <c r="K75" s="265">
        <v>9930</v>
      </c>
      <c r="L75" s="166">
        <v>32.3</v>
      </c>
      <c r="M75" s="202">
        <v>6.39</v>
      </c>
      <c r="N75" s="166">
        <v>6410</v>
      </c>
      <c r="O75" s="202">
        <v>662</v>
      </c>
      <c r="P75" s="22">
        <v>792</v>
      </c>
      <c r="Q75" s="22">
        <v>300</v>
      </c>
    </row>
    <row r="76" spans="3:135" ht="14.25">
      <c r="C76" s="160" t="str">
        <f>"WF-"&amp;D$75&amp;"x"&amp;E76&amp;"x"&amp;F76&amp;" mm."</f>
        <v>WF-800x300x14x26 mm.</v>
      </c>
      <c r="D76" s="483"/>
      <c r="E76" s="185">
        <v>14</v>
      </c>
      <c r="F76" s="169">
        <v>26</v>
      </c>
      <c r="G76" s="222">
        <v>28</v>
      </c>
      <c r="H76" s="230">
        <v>267.4</v>
      </c>
      <c r="I76" s="28">
        <v>210</v>
      </c>
      <c r="J76" s="262">
        <v>292000</v>
      </c>
      <c r="K76" s="263">
        <v>11700</v>
      </c>
      <c r="L76" s="170">
        <v>33</v>
      </c>
      <c r="M76" s="203">
        <v>6.62</v>
      </c>
      <c r="N76" s="170">
        <v>7290</v>
      </c>
      <c r="O76" s="203">
        <v>782</v>
      </c>
      <c r="P76" s="22">
        <v>800</v>
      </c>
      <c r="Q76" s="22">
        <v>300</v>
      </c>
      <c r="ED76" s="21" t="str">
        <f>'Stud Beam'!CW19</f>
        <v>2[]-125x50x20x2.3 mm.</v>
      </c>
      <c r="EE76" s="21">
        <f>'Stud Beam'!CU7</f>
        <v>9</v>
      </c>
    </row>
    <row r="77" spans="3:148" ht="15" thickBot="1">
      <c r="C77" s="160" t="str">
        <f>"WF-"&amp;D77&amp;"x"&amp;E77&amp;"x"&amp;F77&amp;" mm."</f>
        <v>WF-900x300x16x28 mm.</v>
      </c>
      <c r="D77" s="204" t="s">
        <v>224</v>
      </c>
      <c r="E77" s="205">
        <v>16</v>
      </c>
      <c r="F77" s="206">
        <v>28</v>
      </c>
      <c r="G77" s="225">
        <v>28</v>
      </c>
      <c r="H77" s="233">
        <v>309.8</v>
      </c>
      <c r="I77" s="242">
        <v>243</v>
      </c>
      <c r="J77" s="266">
        <v>411000</v>
      </c>
      <c r="K77" s="267">
        <v>12600</v>
      </c>
      <c r="L77" s="226">
        <v>36.4</v>
      </c>
      <c r="M77" s="207">
        <v>6.39</v>
      </c>
      <c r="N77" s="226">
        <v>11800</v>
      </c>
      <c r="O77" s="207">
        <v>1140</v>
      </c>
      <c r="P77" s="22">
        <v>900</v>
      </c>
      <c r="Q77" s="22">
        <v>300</v>
      </c>
      <c r="ED77" s="22" t="s">
        <v>263</v>
      </c>
      <c r="EE77" s="22" t="s">
        <v>142</v>
      </c>
      <c r="EF77" s="22" t="s">
        <v>87</v>
      </c>
      <c r="EG77" s="22" t="s">
        <v>88</v>
      </c>
      <c r="EH77" s="22" t="s">
        <v>89</v>
      </c>
      <c r="EI77" s="22" t="s">
        <v>90</v>
      </c>
      <c r="EJ77" s="22" t="s">
        <v>229</v>
      </c>
      <c r="EK77" s="22" t="s">
        <v>230</v>
      </c>
      <c r="EL77" s="22" t="s">
        <v>324</v>
      </c>
      <c r="EM77" s="22" t="s">
        <v>323</v>
      </c>
      <c r="EN77" s="22" t="s">
        <v>325</v>
      </c>
      <c r="EO77" s="22" t="s">
        <v>137</v>
      </c>
      <c r="EP77" s="22" t="s">
        <v>138</v>
      </c>
      <c r="EQ77" s="22" t="s">
        <v>172</v>
      </c>
      <c r="ER77" s="22" t="s">
        <v>173</v>
      </c>
    </row>
    <row r="78" spans="4:148" ht="14.25">
      <c r="D78" s="24"/>
      <c r="E78" s="27"/>
      <c r="F78" s="24"/>
      <c r="G78" s="25"/>
      <c r="H78" s="26"/>
      <c r="I78" s="24"/>
      <c r="J78" s="159"/>
      <c r="K78" s="159"/>
      <c r="L78" s="24"/>
      <c r="M78" s="24"/>
      <c r="N78" s="24"/>
      <c r="O78" s="24"/>
      <c r="P78" s="24"/>
      <c r="Q78" s="24"/>
      <c r="R78" s="29"/>
      <c r="EB78" s="21">
        <v>1</v>
      </c>
      <c r="EC78" s="21" t="s">
        <v>306</v>
      </c>
      <c r="ED78" s="22" t="e">
        <f>VLOOKUP($ED76,$C$6:$O$77,6,FALSE)</f>
        <v>#N/A</v>
      </c>
      <c r="EE78" s="22" t="e">
        <f>VLOOKUP($ED76,$C$6:$O$77,7,FALSE)</f>
        <v>#N/A</v>
      </c>
      <c r="EF78" s="22" t="e">
        <f>VLOOKUP($ED76,$C$6:$O$77,8,FALSE)</f>
        <v>#N/A</v>
      </c>
      <c r="EG78" s="22" t="e">
        <f>VLOOKUP($ED76,$C$6:$O$77,9,FALSE)</f>
        <v>#N/A</v>
      </c>
      <c r="EH78" s="22" t="e">
        <f>VLOOKUP($ED76,$C$6:$O$77,12,FALSE)</f>
        <v>#N/A</v>
      </c>
      <c r="EI78" s="22" t="e">
        <f>VLOOKUP($ED76,$C$6:$O$77,13,FALSE)</f>
        <v>#N/A</v>
      </c>
      <c r="EJ78" s="22" t="e">
        <f>VLOOKUP($ED76,$C$6:$O$77,10,FALSE)</f>
        <v>#N/A</v>
      </c>
      <c r="EK78" s="22" t="e">
        <f>VLOOKUP($ED76,$C$6:$O$77,11,FALSE)</f>
        <v>#N/A</v>
      </c>
      <c r="EL78" s="22" t="e">
        <f>VLOOKUP($ED76,$C$6:$Q$77,14,FALSE)</f>
        <v>#N/A</v>
      </c>
      <c r="EM78" s="22" t="e">
        <f>VLOOKUP($ED76,$C$6:$Q$77,15,FALSE)</f>
        <v>#N/A</v>
      </c>
      <c r="EN78" s="22"/>
      <c r="EO78" s="22" t="e">
        <f>VLOOKUP($ED76,$C$6:$O$77,3,FALSE)</f>
        <v>#N/A</v>
      </c>
      <c r="EP78" s="22" t="e">
        <f>VLOOKUP($ED76,$C$6:$O$77,4,FALSE)</f>
        <v>#N/A</v>
      </c>
      <c r="EQ78" s="22" t="e">
        <f>VLOOKUP($ED76,$C$6:$O$77,5,FALSE)</f>
        <v>#N/A</v>
      </c>
      <c r="ER78" s="22"/>
    </row>
    <row r="79" spans="4:148" ht="14.25">
      <c r="D79" s="24"/>
      <c r="E79" s="27"/>
      <c r="F79" s="24"/>
      <c r="G79" s="25"/>
      <c r="H79" s="26"/>
      <c r="I79" s="24"/>
      <c r="J79" s="159"/>
      <c r="K79" s="159"/>
      <c r="L79" s="24"/>
      <c r="M79" s="24"/>
      <c r="N79" s="24"/>
      <c r="O79" s="24"/>
      <c r="P79" s="24"/>
      <c r="Q79" s="24"/>
      <c r="R79" s="29"/>
      <c r="EB79" s="21">
        <v>2</v>
      </c>
      <c r="EC79" s="21" t="s">
        <v>307</v>
      </c>
      <c r="ED79" s="22" t="e">
        <f>VLOOKUP($ED76,$S$6:$AF$25,7,FALSE)</f>
        <v>#N/A</v>
      </c>
      <c r="EE79" s="22" t="e">
        <f>VLOOKUP($ED76,$S$6:$AF$25,8,FALSE)</f>
        <v>#N/A</v>
      </c>
      <c r="EF79" s="22" t="e">
        <f>VLOOKUP($ED76,$S$6:$AF$25,9,FALSE)</f>
        <v>#N/A</v>
      </c>
      <c r="EG79" s="22" t="e">
        <f>VLOOKUP($ED76,$S$6:$AF$25,10,FALSE)</f>
        <v>#N/A</v>
      </c>
      <c r="EH79" s="22" t="e">
        <f>VLOOKUP($ED76,$S$6:$AF$25,13,FALSE)</f>
        <v>#N/A</v>
      </c>
      <c r="EI79" s="22" t="e">
        <f>VLOOKUP($ED76,$S$6:$AF$25,14,FALSE)</f>
        <v>#N/A</v>
      </c>
      <c r="EJ79" s="22" t="e">
        <f>VLOOKUP($ED76,$S$6:$AF$25,11,FALSE)</f>
        <v>#N/A</v>
      </c>
      <c r="EK79" s="22" t="e">
        <f>VLOOKUP($ED76,$S$6:$AF$25,12,FALSE)</f>
        <v>#N/A</v>
      </c>
      <c r="EL79" s="22" t="e">
        <f>VLOOKUP($ED76,$S$6:$AH$25,15,FALSE)</f>
        <v>#N/A</v>
      </c>
      <c r="EM79" s="22" t="e">
        <f>VLOOKUP($ED76,$S$6:$AH$25,16,FALSE)</f>
        <v>#N/A</v>
      </c>
      <c r="EN79" s="22"/>
      <c r="EO79" s="22" t="e">
        <f>VLOOKUP($ED76,$S$6:$AH$25,3,FALSE)</f>
        <v>#N/A</v>
      </c>
      <c r="EP79" s="22" t="e">
        <f>VLOOKUP($ED76,$S$6:$AH$25,4,FALSE)</f>
        <v>#N/A</v>
      </c>
      <c r="EQ79" s="22" t="e">
        <f>VLOOKUP($ED76,$S$6:$AH$25,5,FALSE)</f>
        <v>#N/A</v>
      </c>
      <c r="ER79" s="22" t="e">
        <f>VLOOKUP($ED76,$S$6:$AH$25,6,FALSE)</f>
        <v>#N/A</v>
      </c>
    </row>
    <row r="80" spans="4:148" ht="14.25">
      <c r="D80" s="24"/>
      <c r="E80" s="27"/>
      <c r="F80" s="24"/>
      <c r="G80" s="25"/>
      <c r="H80" s="26"/>
      <c r="I80" s="24"/>
      <c r="J80" s="159"/>
      <c r="K80" s="159"/>
      <c r="L80" s="24"/>
      <c r="M80" s="24"/>
      <c r="N80" s="24"/>
      <c r="O80" s="24"/>
      <c r="P80" s="24"/>
      <c r="Q80" s="24"/>
      <c r="R80" s="29"/>
      <c r="EB80" s="21">
        <v>3</v>
      </c>
      <c r="EC80" s="21" t="s">
        <v>308</v>
      </c>
      <c r="ED80" s="22" t="e">
        <f>VLOOKUP($ED76,$AJ$6:$AY$22,7,FALSE)</f>
        <v>#N/A</v>
      </c>
      <c r="EE80" s="22" t="e">
        <f>VLOOKUP($ED76,$AJ$6:$AY$22,8,FALSE)</f>
        <v>#N/A</v>
      </c>
      <c r="EF80" s="22" t="e">
        <f>VLOOKUP($ED76,$AJ$6:$AY$22,11,FALSE)</f>
        <v>#N/A</v>
      </c>
      <c r="EG80" s="22" t="e">
        <f>VLOOKUP($ED76,$AJ$6:$AY$22,12,FALSE)</f>
        <v>#N/A</v>
      </c>
      <c r="EH80" s="22" t="e">
        <f>VLOOKUP($ED76,$AJ$6:$AY$22,15,FALSE)</f>
        <v>#N/A</v>
      </c>
      <c r="EI80" s="22" t="e">
        <f>VLOOKUP($ED76,$AJ$6:$AY$22,16,FALSE)</f>
        <v>#N/A</v>
      </c>
      <c r="EJ80" s="22" t="e">
        <f>VLOOKUP($ED76,$AJ$6:$AY$22,13,FALSE)</f>
        <v>#N/A</v>
      </c>
      <c r="EK80" s="22" t="e">
        <f>VLOOKUP($ED76,$AJ$6:$AY$22,14,FALSE)</f>
        <v>#N/A</v>
      </c>
      <c r="EL80" s="22" t="e">
        <f>VLOOKUP($ED76,$AJ$6:$BA$22,17,FALSE)</f>
        <v>#N/A</v>
      </c>
      <c r="EM80" s="22" t="e">
        <f>VLOOKUP($ED76,$AJ$6:$BA$22,18,FALSE)</f>
        <v>#N/A</v>
      </c>
      <c r="EN80" s="22"/>
      <c r="EO80" s="22" t="e">
        <f>VLOOKUP($ED76,$AJ$6:$BA$22,3,FALSE)</f>
        <v>#N/A</v>
      </c>
      <c r="EP80" s="22" t="e">
        <f>VLOOKUP($ED76,$AJ$6:$BA$22,4,FALSE)</f>
        <v>#N/A</v>
      </c>
      <c r="EQ80" s="22" t="e">
        <f>VLOOKUP($ED76,$AJ$6:$BA$22,5,FALSE)</f>
        <v>#N/A</v>
      </c>
      <c r="ER80" s="22" t="e">
        <f>VLOOKUP($ED76,$AJ$6:$BA$22,6,FALSE)</f>
        <v>#N/A</v>
      </c>
    </row>
    <row r="81" spans="4:145" ht="14.25">
      <c r="D81" s="24"/>
      <c r="E81" s="27"/>
      <c r="F81" s="24"/>
      <c r="G81" s="25"/>
      <c r="H81" s="26"/>
      <c r="I81" s="24"/>
      <c r="J81" s="159"/>
      <c r="K81" s="159"/>
      <c r="L81" s="24"/>
      <c r="M81" s="24"/>
      <c r="N81" s="24"/>
      <c r="O81" s="24"/>
      <c r="P81" s="24"/>
      <c r="Q81" s="24"/>
      <c r="R81" s="29"/>
      <c r="EB81" s="21">
        <v>4</v>
      </c>
      <c r="EC81" s="21" t="s">
        <v>311</v>
      </c>
      <c r="ED81" s="22" t="e">
        <f>VLOOKUP($ED76,$BC$6:$BK$37,5,FALSE)</f>
        <v>#N/A</v>
      </c>
      <c r="EE81" s="22" t="e">
        <f>VLOOKUP($ED76,$BC$6:$BK$37,6,FALSE)</f>
        <v>#N/A</v>
      </c>
      <c r="EF81" s="22" t="e">
        <f>VLOOKUP($ED76,$BC$6:$BK$37,7,FALSE)</f>
        <v>#N/A</v>
      </c>
      <c r="EG81" s="22" t="e">
        <f>VLOOKUP($ED76,$BC$6:$BK$37,7,FALSE)</f>
        <v>#N/A</v>
      </c>
      <c r="EH81" s="22" t="e">
        <f>VLOOKUP($ED76,$BC$6:$BK$37,8,FALSE)</f>
        <v>#N/A</v>
      </c>
      <c r="EI81" s="22" t="e">
        <f>VLOOKUP($ED76,$BC$6:$BK$37,8,FALSE)</f>
        <v>#N/A</v>
      </c>
      <c r="EJ81" s="22" t="e">
        <f>VLOOKUP($ED76,$BC$6:$BK$37,9,FALSE)</f>
        <v>#N/A</v>
      </c>
      <c r="EK81" s="22" t="e">
        <f>VLOOKUP($ED76,$BC$6:$BK$37,9,FALSE)</f>
        <v>#N/A</v>
      </c>
      <c r="EL81" s="22" t="e">
        <f>VLOOKUP($ED76,$BC$6:$BL$37,10,FALSE)</f>
        <v>#N/A</v>
      </c>
      <c r="EM81" s="22" t="e">
        <f>VLOOKUP($ED76,$BC$6:$BL$37,10,FALSE)</f>
        <v>#N/A</v>
      </c>
      <c r="EN81" s="22"/>
      <c r="EO81" s="22" t="e">
        <f>VLOOKUP($ED76,$BC$6:$BL$37,4,FALSE)</f>
        <v>#N/A</v>
      </c>
    </row>
    <row r="82" spans="4:145" ht="14.25">
      <c r="D82" s="24"/>
      <c r="E82" s="27"/>
      <c r="F82" s="24"/>
      <c r="G82" s="25"/>
      <c r="H82" s="26"/>
      <c r="I82" s="24"/>
      <c r="J82" s="159"/>
      <c r="K82" s="159"/>
      <c r="L82" s="24"/>
      <c r="M82" s="24"/>
      <c r="N82" s="24"/>
      <c r="O82" s="24"/>
      <c r="P82" s="24"/>
      <c r="Q82" s="24"/>
      <c r="R82" s="29"/>
      <c r="EB82" s="21">
        <v>5</v>
      </c>
      <c r="EC82" s="21" t="s">
        <v>309</v>
      </c>
      <c r="ED82" s="22" t="e">
        <f>VLOOKUP($ED76,$BO$6:$BZ$31,5,FALSE)</f>
        <v>#N/A</v>
      </c>
      <c r="EE82" s="22" t="e">
        <f>VLOOKUP($ED76,$BO$6:$BZ$31,6,FALSE)</f>
        <v>#N/A</v>
      </c>
      <c r="EF82" s="22" t="e">
        <f>VLOOKUP($ED76,$BO$6:$BZ$31,7,FALSE)</f>
        <v>#N/A</v>
      </c>
      <c r="EG82" s="22" t="e">
        <f>VLOOKUP($ED76,$BO$6:$BZ$31,8,FALSE)</f>
        <v>#N/A</v>
      </c>
      <c r="EH82" s="22" t="e">
        <f>VLOOKUP($ED76,$BO$6:$BZ$31,9,FALSE)</f>
        <v>#N/A</v>
      </c>
      <c r="EI82" s="22" t="e">
        <f>VLOOKUP($ED76,$BO$6:$BZ$31,10,FALSE)</f>
        <v>#N/A</v>
      </c>
      <c r="EJ82" s="22" t="e">
        <f>VLOOKUP($ED76,$BO$6:$BZ$31,11,FALSE)</f>
        <v>#N/A</v>
      </c>
      <c r="EK82" s="22" t="e">
        <f>VLOOKUP($ED76,$BO$6:$BZ$31,12,FALSE)</f>
        <v>#N/A</v>
      </c>
      <c r="EL82" s="22" t="e">
        <f>VLOOKUP($ED76,$BO$6:$CB$31,13,FALSE)</f>
        <v>#N/A</v>
      </c>
      <c r="EM82" s="22" t="e">
        <f>VLOOKUP($ED76,$BO$6:$CB$31,14,FALSE)</f>
        <v>#N/A</v>
      </c>
      <c r="EN82" s="22"/>
      <c r="EO82" s="22" t="e">
        <f>VLOOKUP($ED76,$BO$6:$CB$31,4,FALSE)</f>
        <v>#N/A</v>
      </c>
    </row>
    <row r="83" spans="4:146" ht="14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  <c r="Q83" s="24"/>
      <c r="R83" s="23"/>
      <c r="EB83" s="21">
        <v>6</v>
      </c>
      <c r="EC83" s="21" t="s">
        <v>278</v>
      </c>
      <c r="ED83" s="22" t="e">
        <f>VLOOKUP($ED76,$CD$6:$CL$40,6,FALSE)</f>
        <v>#N/A</v>
      </c>
      <c r="EE83" s="22" t="e">
        <f>VLOOKUP($ED76,$CD$6:$CL$40,5,FALSE)</f>
        <v>#N/A</v>
      </c>
      <c r="EF83" s="22" t="e">
        <f>VLOOKUP($ED76,$CD$6:$CL$40,7,FALSE)</f>
        <v>#N/A</v>
      </c>
      <c r="EG83" s="22" t="e">
        <f>VLOOKUP($ED76,$CD$6:$CL$40,7,FALSE)</f>
        <v>#N/A</v>
      </c>
      <c r="EH83" s="22" t="e">
        <f>VLOOKUP($ED76,$CD$6:$CL$40,8,FALSE)</f>
        <v>#N/A</v>
      </c>
      <c r="EI83" s="22" t="e">
        <f>VLOOKUP($ED76,$CD$6:$CL$40,8,FALSE)</f>
        <v>#N/A</v>
      </c>
      <c r="EJ83" s="22" t="e">
        <f>VLOOKUP($ED76,$CD$6:$CL$40,9,FALSE)</f>
        <v>#N/A</v>
      </c>
      <c r="EK83" s="22" t="e">
        <f>VLOOKUP($ED76,$CD$6:$CL$40,9,FALSE)</f>
        <v>#N/A</v>
      </c>
      <c r="EL83" s="22" t="e">
        <f>VLOOKUP($ED76,$CD$6:$CM$40,10,FALSE)</f>
        <v>#N/A</v>
      </c>
      <c r="EM83" s="22" t="e">
        <f>VLOOKUP($ED76,$CD$6:$CM$40,10,FALSE)</f>
        <v>#N/A</v>
      </c>
      <c r="EN83" s="22"/>
      <c r="EO83" s="22" t="e">
        <f>VLOOKUP($ED76,$CD$6:$CL$40,4,FALSE)</f>
        <v>#N/A</v>
      </c>
      <c r="EP83" s="22" t="e">
        <f>VLOOKUP($ED76,$CD$6:$CL$40,4,FALSE)</f>
        <v>#N/A</v>
      </c>
    </row>
    <row r="84" spans="132:145" ht="14.25">
      <c r="EB84" s="21">
        <v>7</v>
      </c>
      <c r="EC84" s="21" t="s">
        <v>310</v>
      </c>
      <c r="ED84" s="22" t="e">
        <f>VLOOKUP($ED76,$CO$6:$DA$50,4,FALSE)</f>
        <v>#N/A</v>
      </c>
      <c r="EE84" s="22" t="e">
        <f>VLOOKUP($ED76,$CO$6:$DA$50,5,FALSE)</f>
        <v>#N/A</v>
      </c>
      <c r="EF84" s="22" t="e">
        <f>VLOOKUP($ED76,$CO$6:$DA$50,8,FALSE)</f>
        <v>#N/A</v>
      </c>
      <c r="EG84" s="22" t="e">
        <f>VLOOKUP($ED76,$CO$6:$DA$50,9,FALSE)</f>
        <v>#N/A</v>
      </c>
      <c r="EH84" s="22" t="e">
        <f>VLOOKUP($ED76,$CO$6:$DA$50,12,FALSE)</f>
        <v>#N/A</v>
      </c>
      <c r="EI84" s="22" t="e">
        <f>VLOOKUP($ED76,$CO$6:$DA$50,13,FALSE)</f>
        <v>#N/A</v>
      </c>
      <c r="EJ84" s="22" t="e">
        <f>VLOOKUP($ED76,$CO$6:$DA$50,10,FALSE)</f>
        <v>#N/A</v>
      </c>
      <c r="EK84" s="22" t="e">
        <f>VLOOKUP($ED76,$CO$6:$DA$50,11,FALSE)</f>
        <v>#N/A</v>
      </c>
      <c r="EL84" s="22" t="e">
        <f>VLOOKUP($ED76,$CO$6:$DD$50,14,FALSE)</f>
        <v>#N/A</v>
      </c>
      <c r="EM84" s="22" t="e">
        <f>VLOOKUP($ED76,$CO$6:$DD$50,15,FALSE)</f>
        <v>#N/A</v>
      </c>
      <c r="EN84" s="22" t="e">
        <f>VLOOKUP($ED76,$CO$6:$DD$50,16,FALSE)</f>
        <v>#N/A</v>
      </c>
      <c r="EO84" s="22" t="e">
        <f>VLOOKUP($ED76,$CO$6:$DD$50,3,FALSE)</f>
        <v>#N/A</v>
      </c>
    </row>
    <row r="85" spans="132:148" ht="14.25">
      <c r="EB85" s="21">
        <v>8</v>
      </c>
      <c r="EC85" s="21" t="s">
        <v>465</v>
      </c>
      <c r="ED85" s="22" t="e">
        <f>VLOOKUP($ED76,$AJ$27:$BA$43,7,FALSE)</f>
        <v>#N/A</v>
      </c>
      <c r="EE85" s="22" t="e">
        <f>VLOOKUP($ED76,$AJ$27:$BA$43,8,FALSE)</f>
        <v>#N/A</v>
      </c>
      <c r="EF85" s="22" t="e">
        <f>VLOOKUP($ED76,$AJ$27:$BA$43,11,FALSE)</f>
        <v>#N/A</v>
      </c>
      <c r="EG85" s="22" t="e">
        <f>VLOOKUP($ED76,$AJ$27:$BA$43,12,FALSE)</f>
        <v>#N/A</v>
      </c>
      <c r="EH85" s="22" t="e">
        <f>VLOOKUP($ED76,$AJ$27:$BA$43,15,FALSE)</f>
        <v>#N/A</v>
      </c>
      <c r="EI85" s="22" t="e">
        <f>VLOOKUP($ED76,$AJ$27:$BA$43,16,FALSE)</f>
        <v>#N/A</v>
      </c>
      <c r="EJ85" s="22" t="e">
        <f>VLOOKUP($ED76,$AJ$27:$BA$43,13,FALSE)</f>
        <v>#N/A</v>
      </c>
      <c r="EK85" s="22" t="e">
        <f>VLOOKUP($ED76,$AJ$27:$BA$43,14,FALSE)</f>
        <v>#N/A</v>
      </c>
      <c r="EL85" s="22" t="e">
        <f>VLOOKUP($ED76,$AJ$27:$BA$43,17,FALSE)</f>
        <v>#N/A</v>
      </c>
      <c r="EM85" s="22" t="e">
        <f>VLOOKUP($ED76,$AJ$27:$BA$43,18,FALSE)</f>
        <v>#N/A</v>
      </c>
      <c r="EN85" s="22"/>
      <c r="EO85" s="22" t="e">
        <f>VLOOKUP($ED76,$AJ$27:$BA$43,3,FALSE)</f>
        <v>#N/A</v>
      </c>
      <c r="EP85" s="22" t="e">
        <f>VLOOKUP($ED76,$AJ$27:$BA$43,4,FALSE)</f>
        <v>#N/A</v>
      </c>
      <c r="EQ85" s="22" t="e">
        <f>VLOOKUP($ED76,$AJ$27:$BA$43,5,FALSE)</f>
        <v>#N/A</v>
      </c>
      <c r="ER85" s="22" t="e">
        <f>VLOOKUP($ED76,$AJ$27:$BA$43,6,FALSE)</f>
        <v>#N/A</v>
      </c>
    </row>
    <row r="86" spans="132:148" ht="14.25">
      <c r="EB86" s="21">
        <v>9</v>
      </c>
      <c r="EC86" s="21" t="s">
        <v>466</v>
      </c>
      <c r="ED86" s="22">
        <f>VLOOKUP($ED76,$DG$6:$DV$50,4,FALSE)</f>
        <v>11.494</v>
      </c>
      <c r="EE86" s="22">
        <f>VLOOKUP($ED76,$DG$6:$DV$50,5,FALSE)</f>
        <v>9.02</v>
      </c>
      <c r="EF86" s="22">
        <f>VLOOKUP($ED76,$DG$6:$DV$50,8,FALSE)</f>
        <v>274</v>
      </c>
      <c r="EG86" s="22">
        <f>VLOOKUP($ED76,$DG$6:$DV$50,9,FALSE)</f>
        <v>41.2</v>
      </c>
      <c r="EH86" s="22">
        <f>VLOOKUP($ED76,$DG$6:$DV$50,12,FALSE)</f>
        <v>43.8</v>
      </c>
      <c r="EI86" s="22">
        <f>VLOOKUP($ED76,$DG$6:$DV$50,13,FALSE)</f>
        <v>12.44</v>
      </c>
      <c r="EJ86" s="22">
        <f>VLOOKUP($ED76,$DG$6:$DV$50,10,FALSE)</f>
        <v>2.37</v>
      </c>
      <c r="EK86" s="22">
        <f>VLOOKUP($ED76,$DG$6:$DV$50,11,FALSE)</f>
        <v>1.11</v>
      </c>
      <c r="EL86" s="22">
        <f>VLOOKUP($ED76,$DG$6:$DV$50,14,FALSE)</f>
        <v>125</v>
      </c>
      <c r="EM86" s="22">
        <f>VLOOKUP($ED76,$DG$6:$DV$50,15,FALSE)</f>
        <v>100</v>
      </c>
      <c r="EN86" s="22">
        <f>VLOOKUP($ED76,$DG$6:$DV$50,16,FALSE)</f>
        <v>20</v>
      </c>
      <c r="EO86" s="22">
        <f>VLOOKUP($ED76,$DG$6:$DV$50,3,FALSE)</f>
        <v>2.3</v>
      </c>
      <c r="EP86" s="22">
        <f>VLOOKUP($ED76,$DG$6:$DV$50,3,FALSE)</f>
        <v>2.3</v>
      </c>
      <c r="EQ86" s="22"/>
      <c r="ER86" s="22"/>
    </row>
    <row r="87" spans="134:148" ht="14.25"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</row>
    <row r="90" spans="133:148" ht="14.25">
      <c r="EC90" s="21" t="s">
        <v>313</v>
      </c>
      <c r="ED90" s="22">
        <f>VLOOKUP($EE76,$EB78:$EK86,3,TRUE)</f>
        <v>11.494</v>
      </c>
      <c r="EE90" s="22">
        <f>VLOOKUP($EE76,$EB78:$EK86,4,TRUE)</f>
        <v>9.02</v>
      </c>
      <c r="EF90" s="22">
        <f>VLOOKUP($EE76,$EB78:$EK86,5,TRUE)</f>
        <v>274</v>
      </c>
      <c r="EG90" s="22">
        <f>VLOOKUP($EE76,$EB78:$EK86,6,TRUE)</f>
        <v>41.2</v>
      </c>
      <c r="EH90" s="22">
        <f>VLOOKUP($EE76,$EB78:$EK86,7,TRUE)</f>
        <v>43.8</v>
      </c>
      <c r="EI90" s="22">
        <f>VLOOKUP($EE76,$EB78:$EK86,8,TRUE)</f>
        <v>12.44</v>
      </c>
      <c r="EJ90" s="22">
        <f>VLOOKUP($EE76,$EB78:$EK86,9,TRUE)</f>
        <v>2.37</v>
      </c>
      <c r="EK90" s="22">
        <f>VLOOKUP($EE76,$EB78:$EK86,10,TRUE)</f>
        <v>1.11</v>
      </c>
      <c r="EL90" s="22">
        <f>VLOOKUP($EE76,$EB78:$ER86,11,TRUE)</f>
        <v>125</v>
      </c>
      <c r="EM90" s="22">
        <f>VLOOKUP($EE76,$EB78:$ER86,12,TRUE)</f>
        <v>100</v>
      </c>
      <c r="EN90" s="22">
        <f>VLOOKUP($EE76,$EB78:$ER86,13,TRUE)</f>
        <v>20</v>
      </c>
      <c r="EO90" s="22">
        <f>VLOOKUP($EE76,$EB78:$ER86,14,TRUE)</f>
        <v>2.3</v>
      </c>
      <c r="EP90" s="187">
        <f>VLOOKUP($EE76,$EB78:$ER86,15,TRUE)</f>
        <v>2.3</v>
      </c>
      <c r="EQ90" s="22">
        <f>VLOOKUP($EE76,$EB78:$ER86,16,TRUE)</f>
        <v>0</v>
      </c>
      <c r="ER90" s="22">
        <f>VLOOKUP($EE76,$EB78:$ER86,17,TRUE)</f>
        <v>0</v>
      </c>
    </row>
  </sheetData>
  <sheetProtection insertRows="0" insertHyperlinks="0"/>
  <mergeCells count="166">
    <mergeCell ref="CE12:CE15"/>
    <mergeCell ref="CE16:CE18"/>
    <mergeCell ref="CE19:CE21"/>
    <mergeCell ref="CF19:CF21"/>
    <mergeCell ref="CF16:CF18"/>
    <mergeCell ref="CF12:CF15"/>
    <mergeCell ref="CE29:CE32"/>
    <mergeCell ref="CE33:CE36"/>
    <mergeCell ref="CE37:CE40"/>
    <mergeCell ref="CE22:CE23"/>
    <mergeCell ref="CE24:CE25"/>
    <mergeCell ref="CE26:CE28"/>
    <mergeCell ref="CE7:CE8"/>
    <mergeCell ref="CF7:CF8"/>
    <mergeCell ref="CF10:CF11"/>
    <mergeCell ref="CE10:CE11"/>
    <mergeCell ref="CF26:CF28"/>
    <mergeCell ref="CF24:CF25"/>
    <mergeCell ref="CF22:CF23"/>
    <mergeCell ref="CF37:CF40"/>
    <mergeCell ref="CF29:CF32"/>
    <mergeCell ref="CF33:CF36"/>
    <mergeCell ref="CG2:CG3"/>
    <mergeCell ref="CE1:CL1"/>
    <mergeCell ref="CP3:CQ4"/>
    <mergeCell ref="CT3:CU3"/>
    <mergeCell ref="CT4:CU4"/>
    <mergeCell ref="CP1:DA1"/>
    <mergeCell ref="CV4:CW4"/>
    <mergeCell ref="CV3:CW3"/>
    <mergeCell ref="CX4:CY4"/>
    <mergeCell ref="CX3:CY3"/>
    <mergeCell ref="CZ4:DA4"/>
    <mergeCell ref="CZ3:DA3"/>
    <mergeCell ref="BP29:BP31"/>
    <mergeCell ref="BP21:BP25"/>
    <mergeCell ref="BP26:BP28"/>
    <mergeCell ref="BP6:BP9"/>
    <mergeCell ref="BP10:BP11"/>
    <mergeCell ref="BP12:BP14"/>
    <mergeCell ref="BP15:BP20"/>
    <mergeCell ref="BQ6:BQ9"/>
    <mergeCell ref="BE30:BE33"/>
    <mergeCell ref="BE34:BE37"/>
    <mergeCell ref="BD21:BD24"/>
    <mergeCell ref="BD25:BD29"/>
    <mergeCell ref="BD30:BD33"/>
    <mergeCell ref="BD34:BD37"/>
    <mergeCell ref="BQ29:BQ31"/>
    <mergeCell ref="BQ26:BQ28"/>
    <mergeCell ref="BQ21:BQ25"/>
    <mergeCell ref="BQ15:BQ20"/>
    <mergeCell ref="BQ1:BY1"/>
    <mergeCell ref="BW3:BX3"/>
    <mergeCell ref="BW4:BX4"/>
    <mergeCell ref="BU3:BV3"/>
    <mergeCell ref="BU4:BV4"/>
    <mergeCell ref="BY3:BZ3"/>
    <mergeCell ref="BY4:BZ4"/>
    <mergeCell ref="BP3:BQ3"/>
    <mergeCell ref="BP4:BQ4"/>
    <mergeCell ref="D75:D76"/>
    <mergeCell ref="D73:D74"/>
    <mergeCell ref="D70:D72"/>
    <mergeCell ref="T24:T25"/>
    <mergeCell ref="D54:D56"/>
    <mergeCell ref="D48:D53"/>
    <mergeCell ref="D46:D47"/>
    <mergeCell ref="D66:D69"/>
    <mergeCell ref="D63:D65"/>
    <mergeCell ref="D60:D62"/>
    <mergeCell ref="D28:D32"/>
    <mergeCell ref="D57:D59"/>
    <mergeCell ref="D33:D35"/>
    <mergeCell ref="D36:D37"/>
    <mergeCell ref="D43:D45"/>
    <mergeCell ref="D38:D42"/>
    <mergeCell ref="BD12:BD13"/>
    <mergeCell ref="D26:D27"/>
    <mergeCell ref="T22:T23"/>
    <mergeCell ref="T20:T21"/>
    <mergeCell ref="D18:D19"/>
    <mergeCell ref="T18:T19"/>
    <mergeCell ref="AK20:AK22"/>
    <mergeCell ref="AK17:AK19"/>
    <mergeCell ref="D20:D23"/>
    <mergeCell ref="D24:D25"/>
    <mergeCell ref="T15:T17"/>
    <mergeCell ref="AK15:AK16"/>
    <mergeCell ref="BE1:BK1"/>
    <mergeCell ref="BE12:BE13"/>
    <mergeCell ref="AK1:AY1"/>
    <mergeCell ref="T13:T14"/>
    <mergeCell ref="BE10:BE11"/>
    <mergeCell ref="BE6:BE9"/>
    <mergeCell ref="BD6:BD9"/>
    <mergeCell ref="BD10:BD11"/>
    <mergeCell ref="D12:D13"/>
    <mergeCell ref="D15:D17"/>
    <mergeCell ref="BD3:BE3"/>
    <mergeCell ref="BD4:BE4"/>
    <mergeCell ref="AK9:AK10"/>
    <mergeCell ref="AK4:AO4"/>
    <mergeCell ref="AT4:AU4"/>
    <mergeCell ref="AV4:AW4"/>
    <mergeCell ref="AX4:AY4"/>
    <mergeCell ref="AR4:AS4"/>
    <mergeCell ref="D1:O1"/>
    <mergeCell ref="T1:AF1"/>
    <mergeCell ref="AA4:AB4"/>
    <mergeCell ref="AC4:AD4"/>
    <mergeCell ref="AE4:AF4"/>
    <mergeCell ref="T4:X4"/>
    <mergeCell ref="D4:G4"/>
    <mergeCell ref="J4:K4"/>
    <mergeCell ref="L4:M4"/>
    <mergeCell ref="N4:O4"/>
    <mergeCell ref="CP38:CP40"/>
    <mergeCell ref="CP35:CP37"/>
    <mergeCell ref="CP32:CP34"/>
    <mergeCell ref="CP47:CP49"/>
    <mergeCell ref="CP44:CP46"/>
    <mergeCell ref="CP41:CP43"/>
    <mergeCell ref="CP6:CP8"/>
    <mergeCell ref="CP28:CP31"/>
    <mergeCell ref="CP25:CP27"/>
    <mergeCell ref="CP17:CP23"/>
    <mergeCell ref="AT25:AU25"/>
    <mergeCell ref="AV25:AW25"/>
    <mergeCell ref="CP14:CP16"/>
    <mergeCell ref="CP11:CP13"/>
    <mergeCell ref="BE14:BE20"/>
    <mergeCell ref="BD14:BD20"/>
    <mergeCell ref="BQ10:BQ11"/>
    <mergeCell ref="BQ12:BQ14"/>
    <mergeCell ref="BE21:BE24"/>
    <mergeCell ref="BE25:BE29"/>
    <mergeCell ref="DH6:DH8"/>
    <mergeCell ref="DH11:DH13"/>
    <mergeCell ref="DH14:DH16"/>
    <mergeCell ref="AK41:AK43"/>
    <mergeCell ref="AX25:AY25"/>
    <mergeCell ref="AK30:AK31"/>
    <mergeCell ref="AK36:AK37"/>
    <mergeCell ref="AK38:AK40"/>
    <mergeCell ref="AK25:AO25"/>
    <mergeCell ref="AR25:AS25"/>
    <mergeCell ref="DH1:DS1"/>
    <mergeCell ref="DH3:DI4"/>
    <mergeCell ref="DL3:DM3"/>
    <mergeCell ref="DN3:DO3"/>
    <mergeCell ref="DP3:DQ3"/>
    <mergeCell ref="DR3:DS3"/>
    <mergeCell ref="DL4:DM4"/>
    <mergeCell ref="DN4:DO4"/>
    <mergeCell ref="DP4:DQ4"/>
    <mergeCell ref="DR4:DS4"/>
    <mergeCell ref="DH17:DH23"/>
    <mergeCell ref="DH25:DH27"/>
    <mergeCell ref="DH28:DH31"/>
    <mergeCell ref="DH32:DH34"/>
    <mergeCell ref="DH47:DH49"/>
    <mergeCell ref="DH35:DH37"/>
    <mergeCell ref="DH38:DH40"/>
    <mergeCell ref="DH41:DH43"/>
    <mergeCell ref="DH44:DH46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CasperX</cp:lastModifiedBy>
  <cp:lastPrinted>2010-02-17T16:46:58Z</cp:lastPrinted>
  <dcterms:created xsi:type="dcterms:W3CDTF">2008-11-21T07:11:45Z</dcterms:created>
  <dcterms:modified xsi:type="dcterms:W3CDTF">2010-04-11T23:52:29Z</dcterms:modified>
  <cp:category/>
  <cp:version/>
  <cp:contentType/>
  <cp:contentStatus/>
</cp:coreProperties>
</file>