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ROLLED SECTION" sheetId="1" r:id="rId1"/>
    <sheet name="BUILT UP SECTION" sheetId="2" r:id="rId2"/>
  </sheets>
  <definedNames>
    <definedName name="_xlnm.Print_Area" localSheetId="1">'BUILT UP SECTION'!$A$1:$J$58</definedName>
    <definedName name="_xlnm.Print_Area" localSheetId="0">'ROLLED SECTION'!$A$1:$J$56</definedName>
    <definedName name="_xlnm.Print_Titles" localSheetId="1">'BUILT UP SECTION'!$1:$4</definedName>
    <definedName name="_xlnm.Print_Titles" localSheetId="0">'ROLLED SECTION'!$1:$4</definedName>
    <definedName name="Z_B381FCE2_D8C1_4124_915B_856606DE7547_.wvu.PrintArea" localSheetId="1" hidden="1">'BUILT UP SECTION'!$A$1:$J$95</definedName>
    <definedName name="Z_B381FCE2_D8C1_4124_915B_856606DE7547_.wvu.PrintArea" localSheetId="0" hidden="1">'ROLLED SECTION'!$A$1:$J$93</definedName>
    <definedName name="Z_B381FCE2_D8C1_4124_915B_856606DE7547_.wvu.PrintTitles" localSheetId="1" hidden="1">'BUILT UP SECTION'!$1:$4</definedName>
    <definedName name="Z_B381FCE2_D8C1_4124_915B_856606DE7547_.wvu.PrintTitles" localSheetId="0" hidden="1">'ROLLED SECTION'!$1:$4</definedName>
  </definedNames>
  <calcPr fullCalcOnLoad="1"/>
</workbook>
</file>

<file path=xl/sharedStrings.xml><?xml version="1.0" encoding="utf-8"?>
<sst xmlns="http://schemas.openxmlformats.org/spreadsheetml/2006/main" count="447" uniqueCount="203">
  <si>
    <t>m</t>
  </si>
  <si>
    <t>=</t>
  </si>
  <si>
    <t>t</t>
  </si>
  <si>
    <t>mm</t>
  </si>
  <si>
    <t>1)- APPLIED FORCES :-</t>
  </si>
  <si>
    <t>mt</t>
  </si>
  <si>
    <t>Q</t>
  </si>
  <si>
    <t>cm</t>
  </si>
  <si>
    <t>Y</t>
  </si>
  <si>
    <t>A</t>
  </si>
  <si>
    <t>a</t>
  </si>
  <si>
    <t>b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</si>
  <si>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</si>
  <si>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</si>
  <si>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</si>
  <si>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</si>
  <si>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</si>
  <si>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t>Cb</t>
  </si>
  <si>
    <t>Rt</t>
  </si>
  <si>
    <t>Af</t>
  </si>
  <si>
    <t>F1</t>
  </si>
  <si>
    <t>Lu/Rt</t>
  </si>
  <si>
    <t>F2</t>
  </si>
  <si>
    <t>F3</t>
  </si>
  <si>
    <t>Fltb</t>
  </si>
  <si>
    <t>PROPERTIES OF SECTION :-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</si>
  <si>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</si>
  <si>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</si>
  <si>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</si>
  <si>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</si>
  <si>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</si>
  <si>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</si>
  <si>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I</t>
    </r>
    <r>
      <rPr>
        <vertAlign val="subscript"/>
        <sz val="11"/>
        <rFont val="Times New Roman"/>
        <family val="1"/>
      </rPr>
      <t>x</t>
    </r>
  </si>
  <si>
    <r>
      <t>S</t>
    </r>
    <r>
      <rPr>
        <vertAlign val="subscript"/>
        <sz val="11"/>
        <rFont val="Times New Roman"/>
        <family val="1"/>
      </rPr>
      <t>x</t>
    </r>
  </si>
  <si>
    <t>2)- CHOISE OF SECTION :-</t>
  </si>
  <si>
    <t>CHECK COMPACTNESS :-</t>
  </si>
  <si>
    <t>Lateral torsional buckling of comp.flange</t>
  </si>
  <si>
    <t>Fltb1</t>
  </si>
  <si>
    <t>If</t>
  </si>
  <si>
    <t>Fltb2</t>
  </si>
  <si>
    <t>F</t>
  </si>
  <si>
    <t>Fsec</t>
  </si>
  <si>
    <t>CHECK NORMAL STRESSES :-</t>
  </si>
  <si>
    <t>CHECK SHEAR STRESSES :-</t>
  </si>
  <si>
    <r>
      <t>q</t>
    </r>
    <r>
      <rPr>
        <vertAlign val="subscript"/>
        <sz val="11"/>
        <rFont val="Times New Roman"/>
        <family val="1"/>
      </rPr>
      <t>w</t>
    </r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</si>
  <si>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</si>
  <si>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</si>
  <si>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</si>
  <si>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</si>
  <si>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</si>
  <si>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</si>
  <si>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</si>
  <si>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</si>
  <si>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</si>
  <si>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</si>
  <si>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</si>
  <si>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</si>
  <si>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</si>
  <si>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</si>
  <si>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</si>
  <si>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</si>
  <si>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table(2.2)</t>
  </si>
  <si>
    <t>ECP 16</t>
  </si>
  <si>
    <t>eqn. 2.18</t>
  </si>
  <si>
    <t>ECP</t>
  </si>
  <si>
    <t>eqn. 2.2</t>
  </si>
  <si>
    <t>M.Nour</t>
  </si>
  <si>
    <r>
      <t>t</t>
    </r>
    <r>
      <rPr>
        <vertAlign val="subscript"/>
        <sz val="11"/>
        <rFont val="Times New Roman"/>
        <family val="1"/>
      </rPr>
      <t>WEB</t>
    </r>
  </si>
  <si>
    <t>AREA</t>
  </si>
  <si>
    <t>h</t>
  </si>
  <si>
    <t>s</t>
  </si>
  <si>
    <t>r1</t>
  </si>
  <si>
    <t>h-2c</t>
  </si>
  <si>
    <t>Ix</t>
  </si>
  <si>
    <t>Sx</t>
  </si>
  <si>
    <t>rx</t>
  </si>
  <si>
    <t>ry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</si>
  <si>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</si>
  <si>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</si>
  <si>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</si>
  <si>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</si>
  <si>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</si>
  <si>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</si>
  <si>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</si>
  <si>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</si>
  <si>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</si>
  <si>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</si>
  <si>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</si>
  <si>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</si>
  <si>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</si>
  <si>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</si>
  <si>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</si>
  <si>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CHECKING AND PACKING HALL</t>
  </si>
  <si>
    <t xml:space="preserve">      The section is Rolled section</t>
  </si>
  <si>
    <r>
      <t>b</t>
    </r>
    <r>
      <rPr>
        <vertAlign val="subscript"/>
        <sz val="11"/>
        <rFont val="Times New Roman"/>
        <family val="1"/>
      </rPr>
      <t>FL</t>
    </r>
  </si>
  <si>
    <r>
      <t>t</t>
    </r>
    <r>
      <rPr>
        <vertAlign val="subscript"/>
        <sz val="11"/>
        <rFont val="Times New Roman"/>
        <family val="1"/>
      </rPr>
      <t>FL</t>
    </r>
  </si>
  <si>
    <t>SEC. BEAM ID :-</t>
  </si>
  <si>
    <t>( SB-1 )</t>
  </si>
  <si>
    <t>Case Combination</t>
  </si>
  <si>
    <t>Total length of Beam (L)             =</t>
  </si>
  <si>
    <t>Lu of compressin flange              =</t>
  </si>
  <si>
    <t>3)- BEAM DATA :-</t>
  </si>
  <si>
    <t>4)- CHECK SECTION :-</t>
  </si>
  <si>
    <t>CHECK DEFLICTION DUO TO LIVE LOAD :-</t>
  </si>
  <si>
    <r>
      <t>W</t>
    </r>
    <r>
      <rPr>
        <vertAlign val="subscript"/>
        <sz val="11"/>
        <rFont val="Times New Roman"/>
        <family val="1"/>
      </rPr>
      <t>L.L</t>
    </r>
  </si>
  <si>
    <t>t/m</t>
  </si>
  <si>
    <t>Beam type</t>
  </si>
  <si>
    <t>simple</t>
  </si>
  <si>
    <t>continues</t>
  </si>
  <si>
    <r>
      <t>δ</t>
    </r>
    <r>
      <rPr>
        <vertAlign val="subscript"/>
        <sz val="11"/>
        <rFont val="Times New Roman"/>
        <family val="1"/>
      </rPr>
      <t>L.L</t>
    </r>
  </si>
  <si>
    <t>ECP 132</t>
  </si>
  <si>
    <t>table(9.1)</t>
  </si>
  <si>
    <t>IPE 120</t>
  </si>
  <si>
    <t>St.37</t>
  </si>
  <si>
    <t>St.44</t>
  </si>
  <si>
    <t>St.52</t>
  </si>
  <si>
    <t>Steel grade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</si>
  <si>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</si>
  <si>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</si>
  <si>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IPE 100</t>
  </si>
  <si>
    <t>UPN 100</t>
  </si>
  <si>
    <t>UPN 120</t>
  </si>
  <si>
    <t>UPN 140</t>
  </si>
  <si>
    <t>UPN 160</t>
  </si>
  <si>
    <t>UPN 180</t>
  </si>
  <si>
    <t>UPN 200</t>
  </si>
  <si>
    <t>UPN 220</t>
  </si>
  <si>
    <t>UPN 240</t>
  </si>
  <si>
    <t>UPN 260</t>
  </si>
  <si>
    <t>UPN 280</t>
  </si>
  <si>
    <t>UPN 300</t>
  </si>
  <si>
    <t>UPN 320</t>
  </si>
  <si>
    <t>UPN 350</t>
  </si>
  <si>
    <t>UPN 380</t>
  </si>
  <si>
    <t>UPN 400</t>
  </si>
  <si>
    <t>HEB 300</t>
  </si>
  <si>
    <t>HEB 320</t>
  </si>
  <si>
    <t>HEB 340</t>
  </si>
  <si>
    <t>HEB 360</t>
  </si>
  <si>
    <t>HEB 400</t>
  </si>
  <si>
    <t>HEB 450</t>
  </si>
  <si>
    <t>HEB 500</t>
  </si>
  <si>
    <t>HEB 550</t>
  </si>
  <si>
    <t>HEB 600</t>
  </si>
  <si>
    <t>HEB 650</t>
  </si>
  <si>
    <t>HEB 700</t>
  </si>
  <si>
    <t>HEB 800</t>
  </si>
  <si>
    <t>HEB 900</t>
  </si>
  <si>
    <t>HEB 1000</t>
  </si>
  <si>
    <t>HEB 100</t>
  </si>
  <si>
    <t>HEB 120</t>
  </si>
  <si>
    <t>HEB 140</t>
  </si>
  <si>
    <t>HEB 160</t>
  </si>
  <si>
    <t>HEB 180</t>
  </si>
  <si>
    <t>HEB 200</t>
  </si>
  <si>
    <t>HEB 220</t>
  </si>
  <si>
    <t>HEB 240</t>
  </si>
  <si>
    <t>HEB 260</t>
  </si>
  <si>
    <t>HEB 280</t>
  </si>
  <si>
    <t>HEA 100</t>
  </si>
  <si>
    <t>HEA 120</t>
  </si>
  <si>
    <t>HEA 140</t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</si>
  <si>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</si>
  <si>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</si>
  <si>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</si>
  <si>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</si>
  <si>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</si>
  <si>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</si>
  <si>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</si>
  <si>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</si>
  <si>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</si>
  <si>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</si>
  <si>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</si>
  <si>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</si>
  <si>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</si>
  <si>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t>HEA 500</t>
  </si>
  <si>
    <t>HEA 550</t>
  </si>
  <si>
    <t>HEA 600</t>
  </si>
  <si>
    <t>HEA 650</t>
  </si>
  <si>
    <t>HEA 700</t>
  </si>
  <si>
    <t>HEA 800</t>
  </si>
  <si>
    <t>HEA 900</t>
  </si>
  <si>
    <t>HEA 1000</t>
  </si>
  <si>
    <t>P (2)</t>
  </si>
  <si>
    <t xml:space="preserve">      The section is Built up section</t>
  </si>
  <si>
    <r>
      <t>b</t>
    </r>
    <r>
      <rPr>
        <vertAlign val="subscript"/>
        <sz val="11"/>
        <rFont val="Times New Roman"/>
        <family val="1"/>
      </rPr>
      <t>FLU</t>
    </r>
  </si>
  <si>
    <r>
      <t>t</t>
    </r>
    <r>
      <rPr>
        <vertAlign val="subscript"/>
        <sz val="11"/>
        <rFont val="Times New Roman"/>
        <family val="1"/>
      </rPr>
      <t>FLU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</si>
  <si>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</si>
  <si>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</si>
  <si>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FLL</t>
    </r>
  </si>
  <si>
    <r>
      <t>t</t>
    </r>
    <r>
      <rPr>
        <vertAlign val="subscript"/>
        <sz val="11"/>
        <rFont val="Times New Roman"/>
        <family val="1"/>
      </rPr>
      <t>FLL</t>
    </r>
  </si>
  <si>
    <r>
      <t>S</t>
    </r>
    <r>
      <rPr>
        <vertAlign val="subscript"/>
        <sz val="11"/>
        <rFont val="Times New Roman"/>
        <family val="1"/>
      </rPr>
      <t>x.top</t>
    </r>
  </si>
  <si>
    <r>
      <t>S</t>
    </r>
    <r>
      <rPr>
        <vertAlign val="subscript"/>
        <sz val="11"/>
        <rFont val="Times New Roman"/>
        <family val="1"/>
      </rPr>
      <t>x.bot</t>
    </r>
  </si>
  <si>
    <t>The Comprision flange is</t>
  </si>
  <si>
    <t>bFLU</t>
  </si>
  <si>
    <r>
      <t>M</t>
    </r>
    <r>
      <rPr>
        <vertAlign val="subscript"/>
        <sz val="11"/>
        <rFont val="Times New Roman"/>
        <family val="1"/>
      </rPr>
      <t>x</t>
    </r>
  </si>
  <si>
    <r>
      <t>M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</si>
  <si>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y</t>
    </r>
  </si>
  <si>
    <r>
      <t>I</t>
    </r>
    <r>
      <rPr>
        <vertAlign val="subscript"/>
        <sz val="11"/>
        <rFont val="Times New Roman"/>
        <family val="1"/>
      </rPr>
      <t>y</t>
    </r>
  </si>
  <si>
    <t>Iy</t>
  </si>
  <si>
    <t>Sy</t>
  </si>
  <si>
    <r>
      <t>F</t>
    </r>
    <r>
      <rPr>
        <vertAlign val="subscript"/>
        <sz val="11"/>
        <rFont val="Times New Roman"/>
        <family val="1"/>
      </rPr>
      <t xml:space="preserve">bcy </t>
    </r>
  </si>
  <si>
    <r>
      <t>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) + (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) 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</si>
</sst>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  <font>
      <vertAlign val="subscript"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ck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6">
    <xf numFmtId="201" fontId="0" fillId="0" borderId="0" xfId="0" applyAlignment="1">
      <alignment/>
    </xf>
    <xf numFmtId="201" fontId="9" fillId="0" borderId="10" xfId="0" applyFont="1" applyBorder="1" applyAlignment="1" applyProtection="1">
      <alignment horizontal="center" vertical="center"/>
      <protection locked="0"/>
    </xf>
    <xf numFmtId="201" fontId="0" fillId="0" borderId="11" xfId="0" applyBorder="1" applyAlignment="1" applyProtection="1">
      <alignment/>
      <protection locked="0"/>
    </xf>
    <xf numFmtId="201" fontId="9" fillId="0" borderId="12" xfId="0" applyFont="1" applyBorder="1" applyAlignment="1" applyProtection="1">
      <alignment horizontal="center" vertical="center"/>
      <protection locked="0"/>
    </xf>
    <xf numFmtId="201" fontId="0" fillId="0" borderId="13" xfId="0" applyBorder="1" applyAlignment="1" applyProtection="1">
      <alignment/>
      <protection locked="0"/>
    </xf>
    <xf numFmtId="201" fontId="0" fillId="0" borderId="14" xfId="0" applyBorder="1" applyAlignment="1" applyProtection="1">
      <alignment/>
      <protection locked="0"/>
    </xf>
    <xf numFmtId="201" fontId="0" fillId="0" borderId="15" xfId="0" applyFont="1" applyFill="1" applyBorder="1" applyAlignment="1" applyProtection="1">
      <alignment horizontal="left" vertical="center"/>
      <protection locked="0"/>
    </xf>
    <xf numFmtId="201" fontId="10" fillId="0" borderId="0" xfId="0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Alignment="1" applyProtection="1">
      <alignment horizontal="center" vertical="center"/>
      <protection locked="0"/>
    </xf>
    <xf numFmtId="201" fontId="22" fillId="0" borderId="0" xfId="0" applyFont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201" fontId="5" fillId="0" borderId="0" xfId="0" applyFont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/>
      <protection hidden="1"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204" fontId="9" fillId="0" borderId="16" xfId="0" applyNumberFormat="1" applyFont="1" applyFill="1" applyBorder="1" applyAlignment="1" applyProtection="1">
      <alignment horizontal="center"/>
      <protection hidden="1"/>
    </xf>
    <xf numFmtId="204" fontId="9" fillId="0" borderId="16" xfId="0" applyNumberFormat="1" applyFont="1" applyBorder="1" applyAlignment="1" applyProtection="1">
      <alignment horizontal="center"/>
      <protection hidden="1"/>
    </xf>
    <xf numFmtId="0" fontId="0" fillId="0" borderId="17" xfId="57" applyFont="1" applyBorder="1" applyProtection="1">
      <alignment/>
      <protection hidden="1"/>
    </xf>
    <xf numFmtId="2" fontId="0" fillId="0" borderId="18" xfId="57" applyNumberFormat="1" applyBorder="1" applyAlignment="1" applyProtection="1">
      <alignment horizontal="center"/>
      <protection hidden="1"/>
    </xf>
    <xf numFmtId="2" fontId="0" fillId="0" borderId="19" xfId="57" applyNumberFormat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201" fontId="9" fillId="0" borderId="21" xfId="0" applyFont="1" applyBorder="1" applyAlignment="1" applyProtection="1">
      <alignment/>
      <protection hidden="1"/>
    </xf>
    <xf numFmtId="2" fontId="9" fillId="0" borderId="22" xfId="0" applyNumberFormat="1" applyFont="1" applyFill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204" fontId="9" fillId="0" borderId="18" xfId="0" applyNumberFormat="1" applyFont="1" applyBorder="1" applyAlignment="1" applyProtection="1">
      <alignment horizontal="center"/>
      <protection hidden="1"/>
    </xf>
    <xf numFmtId="1" fontId="9" fillId="0" borderId="18" xfId="0" applyNumberFormat="1" applyFont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2" fontId="9" fillId="0" borderId="19" xfId="0" applyNumberFormat="1" applyFont="1" applyBorder="1" applyAlignment="1" applyProtection="1">
      <alignment horizontal="center"/>
      <protection hidden="1"/>
    </xf>
    <xf numFmtId="201" fontId="9" fillId="0" borderId="23" xfId="0" applyFont="1" applyBorder="1" applyAlignment="1" applyProtection="1">
      <alignment/>
      <protection hidden="1"/>
    </xf>
    <xf numFmtId="2" fontId="9" fillId="0" borderId="24" xfId="0" applyNumberFormat="1" applyFont="1" applyFill="1" applyBorder="1" applyAlignment="1" applyProtection="1">
      <alignment horizontal="center"/>
      <protection hidden="1"/>
    </xf>
    <xf numFmtId="1" fontId="8" fillId="0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204" fontId="9" fillId="0" borderId="18" xfId="0" applyNumberFormat="1" applyFont="1" applyFill="1" applyBorder="1" applyAlignment="1" applyProtection="1">
      <alignment horizontal="center"/>
      <protection hidden="1"/>
    </xf>
    <xf numFmtId="201" fontId="8" fillId="0" borderId="23" xfId="0" applyFont="1" applyBorder="1" applyAlignment="1" applyProtection="1">
      <alignment/>
      <protection hidden="1"/>
    </xf>
    <xf numFmtId="201" fontId="8" fillId="0" borderId="25" xfId="0" applyFont="1" applyBorder="1" applyAlignment="1" applyProtection="1">
      <alignment/>
      <protection hidden="1"/>
    </xf>
    <xf numFmtId="2" fontId="9" fillId="0" borderId="26" xfId="0" applyNumberFormat="1" applyFont="1" applyFill="1" applyBorder="1" applyAlignment="1" applyProtection="1">
      <alignment horizontal="center"/>
      <protection hidden="1"/>
    </xf>
    <xf numFmtId="1" fontId="8" fillId="0" borderId="27" xfId="0" applyNumberFormat="1" applyFont="1" applyFill="1" applyBorder="1" applyAlignment="1" applyProtection="1">
      <alignment horizontal="center"/>
      <protection hidden="1"/>
    </xf>
    <xf numFmtId="1" fontId="9" fillId="0" borderId="27" xfId="0" applyNumberFormat="1" applyFont="1" applyFill="1" applyBorder="1" applyAlignment="1" applyProtection="1">
      <alignment horizontal="center"/>
      <protection hidden="1"/>
    </xf>
    <xf numFmtId="204" fontId="9" fillId="0" borderId="27" xfId="0" applyNumberFormat="1" applyFont="1" applyFill="1" applyBorder="1" applyAlignment="1" applyProtection="1">
      <alignment horizontal="center"/>
      <protection hidden="1"/>
    </xf>
    <xf numFmtId="204" fontId="9" fillId="0" borderId="2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2" fontId="9" fillId="0" borderId="27" xfId="0" applyNumberFormat="1" applyFont="1" applyBorder="1" applyAlignment="1" applyProtection="1">
      <alignment horizontal="center"/>
      <protection hidden="1"/>
    </xf>
    <xf numFmtId="2" fontId="9" fillId="0" borderId="28" xfId="0" applyNumberFormat="1" applyFont="1" applyBorder="1" applyAlignment="1" applyProtection="1">
      <alignment horizontal="center"/>
      <protection hidden="1"/>
    </xf>
    <xf numFmtId="201" fontId="8" fillId="0" borderId="29" xfId="0" applyFont="1" applyBorder="1" applyAlignment="1" applyProtection="1">
      <alignment/>
      <protection hidden="1"/>
    </xf>
    <xf numFmtId="201" fontId="9" fillId="0" borderId="17" xfId="0" applyFont="1" applyBorder="1" applyAlignment="1" applyProtection="1">
      <alignment/>
      <protection hidden="1"/>
    </xf>
    <xf numFmtId="201" fontId="8" fillId="0" borderId="17" xfId="0" applyFont="1" applyBorder="1" applyAlignment="1" applyProtection="1">
      <alignment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/>
      <protection hidden="1"/>
    </xf>
    <xf numFmtId="2" fontId="0" fillId="0" borderId="18" xfId="0" applyNumberFormat="1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2" fontId="0" fillId="0" borderId="19" xfId="0" applyNumberFormat="1" applyBorder="1" applyAlignment="1" applyProtection="1">
      <alignment/>
      <protection hidden="1"/>
    </xf>
    <xf numFmtId="2" fontId="0" fillId="0" borderId="31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01" fontId="41" fillId="0" borderId="32" xfId="0" applyFont="1" applyBorder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57" applyFont="1" applyBorder="1" applyProtection="1">
      <alignment/>
      <protection hidden="1"/>
    </xf>
    <xf numFmtId="2" fontId="0" fillId="0" borderId="0" xfId="57" applyNumberForma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204" fontId="9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01" fontId="9" fillId="0" borderId="33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locked="0"/>
    </xf>
    <xf numFmtId="201" fontId="0" fillId="0" borderId="0" xfId="0" applyAlignment="1" applyProtection="1">
      <alignment/>
      <protection hidden="1"/>
    </xf>
    <xf numFmtId="201" fontId="8" fillId="0" borderId="0" xfId="0" applyFont="1" applyBorder="1" applyAlignment="1" applyProtection="1">
      <alignment vertical="center"/>
      <protection hidden="1"/>
    </xf>
    <xf numFmtId="201" fontId="0" fillId="0" borderId="0" xfId="0" applyBorder="1" applyAlignment="1" applyProtection="1">
      <alignment/>
      <protection hidden="1"/>
    </xf>
    <xf numFmtId="201" fontId="40" fillId="0" borderId="34" xfId="0" applyFont="1" applyFill="1" applyBorder="1" applyAlignment="1" applyProtection="1">
      <alignment horizontal="left"/>
      <protection hidden="1"/>
    </xf>
    <xf numFmtId="201" fontId="0" fillId="0" borderId="35" xfId="0" applyBorder="1" applyAlignment="1" applyProtection="1">
      <alignment/>
      <protection hidden="1"/>
    </xf>
    <xf numFmtId="201" fontId="0" fillId="0" borderId="36" xfId="0" applyBorder="1" applyAlignment="1" applyProtection="1">
      <alignment/>
      <protection hidden="1"/>
    </xf>
    <xf numFmtId="1" fontId="5" fillId="0" borderId="33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1" fontId="5" fillId="0" borderId="37" xfId="0" applyNumberFormat="1" applyFont="1" applyBorder="1" applyAlignment="1" applyProtection="1">
      <alignment horizontal="center"/>
      <protection hidden="1"/>
    </xf>
    <xf numFmtId="2" fontId="5" fillId="0" borderId="38" xfId="0" applyNumberFormat="1" applyFont="1" applyBorder="1" applyAlignment="1" applyProtection="1">
      <alignment horizontal="center"/>
      <protection hidden="1"/>
    </xf>
    <xf numFmtId="201" fontId="5" fillId="0" borderId="39" xfId="0" applyFont="1" applyBorder="1" applyAlignment="1" applyProtection="1">
      <alignment horizontal="center"/>
      <protection hidden="1"/>
    </xf>
    <xf numFmtId="201" fontId="5" fillId="0" borderId="40" xfId="0" applyFont="1" applyBorder="1" applyAlignment="1" applyProtection="1">
      <alignment horizontal="center"/>
      <protection hidden="1"/>
    </xf>
    <xf numFmtId="201" fontId="46" fillId="0" borderId="33" xfId="0" applyFont="1" applyFill="1" applyBorder="1" applyAlignment="1" applyProtection="1">
      <alignment horizontal="left"/>
      <protection hidden="1"/>
    </xf>
    <xf numFmtId="201" fontId="0" fillId="0" borderId="41" xfId="0" applyBorder="1" applyAlignment="1" applyProtection="1">
      <alignment/>
      <protection hidden="1"/>
    </xf>
    <xf numFmtId="1" fontId="8" fillId="0" borderId="33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1" fontId="9" fillId="0" borderId="42" xfId="0" applyNumberFormat="1" applyFont="1" applyBorder="1" applyAlignment="1" applyProtection="1">
      <alignment horizontal="center"/>
      <protection hidden="1"/>
    </xf>
    <xf numFmtId="204" fontId="9" fillId="0" borderId="42" xfId="0" applyNumberFormat="1" applyFont="1" applyBorder="1" applyAlignment="1" applyProtection="1">
      <alignment horizontal="center"/>
      <protection hidden="1"/>
    </xf>
    <xf numFmtId="204" fontId="9" fillId="0" borderId="43" xfId="0" applyNumberFormat="1" applyFont="1" applyFill="1" applyBorder="1" applyAlignment="1" applyProtection="1">
      <alignment horizontal="center"/>
      <protection hidden="1"/>
    </xf>
    <xf numFmtId="201" fontId="41" fillId="0" borderId="33" xfId="0" applyFont="1" applyFill="1" applyBorder="1" applyAlignment="1" applyProtection="1">
      <alignment horizontal="left"/>
      <protection hidden="1"/>
    </xf>
    <xf numFmtId="201" fontId="5" fillId="0" borderId="44" xfId="0" applyFont="1" applyBorder="1" applyAlignment="1" applyProtection="1">
      <alignment horizontal="center" vertical="center"/>
      <protection hidden="1"/>
    </xf>
    <xf numFmtId="201" fontId="5" fillId="0" borderId="45" xfId="0" applyFont="1" applyBorder="1" applyAlignment="1" applyProtection="1">
      <alignment horizontal="center" vertical="center"/>
      <protection hidden="1"/>
    </xf>
    <xf numFmtId="201" fontId="44" fillId="0" borderId="45" xfId="0" applyFont="1" applyBorder="1" applyAlignment="1" applyProtection="1">
      <alignment horizontal="center" vertical="center"/>
      <protection hidden="1"/>
    </xf>
    <xf numFmtId="201" fontId="5" fillId="0" borderId="46" xfId="0" applyFont="1" applyBorder="1" applyAlignment="1" applyProtection="1">
      <alignment horizontal="center" vertical="center"/>
      <protection hidden="1"/>
    </xf>
    <xf numFmtId="201" fontId="0" fillId="0" borderId="44" xfId="0" applyFont="1" applyFill="1" applyBorder="1" applyAlignment="1" applyProtection="1">
      <alignment horizontal="center" vertical="center"/>
      <protection hidden="1"/>
    </xf>
    <xf numFmtId="201" fontId="41" fillId="0" borderId="47" xfId="0" applyFont="1" applyFill="1" applyBorder="1" applyAlignment="1" applyProtection="1">
      <alignment horizontal="left"/>
      <protection hidden="1"/>
    </xf>
    <xf numFmtId="201" fontId="0" fillId="0" borderId="48" xfId="0" applyBorder="1" applyAlignment="1" applyProtection="1">
      <alignment/>
      <protection hidden="1"/>
    </xf>
    <xf numFmtId="201" fontId="0" fillId="0" borderId="10" xfId="0" applyFont="1" applyFill="1" applyBorder="1" applyAlignment="1" applyProtection="1">
      <alignment horizontal="center" vertical="center"/>
      <protection hidden="1"/>
    </xf>
    <xf numFmtId="201" fontId="0" fillId="0" borderId="49" xfId="0" applyBorder="1" applyAlignment="1" applyProtection="1">
      <alignment/>
      <protection hidden="1"/>
    </xf>
    <xf numFmtId="201" fontId="4" fillId="0" borderId="34" xfId="0" applyFont="1" applyBorder="1" applyAlignment="1" applyProtection="1">
      <alignment vertical="center"/>
      <protection hidden="1"/>
    </xf>
    <xf numFmtId="201" fontId="5" fillId="0" borderId="0" xfId="0" applyFont="1" applyBorder="1" applyAlignment="1" applyProtection="1">
      <alignment horizontal="center" vertical="center"/>
      <protection hidden="1"/>
    </xf>
    <xf numFmtId="201" fontId="5" fillId="0" borderId="0" xfId="0" applyFont="1" applyBorder="1" applyAlignment="1" applyProtection="1">
      <alignment vertical="center"/>
      <protection hidden="1"/>
    </xf>
    <xf numFmtId="201" fontId="0" fillId="0" borderId="0" xfId="0" applyFont="1" applyAlignment="1" applyProtection="1">
      <alignment vertical="center"/>
      <protection hidden="1"/>
    </xf>
    <xf numFmtId="201" fontId="4" fillId="0" borderId="0" xfId="0" applyFont="1" applyBorder="1" applyAlignment="1" applyProtection="1">
      <alignment vertical="center"/>
      <protection hidden="1"/>
    </xf>
    <xf numFmtId="201" fontId="17" fillId="0" borderId="0" xfId="0" applyFont="1" applyBorder="1" applyAlignment="1" applyProtection="1">
      <alignment horizontal="right" vertical="center"/>
      <protection hidden="1"/>
    </xf>
    <xf numFmtId="201" fontId="7" fillId="0" borderId="0" xfId="0" applyFont="1" applyBorder="1" applyAlignment="1" applyProtection="1">
      <alignment vertical="center"/>
      <protection hidden="1"/>
    </xf>
    <xf numFmtId="201" fontId="39" fillId="0" borderId="50" xfId="0" applyFont="1" applyFill="1" applyBorder="1" applyAlignment="1" applyProtection="1">
      <alignment horizontal="left" vertical="center"/>
      <protection hidden="1"/>
    </xf>
    <xf numFmtId="201" fontId="9" fillId="0" borderId="33" xfId="0" applyFont="1" applyBorder="1" applyAlignment="1" applyProtection="1">
      <alignment vertical="center"/>
      <protection hidden="1"/>
    </xf>
    <xf numFmtId="201" fontId="9" fillId="0" borderId="0" xfId="0" applyFont="1" applyAlignment="1" applyProtection="1">
      <alignment vertical="center"/>
      <protection hidden="1"/>
    </xf>
    <xf numFmtId="201" fontId="9" fillId="0" borderId="0" xfId="0" applyFont="1" applyBorder="1" applyAlignment="1" applyProtection="1">
      <alignment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12" fillId="0" borderId="32" xfId="0" applyFont="1" applyBorder="1" applyAlignment="1" applyProtection="1">
      <alignment horizontal="center" vertical="center"/>
      <protection hidden="1"/>
    </xf>
    <xf numFmtId="201" fontId="4" fillId="0" borderId="33" xfId="0" applyFont="1" applyBorder="1" applyAlignment="1" applyProtection="1">
      <alignment vertical="center"/>
      <protection hidden="1"/>
    </xf>
    <xf numFmtId="201" fontId="19" fillId="0" borderId="0" xfId="0" applyFont="1" applyAlignment="1" applyProtection="1">
      <alignment horizontal="center" vertical="center"/>
      <protection hidden="1"/>
    </xf>
    <xf numFmtId="201" fontId="4" fillId="0" borderId="0" xfId="0" applyFont="1" applyAlignment="1" applyProtection="1">
      <alignment vertical="center"/>
      <protection hidden="1"/>
    </xf>
    <xf numFmtId="201" fontId="9" fillId="0" borderId="0" xfId="0" applyFont="1" applyBorder="1" applyAlignment="1" applyProtection="1">
      <alignment horizontal="right" vertical="center"/>
      <protection hidden="1"/>
    </xf>
    <xf numFmtId="201" fontId="0" fillId="0" borderId="0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0" fillId="0" borderId="33" xfId="0" applyFont="1" applyBorder="1" applyAlignment="1" applyProtection="1">
      <alignment vertical="center"/>
      <protection hidden="1"/>
    </xf>
    <xf numFmtId="201" fontId="43" fillId="0" borderId="32" xfId="0" applyFont="1" applyBorder="1" applyAlignment="1" applyProtection="1">
      <alignment horizontal="center" vertical="center"/>
      <protection hidden="1"/>
    </xf>
    <xf numFmtId="1" fontId="9" fillId="0" borderId="33" xfId="0" applyNumberFormat="1" applyFont="1" applyBorder="1" applyAlignment="1" applyProtection="1">
      <alignment horizontal="center"/>
      <protection hidden="1"/>
    </xf>
    <xf numFmtId="201" fontId="12" fillId="0" borderId="0" xfId="0" applyFont="1" applyBorder="1" applyAlignment="1" applyProtection="1">
      <alignment vertical="center"/>
      <protection hidden="1"/>
    </xf>
    <xf numFmtId="201" fontId="4" fillId="0" borderId="0" xfId="0" applyFont="1" applyAlignment="1" applyProtection="1">
      <alignment horizontal="center" vertical="center"/>
      <protection hidden="1"/>
    </xf>
    <xf numFmtId="201" fontId="9" fillId="0" borderId="32" xfId="0" applyFont="1" applyBorder="1" applyAlignment="1" applyProtection="1">
      <alignment vertical="center"/>
      <protection hidden="1"/>
    </xf>
    <xf numFmtId="201" fontId="9" fillId="0" borderId="33" xfId="0" applyFont="1" applyBorder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horizontal="center" vertical="center"/>
      <protection hidden="1"/>
    </xf>
    <xf numFmtId="201" fontId="4" fillId="0" borderId="33" xfId="0" applyFont="1" applyBorder="1" applyAlignment="1" applyProtection="1">
      <alignment horizontal="left" vertical="center"/>
      <protection hidden="1"/>
    </xf>
    <xf numFmtId="201" fontId="12" fillId="0" borderId="33" xfId="0" applyFont="1" applyBorder="1" applyAlignment="1" applyProtection="1">
      <alignment horizontal="left" vertical="center"/>
      <protection hidden="1"/>
    </xf>
    <xf numFmtId="201" fontId="9" fillId="0" borderId="41" xfId="0" applyFont="1" applyBorder="1" applyAlignment="1" applyProtection="1">
      <alignment vertical="center"/>
      <protection hidden="1"/>
    </xf>
    <xf numFmtId="201" fontId="9" fillId="0" borderId="33" xfId="0" applyFont="1" applyBorder="1" applyAlignment="1" applyProtection="1">
      <alignment horizontal="left" vertical="center"/>
      <protection hidden="1"/>
    </xf>
    <xf numFmtId="201" fontId="22" fillId="0" borderId="0" xfId="0" applyFont="1" applyAlignment="1" applyProtection="1">
      <alignment horizontal="center" vertical="center"/>
      <protection hidden="1"/>
    </xf>
    <xf numFmtId="204" fontId="9" fillId="0" borderId="0" xfId="0" applyNumberFormat="1" applyFont="1" applyBorder="1" applyAlignment="1" applyProtection="1">
      <alignment horizontal="center" vertical="center"/>
      <protection hidden="1"/>
    </xf>
    <xf numFmtId="1" fontId="8" fillId="0" borderId="51" xfId="0" applyNumberFormat="1" applyFont="1" applyBorder="1" applyAlignment="1" applyProtection="1">
      <alignment horizontal="center"/>
      <protection hidden="1"/>
    </xf>
    <xf numFmtId="2" fontId="9" fillId="0" borderId="52" xfId="0" applyNumberFormat="1" applyFont="1" applyBorder="1" applyAlignment="1" applyProtection="1">
      <alignment horizontal="center"/>
      <protection hidden="1"/>
    </xf>
    <xf numFmtId="1" fontId="8" fillId="0" borderId="30" xfId="0" applyNumberFormat="1" applyFont="1" applyBorder="1" applyAlignment="1" applyProtection="1">
      <alignment horizontal="center"/>
      <protection hidden="1"/>
    </xf>
    <xf numFmtId="1" fontId="9" fillId="0" borderId="30" xfId="0" applyNumberFormat="1" applyFont="1" applyBorder="1" applyAlignment="1" applyProtection="1">
      <alignment horizontal="center"/>
      <protection hidden="1"/>
    </xf>
    <xf numFmtId="204" fontId="9" fillId="0" borderId="30" xfId="0" applyNumberFormat="1" applyFont="1" applyBorder="1" applyAlignment="1" applyProtection="1">
      <alignment horizontal="center"/>
      <protection hidden="1"/>
    </xf>
    <xf numFmtId="2" fontId="9" fillId="0" borderId="30" xfId="0" applyNumberFormat="1" applyFont="1" applyBorder="1" applyAlignment="1" applyProtection="1">
      <alignment horizontal="center"/>
      <protection hidden="1"/>
    </xf>
    <xf numFmtId="2" fontId="9" fillId="0" borderId="31" xfId="0" applyNumberFormat="1" applyFont="1" applyBorder="1" applyAlignment="1" applyProtection="1">
      <alignment horizontal="center"/>
      <protection hidden="1"/>
    </xf>
    <xf numFmtId="1" fontId="8" fillId="0" borderId="53" xfId="0" applyNumberFormat="1" applyFont="1" applyBorder="1" applyAlignment="1" applyProtection="1">
      <alignment horizontal="center"/>
      <protection hidden="1"/>
    </xf>
    <xf numFmtId="2" fontId="9" fillId="0" borderId="54" xfId="0" applyNumberFormat="1" applyFont="1" applyBorder="1" applyAlignment="1" applyProtection="1">
      <alignment horizontal="center"/>
      <protection hidden="1"/>
    </xf>
    <xf numFmtId="1" fontId="8" fillId="0" borderId="42" xfId="0" applyNumberFormat="1" applyFont="1" applyBorder="1" applyAlignment="1" applyProtection="1">
      <alignment horizontal="center"/>
      <protection hidden="1"/>
    </xf>
    <xf numFmtId="2" fontId="9" fillId="0" borderId="42" xfId="0" applyNumberFormat="1" applyFont="1" applyBorder="1" applyAlignment="1" applyProtection="1">
      <alignment horizontal="center"/>
      <protection hidden="1"/>
    </xf>
    <xf numFmtId="2" fontId="9" fillId="0" borderId="55" xfId="0" applyNumberFormat="1" applyFont="1" applyBorder="1" applyAlignment="1" applyProtection="1">
      <alignment horizontal="center"/>
      <protection hidden="1"/>
    </xf>
    <xf numFmtId="201" fontId="8" fillId="0" borderId="41" xfId="0" applyFont="1" applyBorder="1" applyAlignment="1" applyProtection="1">
      <alignment vertical="center"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>
      <alignment horizontal="right"/>
      <protection hidden="1"/>
    </xf>
    <xf numFmtId="204" fontId="10" fillId="0" borderId="0" xfId="0" applyNumberFormat="1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vertical="center"/>
      <protection hidden="1"/>
    </xf>
    <xf numFmtId="201" fontId="0" fillId="0" borderId="0" xfId="0" applyFont="1" applyBorder="1" applyAlignment="1" applyProtection="1">
      <alignment vertical="center"/>
      <protection hidden="1"/>
    </xf>
    <xf numFmtId="1" fontId="8" fillId="0" borderId="56" xfId="0" applyNumberFormat="1" applyFont="1" applyBorder="1" applyAlignment="1" applyProtection="1">
      <alignment horizontal="center"/>
      <protection hidden="1"/>
    </xf>
    <xf numFmtId="2" fontId="9" fillId="0" borderId="24" xfId="0" applyNumberFormat="1" applyFont="1" applyBorder="1" applyAlignment="1" applyProtection="1">
      <alignment horizontal="center"/>
      <protection hidden="1"/>
    </xf>
    <xf numFmtId="1" fontId="8" fillId="0" borderId="18" xfId="0" applyNumberFormat="1" applyFont="1" applyBorder="1" applyAlignment="1" applyProtection="1">
      <alignment horizontal="center"/>
      <protection hidden="1"/>
    </xf>
    <xf numFmtId="201" fontId="9" fillId="0" borderId="0" xfId="0" applyFont="1" applyAlignment="1" applyProtection="1">
      <alignment horizontal="right" vertic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201" fontId="0" fillId="0" borderId="32" xfId="0" applyBorder="1" applyAlignment="1" applyProtection="1">
      <alignment vertical="center"/>
      <protection hidden="1"/>
    </xf>
    <xf numFmtId="201" fontId="8" fillId="0" borderId="32" xfId="0" applyFont="1" applyBorder="1" applyAlignment="1" applyProtection="1">
      <alignment vertic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0" fillId="0" borderId="0" xfId="0" applyAlignment="1" applyProtection="1">
      <alignment horizontal="center"/>
      <protection hidden="1"/>
    </xf>
    <xf numFmtId="201" fontId="9" fillId="0" borderId="33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5" fillId="0" borderId="33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 quotePrefix="1">
      <alignment horizontal="center" vertical="center"/>
      <protection hidden="1"/>
    </xf>
    <xf numFmtId="201" fontId="0" fillId="0" borderId="0" xfId="0" applyAlignment="1" applyProtection="1">
      <alignment vertical="center"/>
      <protection hidden="1"/>
    </xf>
    <xf numFmtId="201" fontId="9" fillId="0" borderId="32" xfId="0" applyFont="1" applyBorder="1" applyAlignment="1" applyProtection="1">
      <alignment horizontal="center" vertical="center"/>
      <protection hidden="1"/>
    </xf>
    <xf numFmtId="205" fontId="9" fillId="0" borderId="0" xfId="0" applyNumberFormat="1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4" fillId="0" borderId="0" xfId="0" applyFont="1" applyBorder="1" applyAlignment="1" applyProtection="1">
      <alignment horizontal="left" vertical="center"/>
      <protection hidden="1"/>
    </xf>
    <xf numFmtId="201" fontId="9" fillId="0" borderId="0" xfId="0" applyFont="1" applyBorder="1" applyAlignment="1" applyProtection="1">
      <alignment horizontal="left" vertical="center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vertical="center"/>
      <protection hidden="1"/>
    </xf>
    <xf numFmtId="201" fontId="10" fillId="0" borderId="32" xfId="0" applyFont="1" applyBorder="1" applyAlignment="1" applyProtection="1">
      <alignment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 horizontal="center" vertical="center"/>
      <protection hidden="1"/>
    </xf>
    <xf numFmtId="201" fontId="18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vertical="center"/>
      <protection hidden="1"/>
    </xf>
    <xf numFmtId="201" fontId="16" fillId="0" borderId="0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 quotePrefix="1">
      <alignment horizontal="center"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 vertical="center"/>
      <protection hidden="1"/>
    </xf>
    <xf numFmtId="201" fontId="9" fillId="0" borderId="47" xfId="0" applyFont="1" applyBorder="1" applyAlignment="1" applyProtection="1">
      <alignment horizontal="center" vertical="center"/>
      <protection hidden="1"/>
    </xf>
    <xf numFmtId="201" fontId="9" fillId="0" borderId="48" xfId="0" applyFont="1" applyBorder="1" applyAlignment="1" applyProtection="1">
      <alignment vertical="center"/>
      <protection hidden="1"/>
    </xf>
    <xf numFmtId="201" fontId="9" fillId="0" borderId="48" xfId="0" applyFont="1" applyBorder="1" applyAlignment="1" applyProtection="1">
      <alignment horizontal="center" vertical="center"/>
      <protection hidden="1"/>
    </xf>
    <xf numFmtId="201" fontId="9" fillId="0" borderId="48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201" fontId="0" fillId="0" borderId="48" xfId="0" applyBorder="1" applyAlignment="1" applyProtection="1">
      <alignment horizontal="center" vertical="center"/>
      <protection hidden="1"/>
    </xf>
    <xf numFmtId="201" fontId="0" fillId="0" borderId="48" xfId="0" applyBorder="1" applyAlignment="1" applyProtection="1">
      <alignment vertical="center"/>
      <protection hidden="1"/>
    </xf>
    <xf numFmtId="201" fontId="43" fillId="0" borderId="57" xfId="0" applyFont="1" applyBorder="1" applyAlignment="1" applyProtection="1">
      <alignment horizontal="center" vertical="center"/>
      <protection hidden="1"/>
    </xf>
    <xf numFmtId="201" fontId="9" fillId="0" borderId="35" xfId="0" applyFont="1" applyBorder="1" applyAlignment="1" applyProtection="1">
      <alignment/>
      <protection hidden="1"/>
    </xf>
    <xf numFmtId="201" fontId="9" fillId="0" borderId="35" xfId="0" applyFont="1" applyBorder="1" applyAlignment="1" applyProtection="1">
      <alignment horizontal="center"/>
      <protection hidden="1"/>
    </xf>
    <xf numFmtId="201" fontId="9" fillId="0" borderId="35" xfId="0" applyNumberFormat="1" applyFont="1" applyBorder="1" applyAlignment="1" applyProtection="1">
      <alignment horizontal="center"/>
      <protection hidden="1"/>
    </xf>
    <xf numFmtId="2" fontId="9" fillId="0" borderId="35" xfId="0" applyNumberFormat="1" applyFont="1" applyBorder="1" applyAlignment="1" applyProtection="1">
      <alignment horizontal="center"/>
      <protection hidden="1"/>
    </xf>
    <xf numFmtId="201" fontId="0" fillId="0" borderId="35" xfId="0" applyBorder="1" applyAlignment="1" applyProtection="1">
      <alignment horizontal="center"/>
      <protection hidden="1"/>
    </xf>
    <xf numFmtId="201" fontId="14" fillId="0" borderId="35" xfId="0" applyFont="1" applyBorder="1" applyAlignment="1" applyProtection="1">
      <alignment horizontal="center"/>
      <protection hidden="1"/>
    </xf>
    <xf numFmtId="201" fontId="4" fillId="0" borderId="0" xfId="0" applyFont="1" applyBorder="1" applyAlignment="1" applyProtection="1">
      <alignment horizontal="left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0" fillId="0" borderId="18" xfId="0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43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 quotePrefix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 horizontal="center"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0" fillId="0" borderId="27" xfId="0" applyBorder="1" applyAlignment="1" applyProtection="1">
      <alignment/>
      <protection hidden="1"/>
    </xf>
    <xf numFmtId="201" fontId="10" fillId="0" borderId="0" xfId="0" applyFont="1" applyBorder="1" applyAlignment="1" applyProtection="1">
      <alignment/>
      <protection hidden="1"/>
    </xf>
    <xf numFmtId="201" fontId="12" fillId="0" borderId="0" xfId="0" applyFont="1" applyBorder="1" applyAlignment="1" applyProtection="1">
      <alignment horizontal="left"/>
      <protection hidden="1"/>
    </xf>
    <xf numFmtId="201" fontId="18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201" fontId="9" fillId="0" borderId="33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01" fontId="4" fillId="0" borderId="34" xfId="0" applyFont="1" applyBorder="1" applyAlignment="1" applyProtection="1">
      <alignment horizontal="center"/>
      <protection locked="0"/>
    </xf>
    <xf numFmtId="201" fontId="5" fillId="0" borderId="35" xfId="0" applyFont="1" applyBorder="1" applyAlignment="1" applyProtection="1">
      <alignment horizontal="center"/>
      <protection locked="0"/>
    </xf>
    <xf numFmtId="201" fontId="5" fillId="0" borderId="36" xfId="0" applyFont="1" applyBorder="1" applyAlignment="1" applyProtection="1">
      <alignment horizontal="center"/>
      <protection locked="0"/>
    </xf>
    <xf numFmtId="201" fontId="42" fillId="0" borderId="34" xfId="0" applyFont="1" applyBorder="1" applyAlignment="1" applyProtection="1">
      <alignment horizontal="center" vertical="center"/>
      <protection hidden="1"/>
    </xf>
    <xf numFmtId="201" fontId="42" fillId="0" borderId="36" xfId="0" applyFont="1" applyBorder="1" applyAlignment="1" applyProtection="1">
      <alignment horizontal="center" vertical="center"/>
      <protection hidden="1"/>
    </xf>
    <xf numFmtId="201" fontId="42" fillId="0" borderId="47" xfId="0" applyFont="1" applyBorder="1" applyAlignment="1" applyProtection="1">
      <alignment horizontal="center" vertical="center"/>
      <protection hidden="1"/>
    </xf>
    <xf numFmtId="201" fontId="42" fillId="0" borderId="49" xfId="0" applyFont="1" applyBorder="1" applyAlignment="1" applyProtection="1">
      <alignment horizontal="center" vertical="center"/>
      <protection hidden="1"/>
    </xf>
    <xf numFmtId="0" fontId="45" fillId="0" borderId="47" xfId="58" applyFont="1" applyBorder="1" applyAlignment="1" applyProtection="1">
      <alignment horizontal="center"/>
      <protection locked="0"/>
    </xf>
    <xf numFmtId="0" fontId="44" fillId="0" borderId="48" xfId="58" applyFont="1" applyBorder="1" applyAlignment="1" applyProtection="1">
      <alignment horizontal="center"/>
      <protection locked="0"/>
    </xf>
    <xf numFmtId="0" fontId="44" fillId="0" borderId="49" xfId="58" applyFont="1" applyBorder="1" applyAlignment="1" applyProtection="1">
      <alignment horizontal="center"/>
      <protection locked="0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2-VL bracing 2L" xfId="57"/>
    <cellStyle name="Normal_final load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38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785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27</xdr:row>
      <xdr:rowOff>28575</xdr:rowOff>
    </xdr:from>
    <xdr:to>
      <xdr:col>0</xdr:col>
      <xdr:colOff>657225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5619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0</xdr:rowOff>
    </xdr:from>
    <xdr:to>
      <xdr:col>5</xdr:col>
      <xdr:colOff>857250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479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266700</xdr:colOff>
      <xdr:row>41</xdr:row>
      <xdr:rowOff>76200</xdr:rowOff>
    </xdr:from>
    <xdr:to>
      <xdr:col>7</xdr:col>
      <xdr:colOff>19050</xdr:colOff>
      <xdr:row>42</xdr:row>
      <xdr:rowOff>200025</xdr:rowOff>
    </xdr:to>
    <xdr:sp>
      <xdr:nvSpPr>
        <xdr:cNvPr id="4" name="AutoShape 8"/>
        <xdr:cNvSpPr>
          <a:spLocks/>
        </xdr:cNvSpPr>
      </xdr:nvSpPr>
      <xdr:spPr>
        <a:xfrm>
          <a:off x="5429250" y="8467725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5" name="TextBox 10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25</xdr:row>
      <xdr:rowOff>0</xdr:rowOff>
    </xdr:from>
    <xdr:ext cx="76200" cy="200025"/>
    <xdr:sp>
      <xdr:nvSpPr>
        <xdr:cNvPr id="7" name="TextBox 36"/>
        <xdr:cNvSpPr txBox="1">
          <a:spLocks noChangeArrowheads="1"/>
        </xdr:cNvSpPr>
      </xdr:nvSpPr>
      <xdr:spPr>
        <a:xfrm>
          <a:off x="4371975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25</xdr:row>
      <xdr:rowOff>0</xdr:rowOff>
    </xdr:from>
    <xdr:to>
      <xdr:col>5</xdr:col>
      <xdr:colOff>857250</xdr:colOff>
      <xdr:row>25</xdr:row>
      <xdr:rowOff>38100</xdr:rowOff>
    </xdr:to>
    <xdr:sp>
      <xdr:nvSpPr>
        <xdr:cNvPr id="8" name="TextBox 39"/>
        <xdr:cNvSpPr txBox="1">
          <a:spLocks noChangeArrowheads="1"/>
        </xdr:cNvSpPr>
      </xdr:nvSpPr>
      <xdr:spPr>
        <a:xfrm>
          <a:off x="5162550" y="51911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41</xdr:row>
      <xdr:rowOff>19050</xdr:rowOff>
    </xdr:from>
    <xdr:to>
      <xdr:col>2</xdr:col>
      <xdr:colOff>904875</xdr:colOff>
      <xdr:row>41</xdr:row>
      <xdr:rowOff>19050</xdr:rowOff>
    </xdr:to>
    <xdr:sp>
      <xdr:nvSpPr>
        <xdr:cNvPr id="9" name="Line 49"/>
        <xdr:cNvSpPr>
          <a:spLocks/>
        </xdr:cNvSpPr>
      </xdr:nvSpPr>
      <xdr:spPr>
        <a:xfrm>
          <a:off x="2733675" y="84105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10" name="TextBox 53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11" name="TextBox 56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40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29</xdr:row>
      <xdr:rowOff>28575</xdr:rowOff>
    </xdr:from>
    <xdr:to>
      <xdr:col>0</xdr:col>
      <xdr:colOff>657225</xdr:colOff>
      <xdr:row>29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6019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25</xdr:row>
      <xdr:rowOff>0</xdr:rowOff>
    </xdr:from>
    <xdr:to>
      <xdr:col>5</xdr:col>
      <xdr:colOff>857250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519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266700</xdr:colOff>
      <xdr:row>43</xdr:row>
      <xdr:rowOff>76200</xdr:rowOff>
    </xdr:from>
    <xdr:to>
      <xdr:col>7</xdr:col>
      <xdr:colOff>19050</xdr:colOff>
      <xdr:row>44</xdr:row>
      <xdr:rowOff>200025</xdr:rowOff>
    </xdr:to>
    <xdr:sp>
      <xdr:nvSpPr>
        <xdr:cNvPr id="4" name="AutoShape 5"/>
        <xdr:cNvSpPr>
          <a:spLocks/>
        </xdr:cNvSpPr>
      </xdr:nvSpPr>
      <xdr:spPr>
        <a:xfrm>
          <a:off x="5429250" y="8867775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27</xdr:row>
      <xdr:rowOff>0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4371975" y="559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27</xdr:row>
      <xdr:rowOff>0</xdr:rowOff>
    </xdr:from>
    <xdr:to>
      <xdr:col>5</xdr:col>
      <xdr:colOff>857250</xdr:colOff>
      <xdr:row>27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162550" y="55911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43</xdr:row>
      <xdr:rowOff>19050</xdr:rowOff>
    </xdr:from>
    <xdr:to>
      <xdr:col>2</xdr:col>
      <xdr:colOff>904875</xdr:colOff>
      <xdr:row>43</xdr:row>
      <xdr:rowOff>19050</xdr:rowOff>
    </xdr:to>
    <xdr:sp>
      <xdr:nvSpPr>
        <xdr:cNvPr id="9" name="Line 10"/>
        <xdr:cNvSpPr>
          <a:spLocks/>
        </xdr:cNvSpPr>
      </xdr:nvSpPr>
      <xdr:spPr>
        <a:xfrm>
          <a:off x="2733675" y="8810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O134"/>
  <sheetViews>
    <sheetView showGridLines="0" tabSelected="1" view="pageBreakPreview" zoomScaleSheetLayoutView="100" workbookViewId="0" topLeftCell="A1">
      <selection activeCell="D58" sqref="D58"/>
    </sheetView>
  </sheetViews>
  <sheetFormatPr defaultColWidth="9.140625" defaultRowHeight="12.75"/>
  <cols>
    <col min="1" max="1" width="17.7109375" style="71" customWidth="1"/>
    <col min="2" max="2" width="13.28125" style="71" customWidth="1"/>
    <col min="3" max="3" width="14.8515625" style="71" bestFit="1" customWidth="1"/>
    <col min="4" max="4" width="9.140625" style="71" customWidth="1"/>
    <col min="5" max="5" width="9.57421875" style="71" bestFit="1" customWidth="1"/>
    <col min="6" max="6" width="12.8515625" style="71" customWidth="1"/>
    <col min="7" max="7" width="9.140625" style="71" customWidth="1"/>
    <col min="8" max="8" width="9.57421875" style="71" bestFit="1" customWidth="1"/>
    <col min="9" max="10" width="9.28125" style="71" customWidth="1"/>
    <col min="11" max="11" width="9.140625" style="71" customWidth="1"/>
    <col min="12" max="12" width="12.8515625" style="71" customWidth="1"/>
    <col min="13" max="13" width="9.140625" style="71" customWidth="1"/>
    <col min="14" max="14" width="9.7109375" style="71" bestFit="1" customWidth="1"/>
    <col min="15" max="15" width="9.140625" style="71" customWidth="1"/>
    <col min="16" max="16" width="9.28125" style="71" bestFit="1" customWidth="1"/>
    <col min="17" max="17" width="9.421875" style="71" bestFit="1" customWidth="1"/>
    <col min="18" max="18" width="10.7109375" style="71" bestFit="1" customWidth="1"/>
    <col min="19" max="19" width="9.57421875" style="71" bestFit="1" customWidth="1"/>
    <col min="20" max="34" width="9.140625" style="71" customWidth="1"/>
    <col min="35" max="35" width="10.57421875" style="71" bestFit="1" customWidth="1"/>
    <col min="36" max="36" width="9.57421875" style="71" bestFit="1" customWidth="1"/>
    <col min="37" max="38" width="9.57421875" style="71" customWidth="1"/>
    <col min="39" max="16384" width="9.140625" style="71" customWidth="1"/>
  </cols>
  <sheetData>
    <row r="1" spans="1:40" ht="19.5" customHeight="1" thickBot="1" thickTop="1">
      <c r="A1" s="74" t="s">
        <v>49</v>
      </c>
      <c r="B1" s="75"/>
      <c r="C1" s="75"/>
      <c r="D1" s="233" t="s">
        <v>55</v>
      </c>
      <c r="E1" s="234"/>
      <c r="F1" s="234"/>
      <c r="G1" s="235"/>
      <c r="H1" s="236" t="s">
        <v>56</v>
      </c>
      <c r="I1" s="237"/>
      <c r="J1" s="76"/>
      <c r="K1" s="77"/>
      <c r="L1" s="78"/>
      <c r="M1" s="79"/>
      <c r="N1" s="79"/>
      <c r="O1" s="79"/>
      <c r="P1" s="79"/>
      <c r="Q1" s="79"/>
      <c r="R1" s="79"/>
      <c r="S1" s="79"/>
      <c r="T1" s="79"/>
      <c r="U1" s="79"/>
      <c r="V1" s="79"/>
      <c r="AA1" s="80"/>
      <c r="AB1" s="81" t="s">
        <v>68</v>
      </c>
      <c r="AC1" s="82" t="s">
        <v>69</v>
      </c>
      <c r="AD1" s="82" t="s">
        <v>11</v>
      </c>
      <c r="AE1" s="82" t="s">
        <v>70</v>
      </c>
      <c r="AF1" s="82" t="s">
        <v>2</v>
      </c>
      <c r="AG1" s="82" t="s">
        <v>71</v>
      </c>
      <c r="AH1" s="82" t="s">
        <v>72</v>
      </c>
      <c r="AI1" s="82" t="s">
        <v>73</v>
      </c>
      <c r="AJ1" s="82" t="s">
        <v>74</v>
      </c>
      <c r="AK1" s="82" t="s">
        <v>199</v>
      </c>
      <c r="AL1" s="82" t="s">
        <v>200</v>
      </c>
      <c r="AM1" s="82" t="s">
        <v>75</v>
      </c>
      <c r="AN1" s="83" t="s">
        <v>76</v>
      </c>
    </row>
    <row r="2" spans="1:41" ht="19.5" customHeight="1" thickBot="1" thickTop="1">
      <c r="A2" s="84" t="s">
        <v>50</v>
      </c>
      <c r="B2" s="73"/>
      <c r="C2" s="73"/>
      <c r="D2" s="240" t="s">
        <v>92</v>
      </c>
      <c r="E2" s="241"/>
      <c r="F2" s="241"/>
      <c r="G2" s="242"/>
      <c r="H2" s="238"/>
      <c r="I2" s="239"/>
      <c r="J2" s="85"/>
      <c r="K2" s="86"/>
      <c r="L2" s="64"/>
      <c r="M2" s="87"/>
      <c r="N2" s="63"/>
      <c r="O2" s="56"/>
      <c r="P2" s="56"/>
      <c r="Q2" s="63"/>
      <c r="R2" s="56"/>
      <c r="S2" s="63"/>
      <c r="T2" s="56"/>
      <c r="U2" s="64"/>
      <c r="V2" s="64"/>
      <c r="AA2" s="17" t="s">
        <v>120</v>
      </c>
      <c r="AB2" s="18">
        <v>13.5</v>
      </c>
      <c r="AC2" s="20">
        <v>100</v>
      </c>
      <c r="AD2" s="88">
        <v>50</v>
      </c>
      <c r="AE2" s="89">
        <v>6</v>
      </c>
      <c r="AF2" s="89">
        <v>8.5</v>
      </c>
      <c r="AG2" s="89">
        <v>8.5</v>
      </c>
      <c r="AH2" s="89">
        <v>64</v>
      </c>
      <c r="AI2" s="88">
        <v>206</v>
      </c>
      <c r="AJ2" s="89">
        <v>41.2</v>
      </c>
      <c r="AK2" s="89">
        <v>29.3</v>
      </c>
      <c r="AL2" s="89">
        <v>8.49</v>
      </c>
      <c r="AM2" s="18">
        <v>3.91</v>
      </c>
      <c r="AN2" s="19">
        <v>1.47</v>
      </c>
      <c r="AO2" s="90">
        <v>1</v>
      </c>
    </row>
    <row r="3" spans="1:41" ht="19.5" customHeight="1">
      <c r="A3" s="91" t="s">
        <v>51</v>
      </c>
      <c r="B3" s="73"/>
      <c r="C3" s="73"/>
      <c r="D3" s="92" t="s">
        <v>48</v>
      </c>
      <c r="E3" s="93" t="s">
        <v>53</v>
      </c>
      <c r="F3" s="94" t="s">
        <v>54</v>
      </c>
      <c r="G3" s="95" t="s">
        <v>53</v>
      </c>
      <c r="H3" s="96" t="s">
        <v>57</v>
      </c>
      <c r="I3" s="6"/>
      <c r="J3" s="85"/>
      <c r="K3" s="86"/>
      <c r="L3" s="64"/>
      <c r="M3" s="87"/>
      <c r="N3" s="63"/>
      <c r="O3" s="56"/>
      <c r="P3" s="56"/>
      <c r="Q3" s="63"/>
      <c r="R3" s="56"/>
      <c r="S3" s="63"/>
      <c r="T3" s="56"/>
      <c r="U3" s="64"/>
      <c r="V3" s="64"/>
      <c r="AA3" s="17" t="s">
        <v>121</v>
      </c>
      <c r="AB3" s="18">
        <v>17</v>
      </c>
      <c r="AC3" s="21">
        <v>120</v>
      </c>
      <c r="AD3" s="88">
        <v>55</v>
      </c>
      <c r="AE3" s="89">
        <v>7</v>
      </c>
      <c r="AF3" s="89">
        <v>9</v>
      </c>
      <c r="AG3" s="89">
        <v>9</v>
      </c>
      <c r="AH3" s="89">
        <v>82</v>
      </c>
      <c r="AI3" s="88">
        <v>364</v>
      </c>
      <c r="AJ3" s="89">
        <v>60.7</v>
      </c>
      <c r="AK3" s="89">
        <v>43.2</v>
      </c>
      <c r="AL3" s="89">
        <v>11.1</v>
      </c>
      <c r="AM3" s="18">
        <v>4.62</v>
      </c>
      <c r="AN3" s="19">
        <v>1.59</v>
      </c>
      <c r="AO3" s="90">
        <v>1</v>
      </c>
    </row>
    <row r="4" spans="1:41" ht="19.5" customHeight="1" thickBot="1">
      <c r="A4" s="97" t="s">
        <v>52</v>
      </c>
      <c r="B4" s="98"/>
      <c r="C4" s="98"/>
      <c r="D4" s="1" t="s">
        <v>66</v>
      </c>
      <c r="E4" s="2"/>
      <c r="F4" s="3"/>
      <c r="G4" s="4"/>
      <c r="H4" s="99" t="s">
        <v>58</v>
      </c>
      <c r="I4" s="5"/>
      <c r="J4" s="100"/>
      <c r="K4" s="86"/>
      <c r="L4" s="64"/>
      <c r="M4" s="87"/>
      <c r="N4" s="63"/>
      <c r="O4" s="56"/>
      <c r="P4" s="56"/>
      <c r="Q4" s="63"/>
      <c r="R4" s="56"/>
      <c r="S4" s="63"/>
      <c r="T4" s="56"/>
      <c r="U4" s="64"/>
      <c r="V4" s="64"/>
      <c r="AA4" s="17" t="s">
        <v>122</v>
      </c>
      <c r="AB4" s="18">
        <v>20.4</v>
      </c>
      <c r="AC4" s="21">
        <v>140</v>
      </c>
      <c r="AD4" s="26">
        <v>60</v>
      </c>
      <c r="AE4" s="25">
        <v>7</v>
      </c>
      <c r="AF4" s="25">
        <v>10</v>
      </c>
      <c r="AG4" s="25">
        <v>10</v>
      </c>
      <c r="AH4" s="25">
        <v>97</v>
      </c>
      <c r="AI4" s="26">
        <v>605</v>
      </c>
      <c r="AJ4" s="25">
        <v>86.4</v>
      </c>
      <c r="AK4" s="25">
        <v>62.7</v>
      </c>
      <c r="AL4" s="25">
        <v>14.8</v>
      </c>
      <c r="AM4" s="18">
        <v>5.45</v>
      </c>
      <c r="AN4" s="19">
        <v>1.75</v>
      </c>
      <c r="AO4" s="90">
        <v>1</v>
      </c>
    </row>
    <row r="5" spans="1:41" ht="15.75" customHeight="1">
      <c r="A5" s="101" t="s">
        <v>96</v>
      </c>
      <c r="B5" s="12" t="s">
        <v>97</v>
      </c>
      <c r="C5" s="103"/>
      <c r="D5" s="103"/>
      <c r="E5" s="104"/>
      <c r="F5" s="105"/>
      <c r="G5" s="106"/>
      <c r="H5" s="107"/>
      <c r="I5" s="107"/>
      <c r="J5" s="108" t="s">
        <v>47</v>
      </c>
      <c r="K5" s="86"/>
      <c r="L5" s="64"/>
      <c r="M5" s="87"/>
      <c r="N5" s="63"/>
      <c r="O5" s="56"/>
      <c r="P5" s="56"/>
      <c r="Q5" s="63"/>
      <c r="R5" s="56"/>
      <c r="S5" s="63"/>
      <c r="T5" s="56"/>
      <c r="U5" s="64"/>
      <c r="V5" s="64"/>
      <c r="AA5" s="17" t="s">
        <v>123</v>
      </c>
      <c r="AB5" s="18">
        <v>24</v>
      </c>
      <c r="AC5" s="21">
        <v>160</v>
      </c>
      <c r="AD5" s="26">
        <v>65</v>
      </c>
      <c r="AE5" s="25">
        <v>7.5</v>
      </c>
      <c r="AF5" s="25">
        <v>10.5</v>
      </c>
      <c r="AG5" s="25">
        <v>10.5</v>
      </c>
      <c r="AH5" s="25">
        <v>116</v>
      </c>
      <c r="AI5" s="26">
        <v>925</v>
      </c>
      <c r="AJ5" s="25">
        <v>116</v>
      </c>
      <c r="AK5" s="25">
        <v>85.3</v>
      </c>
      <c r="AL5" s="25">
        <v>18.3</v>
      </c>
      <c r="AM5" s="18">
        <v>6.21</v>
      </c>
      <c r="AN5" s="19">
        <v>1.89</v>
      </c>
      <c r="AO5" s="90">
        <v>1</v>
      </c>
    </row>
    <row r="6" spans="1:41" ht="15.75" customHeight="1">
      <c r="A6" s="109"/>
      <c r="B6" s="110"/>
      <c r="C6" s="111"/>
      <c r="D6" s="111"/>
      <c r="E6" s="111"/>
      <c r="F6" s="112" t="s">
        <v>116</v>
      </c>
      <c r="G6" s="7" t="s">
        <v>113</v>
      </c>
      <c r="H6" s="111"/>
      <c r="I6" s="111"/>
      <c r="J6" s="113" t="s">
        <v>64</v>
      </c>
      <c r="K6" s="86"/>
      <c r="L6" s="64"/>
      <c r="M6" s="87"/>
      <c r="N6" s="63"/>
      <c r="O6" s="56"/>
      <c r="P6" s="56"/>
      <c r="Q6" s="63"/>
      <c r="R6" s="56"/>
      <c r="S6" s="63"/>
      <c r="T6" s="56"/>
      <c r="U6" s="64"/>
      <c r="V6" s="64"/>
      <c r="AA6" s="17" t="s">
        <v>124</v>
      </c>
      <c r="AB6" s="18">
        <v>28</v>
      </c>
      <c r="AC6" s="21">
        <v>180</v>
      </c>
      <c r="AD6" s="26">
        <v>70</v>
      </c>
      <c r="AE6" s="25">
        <v>8</v>
      </c>
      <c r="AF6" s="25">
        <v>11</v>
      </c>
      <c r="AG6" s="25">
        <v>11</v>
      </c>
      <c r="AH6" s="25">
        <v>133</v>
      </c>
      <c r="AI6" s="26">
        <v>1350</v>
      </c>
      <c r="AJ6" s="25">
        <v>150</v>
      </c>
      <c r="AK6" s="25">
        <v>114</v>
      </c>
      <c r="AL6" s="25">
        <v>22.4</v>
      </c>
      <c r="AM6" s="18">
        <v>6.95</v>
      </c>
      <c r="AN6" s="19">
        <v>2.02</v>
      </c>
      <c r="AO6" s="90">
        <v>1</v>
      </c>
    </row>
    <row r="7" spans="1:41" ht="15.75" customHeight="1">
      <c r="A7" s="114"/>
      <c r="B7" s="102"/>
      <c r="C7" s="115"/>
      <c r="D7" s="104"/>
      <c r="E7" s="116"/>
      <c r="F7" s="117" t="s">
        <v>117</v>
      </c>
      <c r="G7" s="118" t="s">
        <v>1</v>
      </c>
      <c r="H7" s="119">
        <f>VLOOKUP(G6,M19:O21,2,FALSE)</f>
        <v>2.4</v>
      </c>
      <c r="I7" s="111" t="s">
        <v>15</v>
      </c>
      <c r="J7" s="55" t="s">
        <v>183</v>
      </c>
      <c r="K7" s="86"/>
      <c r="L7" s="64"/>
      <c r="M7" s="87"/>
      <c r="N7" s="63"/>
      <c r="O7" s="56"/>
      <c r="P7" s="56"/>
      <c r="Q7" s="63"/>
      <c r="R7" s="56"/>
      <c r="S7" s="63"/>
      <c r="T7" s="56"/>
      <c r="U7" s="64"/>
      <c r="V7" s="64"/>
      <c r="AA7" s="17" t="s">
        <v>125</v>
      </c>
      <c r="AB7" s="18">
        <v>32.2</v>
      </c>
      <c r="AC7" s="21">
        <v>200</v>
      </c>
      <c r="AD7" s="26">
        <v>75</v>
      </c>
      <c r="AE7" s="25">
        <v>8.5</v>
      </c>
      <c r="AF7" s="25">
        <v>11.5</v>
      </c>
      <c r="AG7" s="25">
        <v>11.5</v>
      </c>
      <c r="AH7" s="25">
        <v>151</v>
      </c>
      <c r="AI7" s="26">
        <v>1910</v>
      </c>
      <c r="AJ7" s="25">
        <v>191</v>
      </c>
      <c r="AK7" s="25">
        <v>148</v>
      </c>
      <c r="AL7" s="25">
        <v>27</v>
      </c>
      <c r="AM7" s="18">
        <v>7.7</v>
      </c>
      <c r="AN7" s="19">
        <v>2.14</v>
      </c>
      <c r="AO7" s="90">
        <v>1</v>
      </c>
    </row>
    <row r="8" spans="1:41" ht="15.75" customHeight="1">
      <c r="A8" s="120"/>
      <c r="B8" s="104"/>
      <c r="C8" s="104"/>
      <c r="D8" s="104"/>
      <c r="E8" s="104"/>
      <c r="F8" s="117" t="s">
        <v>118</v>
      </c>
      <c r="G8" s="118" t="s">
        <v>1</v>
      </c>
      <c r="H8" s="119">
        <f>VLOOKUP(G6,M19:O21,3,FALSE)</f>
        <v>3.6</v>
      </c>
      <c r="I8" s="111" t="s">
        <v>15</v>
      </c>
      <c r="J8" s="121" t="s">
        <v>183</v>
      </c>
      <c r="K8" s="122"/>
      <c r="L8" s="64"/>
      <c r="M8" s="63"/>
      <c r="N8" s="63"/>
      <c r="O8" s="56"/>
      <c r="P8" s="56"/>
      <c r="Q8" s="63"/>
      <c r="R8" s="56"/>
      <c r="S8" s="63"/>
      <c r="T8" s="56"/>
      <c r="U8" s="64"/>
      <c r="V8" s="64"/>
      <c r="AA8" s="17" t="s">
        <v>126</v>
      </c>
      <c r="AB8" s="18">
        <v>37.4</v>
      </c>
      <c r="AC8" s="21">
        <v>220</v>
      </c>
      <c r="AD8" s="26">
        <v>80</v>
      </c>
      <c r="AE8" s="25">
        <v>9</v>
      </c>
      <c r="AF8" s="25">
        <v>12.5</v>
      </c>
      <c r="AG8" s="25">
        <v>12.5</v>
      </c>
      <c r="AH8" s="25">
        <v>166</v>
      </c>
      <c r="AI8" s="26">
        <v>2690</v>
      </c>
      <c r="AJ8" s="25">
        <v>245</v>
      </c>
      <c r="AK8" s="25">
        <v>197</v>
      </c>
      <c r="AL8" s="25">
        <v>33.6</v>
      </c>
      <c r="AM8" s="18">
        <v>8.48</v>
      </c>
      <c r="AN8" s="19">
        <v>2.3</v>
      </c>
      <c r="AO8" s="90">
        <v>1</v>
      </c>
    </row>
    <row r="9" spans="1:41" ht="15.75" customHeight="1">
      <c r="A9" s="114" t="s">
        <v>4</v>
      </c>
      <c r="B9" s="123"/>
      <c r="C9" s="111"/>
      <c r="D9" s="111"/>
      <c r="E9" s="124" t="s">
        <v>98</v>
      </c>
      <c r="F9" s="116"/>
      <c r="G9" s="110"/>
      <c r="H9" s="110"/>
      <c r="I9" s="110"/>
      <c r="J9" s="125"/>
      <c r="K9" s="86"/>
      <c r="L9" s="64"/>
      <c r="M9" s="87"/>
      <c r="N9" s="63"/>
      <c r="O9" s="56"/>
      <c r="P9" s="56"/>
      <c r="Q9" s="63"/>
      <c r="R9" s="56"/>
      <c r="S9" s="63"/>
      <c r="T9" s="56"/>
      <c r="U9" s="64"/>
      <c r="V9" s="64"/>
      <c r="AA9" s="17" t="s">
        <v>127</v>
      </c>
      <c r="AB9" s="18">
        <v>42.3</v>
      </c>
      <c r="AC9" s="21">
        <v>240</v>
      </c>
      <c r="AD9" s="26">
        <v>85</v>
      </c>
      <c r="AE9" s="25">
        <v>9.5</v>
      </c>
      <c r="AF9" s="25">
        <v>13</v>
      </c>
      <c r="AG9" s="25">
        <v>13</v>
      </c>
      <c r="AH9" s="25">
        <v>185</v>
      </c>
      <c r="AI9" s="26">
        <v>3600</v>
      </c>
      <c r="AJ9" s="25">
        <v>300</v>
      </c>
      <c r="AK9" s="25">
        <v>248</v>
      </c>
      <c r="AL9" s="25">
        <v>39.6</v>
      </c>
      <c r="AM9" s="18">
        <v>9.22</v>
      </c>
      <c r="AN9" s="19">
        <v>2.42</v>
      </c>
      <c r="AO9" s="90">
        <v>1</v>
      </c>
    </row>
    <row r="10" spans="1:41" ht="15.75" customHeight="1">
      <c r="A10" s="126" t="s">
        <v>195</v>
      </c>
      <c r="B10" s="127" t="s">
        <v>1</v>
      </c>
      <c r="C10" s="8">
        <v>0.4</v>
      </c>
      <c r="D10" s="111" t="s">
        <v>5</v>
      </c>
      <c r="E10" s="9" t="s">
        <v>10</v>
      </c>
      <c r="F10" s="110"/>
      <c r="G10" s="110"/>
      <c r="H10" s="110"/>
      <c r="I10" s="110"/>
      <c r="J10" s="125"/>
      <c r="K10" s="122"/>
      <c r="L10" s="64"/>
      <c r="M10" s="63"/>
      <c r="N10" s="63"/>
      <c r="O10" s="56"/>
      <c r="P10" s="56"/>
      <c r="Q10" s="63"/>
      <c r="R10" s="56"/>
      <c r="S10" s="63"/>
      <c r="T10" s="56"/>
      <c r="U10" s="64"/>
      <c r="V10" s="64"/>
      <c r="AA10" s="17" t="s">
        <v>128</v>
      </c>
      <c r="AB10" s="18">
        <v>48.3</v>
      </c>
      <c r="AC10" s="21">
        <v>260</v>
      </c>
      <c r="AD10" s="26">
        <v>90</v>
      </c>
      <c r="AE10" s="25">
        <v>10</v>
      </c>
      <c r="AF10" s="25">
        <v>14</v>
      </c>
      <c r="AG10" s="25">
        <v>14</v>
      </c>
      <c r="AH10" s="25">
        <v>201</v>
      </c>
      <c r="AI10" s="26">
        <v>4820</v>
      </c>
      <c r="AJ10" s="25">
        <v>371</v>
      </c>
      <c r="AK10" s="25">
        <v>317</v>
      </c>
      <c r="AL10" s="25">
        <v>47.7</v>
      </c>
      <c r="AM10" s="18">
        <v>9.99</v>
      </c>
      <c r="AN10" s="19">
        <v>2.56</v>
      </c>
      <c r="AO10" s="90">
        <v>1</v>
      </c>
    </row>
    <row r="11" spans="1:41" ht="15.75" customHeight="1">
      <c r="A11" s="126" t="s">
        <v>196</v>
      </c>
      <c r="B11" s="127" t="s">
        <v>1</v>
      </c>
      <c r="C11" s="8">
        <v>0.2</v>
      </c>
      <c r="D11" s="111" t="s">
        <v>5</v>
      </c>
      <c r="E11" s="129"/>
      <c r="F11" s="110"/>
      <c r="G11" s="110"/>
      <c r="H11" s="110"/>
      <c r="I11" s="110"/>
      <c r="J11" s="125"/>
      <c r="K11" s="122"/>
      <c r="L11" s="64"/>
      <c r="M11" s="63"/>
      <c r="N11" s="63"/>
      <c r="O11" s="56"/>
      <c r="P11" s="56"/>
      <c r="Q11" s="63"/>
      <c r="R11" s="56"/>
      <c r="S11" s="63"/>
      <c r="T11" s="56"/>
      <c r="U11" s="64"/>
      <c r="V11" s="64"/>
      <c r="AA11" s="17" t="s">
        <v>129</v>
      </c>
      <c r="AB11" s="18">
        <v>53.3</v>
      </c>
      <c r="AC11" s="21">
        <v>280</v>
      </c>
      <c r="AD11" s="26">
        <v>95</v>
      </c>
      <c r="AE11" s="25">
        <v>10</v>
      </c>
      <c r="AF11" s="25">
        <v>15</v>
      </c>
      <c r="AG11" s="25">
        <v>15</v>
      </c>
      <c r="AH11" s="25">
        <v>213</v>
      </c>
      <c r="AI11" s="26">
        <v>6280</v>
      </c>
      <c r="AJ11" s="25">
        <v>448</v>
      </c>
      <c r="AK11" s="25">
        <v>399</v>
      </c>
      <c r="AL11" s="25">
        <v>57.2</v>
      </c>
      <c r="AM11" s="18">
        <v>10.9</v>
      </c>
      <c r="AN11" s="19">
        <v>2.74</v>
      </c>
      <c r="AO11" s="90">
        <v>1</v>
      </c>
    </row>
    <row r="12" spans="1:41" ht="15.75" customHeight="1">
      <c r="A12" s="126" t="s">
        <v>6</v>
      </c>
      <c r="B12" s="127" t="s">
        <v>1</v>
      </c>
      <c r="C12" s="8">
        <v>0.4</v>
      </c>
      <c r="D12" s="111" t="s">
        <v>2</v>
      </c>
      <c r="E12" s="110"/>
      <c r="F12" s="110"/>
      <c r="G12" s="110"/>
      <c r="H12" s="110"/>
      <c r="I12" s="110"/>
      <c r="J12" s="125"/>
      <c r="K12" s="122"/>
      <c r="L12" s="64"/>
      <c r="M12" s="63"/>
      <c r="N12" s="63"/>
      <c r="O12" s="56"/>
      <c r="P12" s="56"/>
      <c r="Q12" s="63"/>
      <c r="R12" s="56"/>
      <c r="S12" s="63"/>
      <c r="T12" s="56"/>
      <c r="U12" s="64"/>
      <c r="V12" s="64"/>
      <c r="AA12" s="17" t="s">
        <v>130</v>
      </c>
      <c r="AB12" s="18">
        <v>58.8</v>
      </c>
      <c r="AC12" s="21">
        <v>300</v>
      </c>
      <c r="AD12" s="26">
        <v>100</v>
      </c>
      <c r="AE12" s="25">
        <v>10</v>
      </c>
      <c r="AF12" s="25">
        <v>16</v>
      </c>
      <c r="AG12" s="25">
        <v>16</v>
      </c>
      <c r="AH12" s="25">
        <v>232</v>
      </c>
      <c r="AI12" s="26">
        <v>8030</v>
      </c>
      <c r="AJ12" s="25">
        <v>535</v>
      </c>
      <c r="AK12" s="25">
        <v>495</v>
      </c>
      <c r="AL12" s="25">
        <v>67.8</v>
      </c>
      <c r="AM12" s="18">
        <v>11.7</v>
      </c>
      <c r="AN12" s="19">
        <v>2.9</v>
      </c>
      <c r="AO12" s="90">
        <v>1</v>
      </c>
    </row>
    <row r="13" spans="1:41" ht="15.75" customHeight="1">
      <c r="A13" s="130" t="s">
        <v>34</v>
      </c>
      <c r="B13" s="119"/>
      <c r="C13" s="111"/>
      <c r="D13" s="111"/>
      <c r="E13" s="111"/>
      <c r="F13" s="111"/>
      <c r="G13" s="111"/>
      <c r="H13" s="111"/>
      <c r="I13" s="111"/>
      <c r="J13" s="125"/>
      <c r="K13" s="122"/>
      <c r="L13" s="64"/>
      <c r="M13" s="63"/>
      <c r="N13" s="63"/>
      <c r="O13" s="56"/>
      <c r="P13" s="56"/>
      <c r="Q13" s="63"/>
      <c r="R13" s="56"/>
      <c r="S13" s="63"/>
      <c r="T13" s="56"/>
      <c r="U13" s="64"/>
      <c r="V13" s="64"/>
      <c r="AA13" s="17" t="s">
        <v>131</v>
      </c>
      <c r="AB13" s="18">
        <v>75.8</v>
      </c>
      <c r="AC13" s="21">
        <v>320</v>
      </c>
      <c r="AD13" s="26">
        <v>100</v>
      </c>
      <c r="AE13" s="25">
        <v>14</v>
      </c>
      <c r="AF13" s="25">
        <v>17.5</v>
      </c>
      <c r="AG13" s="25">
        <v>17.5</v>
      </c>
      <c r="AH13" s="25">
        <v>247</v>
      </c>
      <c r="AI13" s="26">
        <v>10870</v>
      </c>
      <c r="AJ13" s="25">
        <v>679</v>
      </c>
      <c r="AK13" s="25">
        <v>597</v>
      </c>
      <c r="AL13" s="25">
        <v>80.6</v>
      </c>
      <c r="AM13" s="18">
        <v>12.1</v>
      </c>
      <c r="AN13" s="19">
        <v>2.81</v>
      </c>
      <c r="AO13" s="90">
        <v>1</v>
      </c>
    </row>
    <row r="14" spans="1:41" ht="15.75" customHeight="1">
      <c r="A14" s="131"/>
      <c r="B14" s="119"/>
      <c r="C14" s="111"/>
      <c r="D14" s="111"/>
      <c r="E14" s="111"/>
      <c r="F14" s="111"/>
      <c r="G14" s="111"/>
      <c r="H14" s="111"/>
      <c r="I14" s="132"/>
      <c r="J14" s="125"/>
      <c r="K14" s="122"/>
      <c r="L14" s="64"/>
      <c r="M14" s="63"/>
      <c r="N14" s="63"/>
      <c r="O14" s="56"/>
      <c r="P14" s="56"/>
      <c r="Q14" s="63"/>
      <c r="R14" s="56"/>
      <c r="S14" s="63"/>
      <c r="T14" s="56"/>
      <c r="U14" s="64"/>
      <c r="V14" s="64"/>
      <c r="AA14" s="17" t="s">
        <v>132</v>
      </c>
      <c r="AB14" s="18">
        <v>77.3</v>
      </c>
      <c r="AC14" s="21">
        <v>350</v>
      </c>
      <c r="AD14" s="26">
        <v>100</v>
      </c>
      <c r="AE14" s="25">
        <v>14</v>
      </c>
      <c r="AF14" s="25">
        <v>16</v>
      </c>
      <c r="AG14" s="25">
        <v>16</v>
      </c>
      <c r="AH14" s="25">
        <v>283</v>
      </c>
      <c r="AI14" s="26">
        <v>12840</v>
      </c>
      <c r="AJ14" s="25">
        <v>734</v>
      </c>
      <c r="AK14" s="25">
        <v>570</v>
      </c>
      <c r="AL14" s="25">
        <v>75</v>
      </c>
      <c r="AM14" s="18">
        <v>12.9</v>
      </c>
      <c r="AN14" s="19">
        <v>2.72</v>
      </c>
      <c r="AO14" s="90">
        <v>1</v>
      </c>
    </row>
    <row r="15" spans="1:41" ht="15.75" customHeight="1">
      <c r="A15" s="133" t="s">
        <v>93</v>
      </c>
      <c r="B15" s="134"/>
      <c r="C15" s="10" t="s">
        <v>149</v>
      </c>
      <c r="D15" s="110"/>
      <c r="E15" s="111"/>
      <c r="F15" s="111"/>
      <c r="G15" s="111"/>
      <c r="H15" s="111"/>
      <c r="I15" s="132"/>
      <c r="J15" s="125"/>
      <c r="K15" s="86"/>
      <c r="L15" s="64"/>
      <c r="M15" s="87"/>
      <c r="N15" s="63"/>
      <c r="O15" s="56"/>
      <c r="P15" s="56"/>
      <c r="Q15" s="63"/>
      <c r="R15" s="56"/>
      <c r="S15" s="63"/>
      <c r="T15" s="56"/>
      <c r="U15" s="64"/>
      <c r="V15" s="64"/>
      <c r="AA15" s="17" t="s">
        <v>133</v>
      </c>
      <c r="AB15" s="18">
        <v>80.4</v>
      </c>
      <c r="AC15" s="21">
        <v>380</v>
      </c>
      <c r="AD15" s="26">
        <v>102</v>
      </c>
      <c r="AE15" s="25">
        <v>13.5</v>
      </c>
      <c r="AF15" s="25">
        <v>16</v>
      </c>
      <c r="AG15" s="25">
        <v>16</v>
      </c>
      <c r="AH15" s="25">
        <v>313</v>
      </c>
      <c r="AI15" s="26">
        <v>15760</v>
      </c>
      <c r="AJ15" s="25">
        <v>829</v>
      </c>
      <c r="AK15" s="25">
        <v>615</v>
      </c>
      <c r="AL15" s="25">
        <v>78.7</v>
      </c>
      <c r="AM15" s="18">
        <v>14</v>
      </c>
      <c r="AN15" s="19">
        <v>2.77</v>
      </c>
      <c r="AO15" s="90">
        <v>1</v>
      </c>
    </row>
    <row r="16" spans="1:41" ht="15.75" customHeight="1">
      <c r="A16" s="126" t="s">
        <v>94</v>
      </c>
      <c r="B16" s="127" t="s">
        <v>1</v>
      </c>
      <c r="C16" s="135">
        <f>VLOOKUP(C15,AA2:AN84,4,0)</f>
        <v>100</v>
      </c>
      <c r="D16" s="111" t="s">
        <v>3</v>
      </c>
      <c r="E16" s="111"/>
      <c r="F16" s="111"/>
      <c r="G16" s="111"/>
      <c r="H16" s="111"/>
      <c r="I16" s="132"/>
      <c r="J16" s="125"/>
      <c r="K16" s="86"/>
      <c r="L16" s="64"/>
      <c r="M16" s="87"/>
      <c r="N16" s="63"/>
      <c r="O16" s="56"/>
      <c r="P16" s="56"/>
      <c r="Q16" s="63"/>
      <c r="R16" s="56"/>
      <c r="S16" s="63"/>
      <c r="T16" s="56"/>
      <c r="U16" s="64"/>
      <c r="V16" s="64"/>
      <c r="AA16" s="17" t="s">
        <v>134</v>
      </c>
      <c r="AB16" s="18">
        <v>91.5</v>
      </c>
      <c r="AC16" s="21">
        <v>400</v>
      </c>
      <c r="AD16" s="26">
        <v>110</v>
      </c>
      <c r="AE16" s="25">
        <v>14</v>
      </c>
      <c r="AF16" s="25">
        <v>18</v>
      </c>
      <c r="AG16" s="25">
        <v>18</v>
      </c>
      <c r="AH16" s="25">
        <v>325</v>
      </c>
      <c r="AI16" s="26">
        <v>20350</v>
      </c>
      <c r="AJ16" s="25">
        <v>1020</v>
      </c>
      <c r="AK16" s="25">
        <v>846</v>
      </c>
      <c r="AL16" s="25">
        <v>102</v>
      </c>
      <c r="AM16" s="18">
        <v>14.9</v>
      </c>
      <c r="AN16" s="19">
        <v>3.04</v>
      </c>
      <c r="AO16" s="90">
        <v>1</v>
      </c>
    </row>
    <row r="17" spans="1:40" ht="15.75" customHeight="1" thickBot="1">
      <c r="A17" s="126" t="s">
        <v>95</v>
      </c>
      <c r="B17" s="127" t="s">
        <v>1</v>
      </c>
      <c r="C17" s="135">
        <f>VLOOKUP(C15,AA2:AN84,6,0)</f>
        <v>10</v>
      </c>
      <c r="D17" s="111" t="s">
        <v>3</v>
      </c>
      <c r="E17" s="111"/>
      <c r="F17" s="111"/>
      <c r="G17" s="111"/>
      <c r="H17" s="111"/>
      <c r="I17" s="132"/>
      <c r="J17" s="125"/>
      <c r="K17" s="86"/>
      <c r="L17" s="64"/>
      <c r="M17" s="87"/>
      <c r="N17" s="63"/>
      <c r="O17" s="56"/>
      <c r="P17" s="56"/>
      <c r="Q17" s="63"/>
      <c r="R17" s="56"/>
      <c r="S17" s="63"/>
      <c r="T17" s="56"/>
      <c r="U17" s="64"/>
      <c r="V17" s="64"/>
      <c r="AA17" s="136"/>
      <c r="AB17" s="137"/>
      <c r="AC17" s="138"/>
      <c r="AD17" s="139"/>
      <c r="AE17" s="140"/>
      <c r="AF17" s="140"/>
      <c r="AG17" s="139"/>
      <c r="AH17" s="140"/>
      <c r="AI17" s="139"/>
      <c r="AJ17" s="140"/>
      <c r="AK17" s="140"/>
      <c r="AL17" s="140"/>
      <c r="AM17" s="141"/>
      <c r="AN17" s="142"/>
    </row>
    <row r="18" spans="1:41" ht="15.75" customHeight="1" thickTop="1">
      <c r="A18" s="126" t="s">
        <v>69</v>
      </c>
      <c r="B18" s="127" t="s">
        <v>1</v>
      </c>
      <c r="C18" s="135">
        <f>VLOOKUP(C15,AA2:AN84,3,0)</f>
        <v>100</v>
      </c>
      <c r="D18" s="111" t="s">
        <v>3</v>
      </c>
      <c r="E18" s="111"/>
      <c r="F18" s="111"/>
      <c r="G18" s="111"/>
      <c r="H18" s="111"/>
      <c r="I18" s="132"/>
      <c r="J18" s="125"/>
      <c r="K18" s="87"/>
      <c r="L18" s="64"/>
      <c r="M18" s="87"/>
      <c r="N18" s="63"/>
      <c r="O18" s="56"/>
      <c r="P18" s="56"/>
      <c r="Q18" s="63"/>
      <c r="R18" s="56"/>
      <c r="S18" s="63"/>
      <c r="T18" s="56"/>
      <c r="U18" s="64"/>
      <c r="V18" s="64"/>
      <c r="AA18" s="143" t="s">
        <v>119</v>
      </c>
      <c r="AB18" s="144">
        <v>10.3</v>
      </c>
      <c r="AC18" s="145">
        <v>100</v>
      </c>
      <c r="AD18" s="88">
        <v>55</v>
      </c>
      <c r="AE18" s="89">
        <v>4.1</v>
      </c>
      <c r="AF18" s="89">
        <v>5.7</v>
      </c>
      <c r="AG18" s="88">
        <v>7</v>
      </c>
      <c r="AH18" s="89">
        <v>74.6</v>
      </c>
      <c r="AI18" s="88">
        <v>171</v>
      </c>
      <c r="AJ18" s="89">
        <v>34.2</v>
      </c>
      <c r="AK18" s="89">
        <v>15.9</v>
      </c>
      <c r="AL18" s="146">
        <v>5.79</v>
      </c>
      <c r="AM18" s="146">
        <v>4.07</v>
      </c>
      <c r="AN18" s="147">
        <v>1.24</v>
      </c>
      <c r="AO18" s="90">
        <v>2</v>
      </c>
    </row>
    <row r="19" spans="1:41" ht="15.75" customHeight="1">
      <c r="A19" s="126" t="s">
        <v>67</v>
      </c>
      <c r="B19" s="127" t="s">
        <v>1</v>
      </c>
      <c r="C19" s="135">
        <f>VLOOKUP(C15,AA2:AN84,5,0)</f>
        <v>6</v>
      </c>
      <c r="D19" s="111" t="s">
        <v>3</v>
      </c>
      <c r="E19" s="111"/>
      <c r="F19" s="111"/>
      <c r="G19" s="111"/>
      <c r="H19" s="111"/>
      <c r="I19" s="148"/>
      <c r="J19" s="125"/>
      <c r="K19" s="149" t="s">
        <v>10</v>
      </c>
      <c r="L19" s="54"/>
      <c r="M19" s="71" t="s">
        <v>113</v>
      </c>
      <c r="N19" s="71">
        <v>2.4</v>
      </c>
      <c r="O19" s="71">
        <v>3.6</v>
      </c>
      <c r="P19" s="150"/>
      <c r="Q19" s="64"/>
      <c r="R19" s="149"/>
      <c r="S19" s="149"/>
      <c r="T19" s="149"/>
      <c r="U19" s="149"/>
      <c r="AA19" s="143" t="s">
        <v>112</v>
      </c>
      <c r="AB19" s="144">
        <v>13.2</v>
      </c>
      <c r="AC19" s="145">
        <v>120</v>
      </c>
      <c r="AD19" s="88">
        <v>64</v>
      </c>
      <c r="AE19" s="89">
        <v>4.4</v>
      </c>
      <c r="AF19" s="89">
        <v>6.3</v>
      </c>
      <c r="AG19" s="88">
        <v>7</v>
      </c>
      <c r="AH19" s="89">
        <v>93.4</v>
      </c>
      <c r="AI19" s="88">
        <v>318</v>
      </c>
      <c r="AJ19" s="89">
        <v>53</v>
      </c>
      <c r="AK19" s="89">
        <v>27.7</v>
      </c>
      <c r="AL19" s="146">
        <v>8.65</v>
      </c>
      <c r="AM19" s="146">
        <v>4.9</v>
      </c>
      <c r="AN19" s="147">
        <v>1.45</v>
      </c>
      <c r="AO19" s="90">
        <v>2</v>
      </c>
    </row>
    <row r="20" spans="1:41" ht="15.75" customHeight="1">
      <c r="A20" s="126"/>
      <c r="B20" s="127"/>
      <c r="C20" s="151"/>
      <c r="D20" s="111"/>
      <c r="E20" s="111"/>
      <c r="F20" s="111"/>
      <c r="G20" s="111"/>
      <c r="H20" s="111"/>
      <c r="I20" s="148"/>
      <c r="J20" s="125"/>
      <c r="K20" s="149" t="s">
        <v>11</v>
      </c>
      <c r="L20" s="54"/>
      <c r="M20" s="71" t="s">
        <v>114</v>
      </c>
      <c r="N20" s="71">
        <v>2.8</v>
      </c>
      <c r="O20" s="71">
        <v>4.4</v>
      </c>
      <c r="P20" s="150"/>
      <c r="Q20" s="149"/>
      <c r="R20" s="149"/>
      <c r="S20" s="149"/>
      <c r="T20" s="149"/>
      <c r="U20" s="149"/>
      <c r="AA20" s="143" t="s">
        <v>77</v>
      </c>
      <c r="AB20" s="144">
        <v>16.4</v>
      </c>
      <c r="AC20" s="145">
        <v>140</v>
      </c>
      <c r="AD20" s="88">
        <v>73</v>
      </c>
      <c r="AE20" s="89">
        <v>4.7</v>
      </c>
      <c r="AF20" s="89">
        <v>6.9</v>
      </c>
      <c r="AG20" s="88">
        <v>7</v>
      </c>
      <c r="AH20" s="89">
        <v>112.2</v>
      </c>
      <c r="AI20" s="88">
        <v>541</v>
      </c>
      <c r="AJ20" s="89">
        <v>77.3</v>
      </c>
      <c r="AK20" s="89">
        <v>44.9</v>
      </c>
      <c r="AL20" s="146">
        <v>12.3</v>
      </c>
      <c r="AM20" s="146">
        <v>5.74</v>
      </c>
      <c r="AN20" s="147">
        <v>1.65</v>
      </c>
      <c r="AO20" s="90">
        <v>2</v>
      </c>
    </row>
    <row r="21" spans="1:41" ht="15.75" customHeight="1">
      <c r="A21" s="130" t="s">
        <v>101</v>
      </c>
      <c r="B21" s="110"/>
      <c r="C21" s="152"/>
      <c r="D21" s="110"/>
      <c r="E21" s="153"/>
      <c r="F21" s="153"/>
      <c r="G21" s="153"/>
      <c r="H21" s="153"/>
      <c r="I21" s="148"/>
      <c r="J21" s="125"/>
      <c r="K21" s="87"/>
      <c r="L21" s="64"/>
      <c r="M21" s="71" t="s">
        <v>115</v>
      </c>
      <c r="N21" s="71">
        <v>3.6</v>
      </c>
      <c r="O21" s="71">
        <v>5.2</v>
      </c>
      <c r="P21" s="56"/>
      <c r="Q21" s="63"/>
      <c r="R21" s="56"/>
      <c r="S21" s="63"/>
      <c r="T21" s="56"/>
      <c r="U21" s="64"/>
      <c r="V21" s="64"/>
      <c r="AA21" s="154" t="s">
        <v>78</v>
      </c>
      <c r="AB21" s="155">
        <v>20.1</v>
      </c>
      <c r="AC21" s="156">
        <v>160</v>
      </c>
      <c r="AD21" s="26">
        <v>82</v>
      </c>
      <c r="AE21" s="25">
        <v>5</v>
      </c>
      <c r="AF21" s="25">
        <v>7.4</v>
      </c>
      <c r="AG21" s="26">
        <v>9</v>
      </c>
      <c r="AH21" s="25">
        <v>127.2</v>
      </c>
      <c r="AI21" s="26">
        <v>869</v>
      </c>
      <c r="AJ21" s="25">
        <v>109</v>
      </c>
      <c r="AK21" s="25">
        <v>68.3</v>
      </c>
      <c r="AL21" s="27">
        <v>16.7</v>
      </c>
      <c r="AM21" s="27">
        <v>6.58</v>
      </c>
      <c r="AN21" s="28">
        <v>1.84</v>
      </c>
      <c r="AO21" s="90">
        <v>2</v>
      </c>
    </row>
    <row r="22" spans="1:41" ht="15.75" customHeight="1">
      <c r="A22" s="133" t="s">
        <v>99</v>
      </c>
      <c r="B22" s="157"/>
      <c r="C22" s="8">
        <v>5</v>
      </c>
      <c r="D22" s="111" t="s">
        <v>0</v>
      </c>
      <c r="E22" s="153"/>
      <c r="F22" s="153"/>
      <c r="G22" s="153"/>
      <c r="H22" s="153"/>
      <c r="I22" s="148"/>
      <c r="J22" s="125"/>
      <c r="K22" s="87"/>
      <c r="L22" s="64"/>
      <c r="M22" s="87">
        <f>VLOOKUP(C15,AA2:AO84,15,0)</f>
        <v>2</v>
      </c>
      <c r="N22" s="63"/>
      <c r="O22" s="56"/>
      <c r="P22" s="56"/>
      <c r="Q22" s="63"/>
      <c r="R22" s="56"/>
      <c r="S22" s="63"/>
      <c r="T22" s="56"/>
      <c r="U22" s="64"/>
      <c r="V22" s="64"/>
      <c r="AA22" s="154" t="s">
        <v>79</v>
      </c>
      <c r="AB22" s="155">
        <v>23.9</v>
      </c>
      <c r="AC22" s="156">
        <v>180</v>
      </c>
      <c r="AD22" s="26">
        <v>91</v>
      </c>
      <c r="AE22" s="25">
        <v>5.3</v>
      </c>
      <c r="AF22" s="25">
        <v>8</v>
      </c>
      <c r="AG22" s="26">
        <v>9</v>
      </c>
      <c r="AH22" s="25">
        <v>146</v>
      </c>
      <c r="AI22" s="26">
        <v>1320</v>
      </c>
      <c r="AJ22" s="25">
        <v>146</v>
      </c>
      <c r="AK22" s="25">
        <v>101</v>
      </c>
      <c r="AL22" s="27">
        <v>22.2</v>
      </c>
      <c r="AM22" s="27">
        <v>7.42</v>
      </c>
      <c r="AN22" s="28">
        <v>2.05</v>
      </c>
      <c r="AO22" s="90">
        <v>2</v>
      </c>
    </row>
    <row r="23" spans="1:41" ht="15.75" customHeight="1">
      <c r="A23" s="133" t="s">
        <v>100</v>
      </c>
      <c r="B23" s="157"/>
      <c r="C23" s="8">
        <v>1</v>
      </c>
      <c r="D23" s="111" t="s">
        <v>0</v>
      </c>
      <c r="E23" s="153"/>
      <c r="F23" s="153"/>
      <c r="G23" s="153"/>
      <c r="H23" s="153"/>
      <c r="I23" s="148"/>
      <c r="J23" s="125"/>
      <c r="K23" s="87"/>
      <c r="L23" s="64"/>
      <c r="M23" s="87"/>
      <c r="N23" s="63"/>
      <c r="O23" s="56"/>
      <c r="P23" s="56"/>
      <c r="Q23" s="63"/>
      <c r="R23" s="56"/>
      <c r="S23" s="63"/>
      <c r="T23" s="56"/>
      <c r="U23" s="64"/>
      <c r="V23" s="64"/>
      <c r="AA23" s="154" t="s">
        <v>80</v>
      </c>
      <c r="AB23" s="155">
        <v>28.5</v>
      </c>
      <c r="AC23" s="156">
        <v>200</v>
      </c>
      <c r="AD23" s="26">
        <v>100</v>
      </c>
      <c r="AE23" s="25">
        <v>5.6</v>
      </c>
      <c r="AF23" s="25">
        <v>8.5</v>
      </c>
      <c r="AG23" s="26">
        <v>12</v>
      </c>
      <c r="AH23" s="25">
        <v>159</v>
      </c>
      <c r="AI23" s="26">
        <v>1940</v>
      </c>
      <c r="AJ23" s="25">
        <v>194</v>
      </c>
      <c r="AK23" s="25">
        <v>142</v>
      </c>
      <c r="AL23" s="27">
        <v>28.5</v>
      </c>
      <c r="AM23" s="27">
        <v>8.26</v>
      </c>
      <c r="AN23" s="28">
        <v>2.24</v>
      </c>
      <c r="AO23" s="90">
        <v>2</v>
      </c>
    </row>
    <row r="24" spans="1:41" ht="15.75" customHeight="1">
      <c r="A24" s="133"/>
      <c r="B24" s="119"/>
      <c r="C24" s="128"/>
      <c r="D24" s="111"/>
      <c r="E24" s="153"/>
      <c r="F24" s="153"/>
      <c r="G24" s="153"/>
      <c r="H24" s="153"/>
      <c r="I24" s="148"/>
      <c r="J24" s="125"/>
      <c r="K24" s="63"/>
      <c r="L24" s="64"/>
      <c r="M24" s="63"/>
      <c r="N24" s="63"/>
      <c r="O24" s="56"/>
      <c r="P24" s="56"/>
      <c r="Q24" s="63"/>
      <c r="R24" s="56"/>
      <c r="S24" s="63"/>
      <c r="T24" s="56"/>
      <c r="U24" s="64"/>
      <c r="V24" s="64"/>
      <c r="AA24" s="154" t="s">
        <v>81</v>
      </c>
      <c r="AB24" s="155">
        <v>33.4</v>
      </c>
      <c r="AC24" s="156">
        <v>220</v>
      </c>
      <c r="AD24" s="26">
        <v>110</v>
      </c>
      <c r="AE24" s="25">
        <v>5.9</v>
      </c>
      <c r="AF24" s="25">
        <v>9.2</v>
      </c>
      <c r="AG24" s="26">
        <v>12</v>
      </c>
      <c r="AH24" s="25">
        <v>177.6</v>
      </c>
      <c r="AI24" s="26">
        <v>2770</v>
      </c>
      <c r="AJ24" s="25">
        <v>252</v>
      </c>
      <c r="AK24" s="25">
        <v>205</v>
      </c>
      <c r="AL24" s="27">
        <v>37.3</v>
      </c>
      <c r="AM24" s="27">
        <v>9.11</v>
      </c>
      <c r="AN24" s="28">
        <v>2.48</v>
      </c>
      <c r="AO24" s="90">
        <v>2</v>
      </c>
    </row>
    <row r="25" spans="1:41" ht="15.75" customHeight="1">
      <c r="A25" s="130" t="s">
        <v>102</v>
      </c>
      <c r="B25" s="119"/>
      <c r="C25" s="128"/>
      <c r="D25" s="111"/>
      <c r="E25" s="153"/>
      <c r="F25" s="153"/>
      <c r="G25" s="153"/>
      <c r="H25" s="153"/>
      <c r="I25" s="148"/>
      <c r="J25" s="125"/>
      <c r="K25" s="87"/>
      <c r="L25" s="64"/>
      <c r="M25" s="87"/>
      <c r="N25" s="63"/>
      <c r="O25" s="56"/>
      <c r="P25" s="56"/>
      <c r="Q25" s="63"/>
      <c r="R25" s="56"/>
      <c r="S25" s="63"/>
      <c r="T25" s="56"/>
      <c r="U25" s="64"/>
      <c r="V25" s="64"/>
      <c r="AA25" s="158" t="s">
        <v>82</v>
      </c>
      <c r="AB25" s="155">
        <v>39.1</v>
      </c>
      <c r="AC25" s="26">
        <v>240</v>
      </c>
      <c r="AD25" s="26">
        <v>120</v>
      </c>
      <c r="AE25" s="25">
        <v>6.2</v>
      </c>
      <c r="AF25" s="25">
        <v>9.8</v>
      </c>
      <c r="AG25" s="26">
        <v>15</v>
      </c>
      <c r="AH25" s="25">
        <v>190.4</v>
      </c>
      <c r="AI25" s="26">
        <v>3890</v>
      </c>
      <c r="AJ25" s="25">
        <v>324</v>
      </c>
      <c r="AK25" s="25">
        <v>284</v>
      </c>
      <c r="AL25" s="27">
        <v>47.3</v>
      </c>
      <c r="AM25" s="27">
        <v>9.97</v>
      </c>
      <c r="AN25" s="28">
        <v>2.69</v>
      </c>
      <c r="AO25" s="90">
        <v>2</v>
      </c>
    </row>
    <row r="26" spans="1:41" ht="15.75" customHeight="1">
      <c r="A26" s="130" t="s">
        <v>25</v>
      </c>
      <c r="B26" s="119"/>
      <c r="C26" s="111"/>
      <c r="D26" s="111"/>
      <c r="E26" s="153"/>
      <c r="F26" s="153"/>
      <c r="G26" s="153"/>
      <c r="H26" s="153"/>
      <c r="I26" s="148"/>
      <c r="J26" s="125"/>
      <c r="K26" s="63"/>
      <c r="L26" s="64"/>
      <c r="M26" s="63"/>
      <c r="N26" s="63"/>
      <c r="O26" s="56"/>
      <c r="P26" s="56"/>
      <c r="Q26" s="63"/>
      <c r="R26" s="56"/>
      <c r="S26" s="63"/>
      <c r="T26" s="56"/>
      <c r="U26" s="64"/>
      <c r="V26" s="64"/>
      <c r="AA26" s="154" t="s">
        <v>83</v>
      </c>
      <c r="AB26" s="155">
        <v>45.9</v>
      </c>
      <c r="AC26" s="156">
        <v>270</v>
      </c>
      <c r="AD26" s="26">
        <v>135</v>
      </c>
      <c r="AE26" s="25">
        <v>6.6</v>
      </c>
      <c r="AF26" s="25">
        <v>10.2</v>
      </c>
      <c r="AG26" s="26">
        <v>15</v>
      </c>
      <c r="AH26" s="25">
        <v>219.6</v>
      </c>
      <c r="AI26" s="26">
        <v>5790</v>
      </c>
      <c r="AJ26" s="25">
        <v>429</v>
      </c>
      <c r="AK26" s="25">
        <v>420</v>
      </c>
      <c r="AL26" s="27">
        <v>62.2</v>
      </c>
      <c r="AM26" s="27">
        <v>11.2</v>
      </c>
      <c r="AN26" s="28">
        <v>3.02</v>
      </c>
      <c r="AO26" s="90">
        <v>2</v>
      </c>
    </row>
    <row r="27" spans="5:41" ht="15.75" customHeight="1">
      <c r="E27" s="159"/>
      <c r="F27" s="159"/>
      <c r="G27" s="159"/>
      <c r="H27" s="159"/>
      <c r="I27" s="148"/>
      <c r="J27" s="125"/>
      <c r="K27" s="63"/>
      <c r="L27" s="64"/>
      <c r="M27" s="63"/>
      <c r="N27" s="63"/>
      <c r="O27" s="56"/>
      <c r="P27" s="56"/>
      <c r="Q27" s="63"/>
      <c r="R27" s="56"/>
      <c r="S27" s="63"/>
      <c r="T27" s="56"/>
      <c r="U27" s="64"/>
      <c r="V27" s="64"/>
      <c r="AA27" s="158" t="s">
        <v>84</v>
      </c>
      <c r="AB27" s="155">
        <v>53.8</v>
      </c>
      <c r="AC27" s="26">
        <v>300</v>
      </c>
      <c r="AD27" s="26">
        <v>150</v>
      </c>
      <c r="AE27" s="25">
        <v>7.1</v>
      </c>
      <c r="AF27" s="25">
        <v>10.7</v>
      </c>
      <c r="AG27" s="26">
        <v>15</v>
      </c>
      <c r="AH27" s="25">
        <v>248.6</v>
      </c>
      <c r="AI27" s="26">
        <v>8360</v>
      </c>
      <c r="AJ27" s="25">
        <v>557</v>
      </c>
      <c r="AK27" s="25">
        <v>604</v>
      </c>
      <c r="AL27" s="27">
        <v>80.5</v>
      </c>
      <c r="AM27" s="27">
        <v>12.5</v>
      </c>
      <c r="AN27" s="28">
        <v>3.35</v>
      </c>
      <c r="AO27" s="90">
        <v>2</v>
      </c>
    </row>
    <row r="28" spans="1:41" ht="15.75" customHeight="1">
      <c r="A28" s="126" t="s">
        <v>8</v>
      </c>
      <c r="B28" s="127" t="s">
        <v>1</v>
      </c>
      <c r="C28" s="160">
        <f>VLOOKUP(C15,AA2:AN84,3,0)/20</f>
        <v>5</v>
      </c>
      <c r="D28" s="110" t="s">
        <v>7</v>
      </c>
      <c r="E28" s="111"/>
      <c r="F28" s="111"/>
      <c r="G28" s="111"/>
      <c r="H28" s="111"/>
      <c r="I28" s="148"/>
      <c r="J28" s="125"/>
      <c r="K28" s="63"/>
      <c r="L28" s="64"/>
      <c r="M28" s="63"/>
      <c r="N28" s="63"/>
      <c r="O28" s="56"/>
      <c r="P28" s="56"/>
      <c r="Q28" s="63"/>
      <c r="R28" s="56"/>
      <c r="S28" s="63"/>
      <c r="T28" s="56"/>
      <c r="U28" s="64"/>
      <c r="V28" s="64"/>
      <c r="AA28" s="158" t="s">
        <v>85</v>
      </c>
      <c r="AB28" s="155">
        <v>62.6</v>
      </c>
      <c r="AC28" s="26">
        <v>330</v>
      </c>
      <c r="AD28" s="26">
        <v>160</v>
      </c>
      <c r="AE28" s="25">
        <v>7.5</v>
      </c>
      <c r="AF28" s="25">
        <v>11.5</v>
      </c>
      <c r="AG28" s="26">
        <v>18</v>
      </c>
      <c r="AH28" s="25">
        <v>271</v>
      </c>
      <c r="AI28" s="26">
        <v>11770</v>
      </c>
      <c r="AJ28" s="25">
        <v>713</v>
      </c>
      <c r="AK28" s="25">
        <v>788</v>
      </c>
      <c r="AL28" s="27">
        <v>98.5</v>
      </c>
      <c r="AM28" s="27">
        <v>13.7</v>
      </c>
      <c r="AN28" s="28">
        <v>3.55</v>
      </c>
      <c r="AO28" s="90">
        <v>2</v>
      </c>
    </row>
    <row r="29" spans="1:41" ht="15.75" customHeight="1">
      <c r="A29" s="126" t="s">
        <v>9</v>
      </c>
      <c r="B29" s="127" t="s">
        <v>1</v>
      </c>
      <c r="C29" s="119">
        <f>VLOOKUP(C15,AA2:AN84,2,0)</f>
        <v>26</v>
      </c>
      <c r="D29" s="111" t="s">
        <v>13</v>
      </c>
      <c r="E29" s="111"/>
      <c r="F29" s="111"/>
      <c r="G29" s="111"/>
      <c r="H29" s="111"/>
      <c r="I29" s="148"/>
      <c r="J29" s="125"/>
      <c r="K29" s="63"/>
      <c r="L29" s="64"/>
      <c r="M29" s="63"/>
      <c r="N29" s="63"/>
      <c r="O29" s="56"/>
      <c r="P29" s="56"/>
      <c r="Q29" s="63"/>
      <c r="R29" s="56"/>
      <c r="S29" s="63"/>
      <c r="T29" s="56"/>
      <c r="U29" s="64"/>
      <c r="V29" s="64"/>
      <c r="AA29" s="158" t="s">
        <v>86</v>
      </c>
      <c r="AB29" s="155">
        <v>72.7</v>
      </c>
      <c r="AC29" s="26">
        <v>360</v>
      </c>
      <c r="AD29" s="26">
        <v>170</v>
      </c>
      <c r="AE29" s="25">
        <v>8</v>
      </c>
      <c r="AF29" s="25">
        <v>12.7</v>
      </c>
      <c r="AG29" s="26">
        <v>18</v>
      </c>
      <c r="AH29" s="25">
        <v>298.6</v>
      </c>
      <c r="AI29" s="26">
        <v>16270</v>
      </c>
      <c r="AJ29" s="25">
        <v>904</v>
      </c>
      <c r="AK29" s="25">
        <v>1040</v>
      </c>
      <c r="AL29" s="27">
        <v>123</v>
      </c>
      <c r="AM29" s="27">
        <v>15</v>
      </c>
      <c r="AN29" s="28">
        <v>3.79</v>
      </c>
      <c r="AO29" s="90">
        <v>2</v>
      </c>
    </row>
    <row r="30" spans="1:41" ht="15.75" customHeight="1">
      <c r="A30" s="126" t="s">
        <v>32</v>
      </c>
      <c r="B30" s="127" t="s">
        <v>1</v>
      </c>
      <c r="C30" s="119">
        <f>VLOOKUP(C15,AA2:AN84,9,0)</f>
        <v>450</v>
      </c>
      <c r="D30" s="111" t="s">
        <v>16</v>
      </c>
      <c r="E30" s="153"/>
      <c r="F30" s="153"/>
      <c r="G30" s="153"/>
      <c r="H30" s="153"/>
      <c r="I30" s="148"/>
      <c r="J30" s="125"/>
      <c r="K30" s="87"/>
      <c r="L30" s="64"/>
      <c r="M30" s="87"/>
      <c r="N30" s="63"/>
      <c r="O30" s="56"/>
      <c r="P30" s="56"/>
      <c r="Q30" s="63"/>
      <c r="R30" s="56"/>
      <c r="S30" s="63"/>
      <c r="T30" s="56"/>
      <c r="U30" s="64"/>
      <c r="V30" s="64"/>
      <c r="AA30" s="158" t="s">
        <v>87</v>
      </c>
      <c r="AB30" s="155">
        <v>84.5</v>
      </c>
      <c r="AC30" s="26">
        <v>400</v>
      </c>
      <c r="AD30" s="26">
        <v>180</v>
      </c>
      <c r="AE30" s="25">
        <v>8.6</v>
      </c>
      <c r="AF30" s="25">
        <v>13.5</v>
      </c>
      <c r="AG30" s="26">
        <v>21</v>
      </c>
      <c r="AH30" s="25">
        <v>331</v>
      </c>
      <c r="AI30" s="26">
        <v>23130</v>
      </c>
      <c r="AJ30" s="25">
        <v>1160</v>
      </c>
      <c r="AK30" s="25">
        <v>1320</v>
      </c>
      <c r="AL30" s="27">
        <v>146</v>
      </c>
      <c r="AM30" s="27">
        <v>16.5</v>
      </c>
      <c r="AN30" s="28">
        <v>3.95</v>
      </c>
      <c r="AO30" s="90">
        <v>2</v>
      </c>
    </row>
    <row r="31" spans="1:41" ht="15.75" customHeight="1">
      <c r="A31" s="126" t="s">
        <v>198</v>
      </c>
      <c r="B31" s="127" t="s">
        <v>1</v>
      </c>
      <c r="C31" s="160">
        <f>VLOOKUP(C15,AA2:AN84,11,0)</f>
        <v>167</v>
      </c>
      <c r="D31" s="111" t="s">
        <v>14</v>
      </c>
      <c r="E31" s="153"/>
      <c r="F31" s="153"/>
      <c r="G31" s="153"/>
      <c r="H31" s="153"/>
      <c r="I31" s="148"/>
      <c r="J31" s="161"/>
      <c r="K31" s="87"/>
      <c r="L31" s="64"/>
      <c r="M31" s="87"/>
      <c r="N31" s="63"/>
      <c r="O31" s="56"/>
      <c r="P31" s="56"/>
      <c r="Q31" s="63"/>
      <c r="R31" s="56"/>
      <c r="S31" s="63"/>
      <c r="T31" s="56"/>
      <c r="U31" s="64"/>
      <c r="V31" s="64"/>
      <c r="AA31" s="158" t="s">
        <v>88</v>
      </c>
      <c r="AB31" s="155">
        <v>98.8</v>
      </c>
      <c r="AC31" s="26">
        <v>450</v>
      </c>
      <c r="AD31" s="26">
        <v>190</v>
      </c>
      <c r="AE31" s="25">
        <v>9.4</v>
      </c>
      <c r="AF31" s="25">
        <v>14.6</v>
      </c>
      <c r="AG31" s="26">
        <v>21</v>
      </c>
      <c r="AH31" s="25">
        <v>378.8</v>
      </c>
      <c r="AI31" s="26">
        <v>33740</v>
      </c>
      <c r="AJ31" s="25">
        <v>1500</v>
      </c>
      <c r="AK31" s="25">
        <v>1680</v>
      </c>
      <c r="AL31" s="27">
        <v>176</v>
      </c>
      <c r="AM31" s="27">
        <v>18.5</v>
      </c>
      <c r="AN31" s="28">
        <v>4.12</v>
      </c>
      <c r="AO31" s="90">
        <v>2</v>
      </c>
    </row>
    <row r="32" spans="1:41" ht="15.75" customHeight="1">
      <c r="A32" s="126" t="s">
        <v>33</v>
      </c>
      <c r="B32" s="127" t="s">
        <v>1</v>
      </c>
      <c r="C32" s="160">
        <f>VLOOKUP(C15,AA2:AN84,10,0)</f>
        <v>89.9</v>
      </c>
      <c r="D32" s="111" t="s">
        <v>14</v>
      </c>
      <c r="E32" s="153"/>
      <c r="F32" s="153"/>
      <c r="G32" s="153"/>
      <c r="H32" s="153"/>
      <c r="I32" s="148"/>
      <c r="J32" s="161"/>
      <c r="K32" s="87"/>
      <c r="L32" s="64"/>
      <c r="M32" s="87"/>
      <c r="N32" s="63"/>
      <c r="O32" s="56"/>
      <c r="P32" s="56"/>
      <c r="Q32" s="63"/>
      <c r="R32" s="56"/>
      <c r="S32" s="63"/>
      <c r="T32" s="56"/>
      <c r="U32" s="64"/>
      <c r="V32" s="64"/>
      <c r="AA32" s="154" t="s">
        <v>89</v>
      </c>
      <c r="AB32" s="155">
        <v>116</v>
      </c>
      <c r="AC32" s="156">
        <v>500</v>
      </c>
      <c r="AD32" s="26">
        <v>200</v>
      </c>
      <c r="AE32" s="25">
        <v>10.2</v>
      </c>
      <c r="AF32" s="25">
        <v>16</v>
      </c>
      <c r="AG32" s="26">
        <v>21</v>
      </c>
      <c r="AH32" s="25">
        <v>426</v>
      </c>
      <c r="AI32" s="26">
        <v>48200</v>
      </c>
      <c r="AJ32" s="25">
        <v>1930</v>
      </c>
      <c r="AK32" s="25">
        <v>2140</v>
      </c>
      <c r="AL32" s="27">
        <v>214</v>
      </c>
      <c r="AM32" s="27">
        <v>20.4</v>
      </c>
      <c r="AN32" s="28">
        <v>4.31</v>
      </c>
      <c r="AO32" s="90">
        <v>2</v>
      </c>
    </row>
    <row r="33" spans="1:41" ht="15.75" customHeight="1">
      <c r="A33" s="126" t="s">
        <v>197</v>
      </c>
      <c r="B33" s="127" t="s">
        <v>1</v>
      </c>
      <c r="C33" s="160">
        <f>VLOOKUP(C15,AA4:AN86,12,0)</f>
        <v>33.5</v>
      </c>
      <c r="D33" s="111" t="s">
        <v>14</v>
      </c>
      <c r="E33" s="153"/>
      <c r="F33" s="153"/>
      <c r="G33" s="153"/>
      <c r="H33" s="153"/>
      <c r="I33" s="148"/>
      <c r="J33" s="161"/>
      <c r="K33" s="65"/>
      <c r="L33" s="54"/>
      <c r="M33" s="54"/>
      <c r="N33" s="149"/>
      <c r="O33" s="149"/>
      <c r="P33" s="149"/>
      <c r="Q33" s="149"/>
      <c r="R33" s="149"/>
      <c r="S33" s="149"/>
      <c r="T33" s="149"/>
      <c r="U33" s="149"/>
      <c r="AA33" s="154" t="s">
        <v>90</v>
      </c>
      <c r="AB33" s="155">
        <v>134</v>
      </c>
      <c r="AC33" s="156">
        <v>550</v>
      </c>
      <c r="AD33" s="26">
        <v>210</v>
      </c>
      <c r="AE33" s="25">
        <v>11.1</v>
      </c>
      <c r="AF33" s="25">
        <v>17.2</v>
      </c>
      <c r="AG33" s="26">
        <v>24</v>
      </c>
      <c r="AH33" s="25">
        <v>467.6</v>
      </c>
      <c r="AI33" s="26">
        <v>67120</v>
      </c>
      <c r="AJ33" s="25">
        <v>2440</v>
      </c>
      <c r="AK33" s="25">
        <v>2670</v>
      </c>
      <c r="AL33" s="27">
        <v>254</v>
      </c>
      <c r="AM33" s="27">
        <v>22.3</v>
      </c>
      <c r="AN33" s="28">
        <v>4.45</v>
      </c>
      <c r="AO33" s="90">
        <v>2</v>
      </c>
    </row>
    <row r="34" spans="1:41" ht="15.75" customHeight="1" thickBot="1">
      <c r="A34" s="114"/>
      <c r="B34" s="105"/>
      <c r="C34" s="105"/>
      <c r="D34" s="111"/>
      <c r="E34" s="153"/>
      <c r="F34" s="153"/>
      <c r="G34" s="153"/>
      <c r="H34" s="153"/>
      <c r="I34" s="148"/>
      <c r="J34" s="161"/>
      <c r="K34" s="65"/>
      <c r="L34" s="54"/>
      <c r="M34" s="54"/>
      <c r="N34" s="149"/>
      <c r="O34" s="149"/>
      <c r="P34" s="149"/>
      <c r="Q34" s="149"/>
      <c r="R34" s="149"/>
      <c r="S34" s="149"/>
      <c r="T34" s="149"/>
      <c r="U34" s="149"/>
      <c r="AA34" s="136" t="s">
        <v>91</v>
      </c>
      <c r="AB34" s="137">
        <v>156</v>
      </c>
      <c r="AC34" s="138">
        <v>600</v>
      </c>
      <c r="AD34" s="139">
        <v>220</v>
      </c>
      <c r="AE34" s="140">
        <v>12</v>
      </c>
      <c r="AF34" s="140">
        <v>19</v>
      </c>
      <c r="AG34" s="139">
        <v>24</v>
      </c>
      <c r="AH34" s="140">
        <v>514</v>
      </c>
      <c r="AI34" s="139">
        <v>92080</v>
      </c>
      <c r="AJ34" s="140">
        <v>3070</v>
      </c>
      <c r="AK34" s="140">
        <v>3390</v>
      </c>
      <c r="AL34" s="141">
        <v>308</v>
      </c>
      <c r="AM34" s="141">
        <v>24.3</v>
      </c>
      <c r="AN34" s="142">
        <v>4.66</v>
      </c>
      <c r="AO34" s="90">
        <v>2</v>
      </c>
    </row>
    <row r="35" spans="1:21" ht="15.75" customHeight="1" thickBot="1" thickTop="1">
      <c r="A35" s="130" t="s">
        <v>35</v>
      </c>
      <c r="B35" s="105"/>
      <c r="C35" s="105"/>
      <c r="D35" s="111"/>
      <c r="E35" s="153"/>
      <c r="F35" s="153"/>
      <c r="G35" s="153"/>
      <c r="H35" s="153"/>
      <c r="I35" s="148"/>
      <c r="J35" s="162"/>
      <c r="K35" s="65"/>
      <c r="L35" s="163"/>
      <c r="M35" s="163"/>
      <c r="N35" s="164"/>
      <c r="R35" s="149"/>
      <c r="S35" s="149"/>
      <c r="T35" s="149"/>
      <c r="U35" s="149"/>
    </row>
    <row r="36" spans="1:41" ht="15.75" customHeight="1" thickTop="1">
      <c r="A36" s="165" t="s">
        <v>29</v>
      </c>
      <c r="B36" s="166" t="s">
        <v>1</v>
      </c>
      <c r="C36" s="166">
        <f>VLOOKUP(C15,AA2:AN84,8,0)/VLOOKUP(C15,AA2:AN84,5,0)</f>
        <v>9.333333333333334</v>
      </c>
      <c r="D36" s="102" t="s">
        <v>45</v>
      </c>
      <c r="E36" s="167" t="str">
        <f>IF(M22=1,"Non compact",IF(OR(C36&lt;(127/(H7)^0.5),C36=(127/(H7)^0.5)),"Compact",IF(AND(C36&gt;(127/(H7)^0.5),OR(C36&lt;(190/(H7)^0.5),C36&lt;(190/(H7)^0.5))),"Non compact","Slender")))</f>
        <v>Compact</v>
      </c>
      <c r="F36" s="104"/>
      <c r="G36" s="104"/>
      <c r="H36" s="104"/>
      <c r="I36" s="72"/>
      <c r="J36" s="121" t="s">
        <v>59</v>
      </c>
      <c r="K36" s="65"/>
      <c r="L36" s="163"/>
      <c r="M36" s="163"/>
      <c r="N36" s="164"/>
      <c r="O36" s="164"/>
      <c r="P36" s="164"/>
      <c r="Q36" s="164"/>
      <c r="R36" s="149"/>
      <c r="S36" s="149"/>
      <c r="T36" s="149"/>
      <c r="U36" s="149"/>
      <c r="AA36" s="45" t="s">
        <v>149</v>
      </c>
      <c r="AB36" s="47">
        <v>26</v>
      </c>
      <c r="AC36" s="13">
        <v>100</v>
      </c>
      <c r="AD36" s="14">
        <v>100</v>
      </c>
      <c r="AE36" s="15">
        <v>6</v>
      </c>
      <c r="AF36" s="16">
        <v>10</v>
      </c>
      <c r="AG36" s="24">
        <v>12</v>
      </c>
      <c r="AH36" s="25">
        <v>56</v>
      </c>
      <c r="AI36" s="26">
        <v>450</v>
      </c>
      <c r="AJ36" s="25">
        <v>89.9</v>
      </c>
      <c r="AK36" s="25">
        <v>167</v>
      </c>
      <c r="AL36" s="25">
        <v>33.5</v>
      </c>
      <c r="AM36" s="27">
        <v>4.16</v>
      </c>
      <c r="AN36" s="28">
        <v>2.53</v>
      </c>
      <c r="AO36" s="90">
        <v>2</v>
      </c>
    </row>
    <row r="37" spans="1:41" ht="15.75" customHeight="1">
      <c r="A37" s="165" t="s">
        <v>30</v>
      </c>
      <c r="B37" s="166" t="s">
        <v>1</v>
      </c>
      <c r="C37" s="166">
        <f>(C16/2-C19/2-VLOOKUP(C15,AA2:AN84,7,0))/C17</f>
        <v>3.5</v>
      </c>
      <c r="D37" s="102" t="s">
        <v>46</v>
      </c>
      <c r="E37" s="167" t="str">
        <f>IF(M22=1,"Non compact",IF(OR(C37&lt;(16.9/(H7)^0.5),C37=(16.9/(H7)^0.5)),"Compact",IF(AND(C37&gt;(16.9/(H7)^0.5),OR(C37&lt;(23/(H7)^0.5),C37=(23/(H7)^0.5))),"Non compact","Slender")))</f>
        <v>Compact</v>
      </c>
      <c r="F37" s="104"/>
      <c r="G37" s="104"/>
      <c r="H37" s="104"/>
      <c r="I37" s="72"/>
      <c r="J37" s="121" t="s">
        <v>60</v>
      </c>
      <c r="K37" s="65"/>
      <c r="L37" s="163"/>
      <c r="M37" s="163"/>
      <c r="N37" s="164"/>
      <c r="O37" s="164"/>
      <c r="P37" s="164"/>
      <c r="Q37" s="164"/>
      <c r="R37" s="149"/>
      <c r="S37" s="149"/>
      <c r="T37" s="149"/>
      <c r="U37" s="149"/>
      <c r="AA37" s="45" t="s">
        <v>150</v>
      </c>
      <c r="AB37" s="47">
        <v>34</v>
      </c>
      <c r="AC37" s="31">
        <v>120</v>
      </c>
      <c r="AD37" s="32">
        <v>120</v>
      </c>
      <c r="AE37" s="33">
        <v>6.5</v>
      </c>
      <c r="AF37" s="25">
        <v>11</v>
      </c>
      <c r="AG37" s="26">
        <v>12</v>
      </c>
      <c r="AH37" s="25">
        <v>74</v>
      </c>
      <c r="AI37" s="26">
        <v>864</v>
      </c>
      <c r="AJ37" s="25">
        <v>144</v>
      </c>
      <c r="AK37" s="25">
        <v>318</v>
      </c>
      <c r="AL37" s="25">
        <v>52.9</v>
      </c>
      <c r="AM37" s="27">
        <v>5.04</v>
      </c>
      <c r="AN37" s="28">
        <v>3.06</v>
      </c>
      <c r="AO37" s="90">
        <v>2</v>
      </c>
    </row>
    <row r="38" spans="1:41" ht="15.75" customHeight="1">
      <c r="A38" s="168" t="s">
        <v>28</v>
      </c>
      <c r="B38" s="169" t="str">
        <f>IF(AND(E36="Compact",E37="Compact"),"Compact",IF(AND(E36&lt;&gt;"Slender",E37&lt;&gt;"Slender",OR(E36="Non compact",E37="Non compact")),"Non compact","Slender"))</f>
        <v>Compact</v>
      </c>
      <c r="C38" s="103"/>
      <c r="D38" s="111"/>
      <c r="E38" s="104"/>
      <c r="F38" s="104"/>
      <c r="G38" s="104"/>
      <c r="H38" s="104"/>
      <c r="I38" s="72"/>
      <c r="J38" s="162"/>
      <c r="K38" s="65"/>
      <c r="L38" s="73"/>
      <c r="M38" s="73"/>
      <c r="O38" s="164"/>
      <c r="P38" s="164"/>
      <c r="Q38" s="164"/>
      <c r="R38" s="149"/>
      <c r="S38" s="149"/>
      <c r="T38" s="149"/>
      <c r="U38" s="149"/>
      <c r="AA38" s="45" t="s">
        <v>151</v>
      </c>
      <c r="AB38" s="47">
        <v>43</v>
      </c>
      <c r="AC38" s="31">
        <v>140</v>
      </c>
      <c r="AD38" s="32">
        <v>140</v>
      </c>
      <c r="AE38" s="33">
        <v>7</v>
      </c>
      <c r="AF38" s="25">
        <v>12</v>
      </c>
      <c r="AG38" s="26">
        <v>12</v>
      </c>
      <c r="AH38" s="25">
        <v>92</v>
      </c>
      <c r="AI38" s="26">
        <v>1510</v>
      </c>
      <c r="AJ38" s="25">
        <v>216</v>
      </c>
      <c r="AK38" s="25">
        <v>550</v>
      </c>
      <c r="AL38" s="25">
        <v>78.5</v>
      </c>
      <c r="AM38" s="27">
        <v>5.93</v>
      </c>
      <c r="AN38" s="28">
        <v>3.58</v>
      </c>
      <c r="AO38" s="90">
        <v>2</v>
      </c>
    </row>
    <row r="39" spans="1:41" ht="15.75" customHeight="1">
      <c r="A39" s="130"/>
      <c r="B39" s="119"/>
      <c r="C39" s="111"/>
      <c r="D39" s="111"/>
      <c r="E39" s="111"/>
      <c r="F39" s="111"/>
      <c r="G39" s="111"/>
      <c r="H39" s="111"/>
      <c r="I39" s="111"/>
      <c r="J39" s="125"/>
      <c r="K39" s="54"/>
      <c r="L39" s="54"/>
      <c r="M39" s="54"/>
      <c r="N39" s="149"/>
      <c r="O39" s="149"/>
      <c r="P39" s="149"/>
      <c r="Q39" s="149"/>
      <c r="R39" s="149"/>
      <c r="S39" s="149"/>
      <c r="T39" s="149"/>
      <c r="U39" s="149"/>
      <c r="AA39" s="45" t="s">
        <v>152</v>
      </c>
      <c r="AB39" s="47">
        <v>54.3</v>
      </c>
      <c r="AC39" s="31">
        <v>160</v>
      </c>
      <c r="AD39" s="32">
        <v>160</v>
      </c>
      <c r="AE39" s="33">
        <v>8</v>
      </c>
      <c r="AF39" s="25">
        <v>13</v>
      </c>
      <c r="AG39" s="26">
        <v>15</v>
      </c>
      <c r="AH39" s="25">
        <v>104</v>
      </c>
      <c r="AI39" s="26">
        <v>2490</v>
      </c>
      <c r="AJ39" s="25">
        <v>311</v>
      </c>
      <c r="AK39" s="25">
        <v>889</v>
      </c>
      <c r="AL39" s="25">
        <v>111</v>
      </c>
      <c r="AM39" s="27">
        <v>6.78</v>
      </c>
      <c r="AN39" s="28">
        <v>4.05</v>
      </c>
      <c r="AO39" s="90">
        <v>2</v>
      </c>
    </row>
    <row r="40" spans="1:41" ht="15.75" customHeight="1">
      <c r="A40" s="130" t="s">
        <v>42</v>
      </c>
      <c r="B40" s="119"/>
      <c r="C40" s="110"/>
      <c r="D40" s="110"/>
      <c r="E40" s="110"/>
      <c r="F40" s="111"/>
      <c r="G40" s="111"/>
      <c r="H40" s="111"/>
      <c r="I40" s="111"/>
      <c r="J40" s="125"/>
      <c r="K40" s="65"/>
      <c r="L40" s="54"/>
      <c r="M40" s="54"/>
      <c r="N40" s="149"/>
      <c r="O40" s="149"/>
      <c r="P40" s="149"/>
      <c r="Q40" s="149"/>
      <c r="R40" s="149"/>
      <c r="S40" s="149"/>
      <c r="T40" s="149"/>
      <c r="U40" s="149"/>
      <c r="AA40" s="45" t="s">
        <v>153</v>
      </c>
      <c r="AB40" s="47">
        <v>65.3</v>
      </c>
      <c r="AC40" s="31">
        <v>180</v>
      </c>
      <c r="AD40" s="32">
        <v>180</v>
      </c>
      <c r="AE40" s="33">
        <v>8.5</v>
      </c>
      <c r="AF40" s="25">
        <v>14</v>
      </c>
      <c r="AG40" s="26">
        <v>15</v>
      </c>
      <c r="AH40" s="25">
        <v>122</v>
      </c>
      <c r="AI40" s="26">
        <v>3830</v>
      </c>
      <c r="AJ40" s="25">
        <v>426</v>
      </c>
      <c r="AK40" s="25">
        <v>1360</v>
      </c>
      <c r="AL40" s="25">
        <v>151</v>
      </c>
      <c r="AM40" s="27">
        <v>7.66</v>
      </c>
      <c r="AN40" s="28">
        <v>4.57</v>
      </c>
      <c r="AO40" s="90">
        <v>2</v>
      </c>
    </row>
    <row r="41" spans="1:41" ht="15.75" customHeight="1">
      <c r="A41" s="126" t="s">
        <v>17</v>
      </c>
      <c r="B41" s="127" t="s">
        <v>1</v>
      </c>
      <c r="C41" s="11">
        <v>1.75</v>
      </c>
      <c r="D41" s="111"/>
      <c r="E41" s="111"/>
      <c r="F41" s="170"/>
      <c r="G41" s="170"/>
      <c r="H41" s="170"/>
      <c r="I41" s="129"/>
      <c r="J41" s="121" t="s">
        <v>61</v>
      </c>
      <c r="K41" s="65"/>
      <c r="L41" s="54"/>
      <c r="M41" s="54"/>
      <c r="N41" s="149"/>
      <c r="O41" s="149"/>
      <c r="P41" s="149"/>
      <c r="Q41" s="149"/>
      <c r="R41" s="149"/>
      <c r="S41" s="149"/>
      <c r="T41" s="149"/>
      <c r="U41" s="149"/>
      <c r="AA41" s="45" t="s">
        <v>154</v>
      </c>
      <c r="AB41" s="47">
        <v>78.1</v>
      </c>
      <c r="AC41" s="31">
        <v>200</v>
      </c>
      <c r="AD41" s="32">
        <v>200</v>
      </c>
      <c r="AE41" s="33">
        <v>9</v>
      </c>
      <c r="AF41" s="25">
        <v>15</v>
      </c>
      <c r="AG41" s="26">
        <v>18</v>
      </c>
      <c r="AH41" s="25">
        <v>134</v>
      </c>
      <c r="AI41" s="26">
        <v>5700</v>
      </c>
      <c r="AJ41" s="25">
        <v>570</v>
      </c>
      <c r="AK41" s="25">
        <v>2000</v>
      </c>
      <c r="AL41" s="25">
        <v>200</v>
      </c>
      <c r="AM41" s="27">
        <v>8.54</v>
      </c>
      <c r="AN41" s="28">
        <v>5.07</v>
      </c>
      <c r="AO41" s="90">
        <v>2</v>
      </c>
    </row>
    <row r="42" spans="1:41" ht="15.75" customHeight="1">
      <c r="A42" s="230" t="s">
        <v>12</v>
      </c>
      <c r="B42" s="231" t="s">
        <v>1</v>
      </c>
      <c r="C42" s="111" t="s">
        <v>26</v>
      </c>
      <c r="D42" s="111"/>
      <c r="E42" s="170"/>
      <c r="F42" s="112">
        <f>(20*(C16/1000))/(H7^0.5)</f>
        <v>1.2909944487358056</v>
      </c>
      <c r="G42" s="111" t="s">
        <v>0</v>
      </c>
      <c r="H42" s="232">
        <f>MIN(F42,F43)</f>
        <v>1.2909944487358056</v>
      </c>
      <c r="I42" s="232" t="s">
        <v>0</v>
      </c>
      <c r="J42" s="171" t="s">
        <v>62</v>
      </c>
      <c r="K42" s="65"/>
      <c r="L42" s="54"/>
      <c r="M42" s="54"/>
      <c r="N42" s="149"/>
      <c r="O42" s="149"/>
      <c r="P42" s="149"/>
      <c r="Q42" s="149"/>
      <c r="R42" s="149"/>
      <c r="S42" s="149"/>
      <c r="T42" s="149"/>
      <c r="U42" s="149"/>
      <c r="AA42" s="45" t="s">
        <v>155</v>
      </c>
      <c r="AB42" s="47">
        <v>91</v>
      </c>
      <c r="AC42" s="31">
        <v>220</v>
      </c>
      <c r="AD42" s="32">
        <v>220</v>
      </c>
      <c r="AE42" s="33">
        <v>9.5</v>
      </c>
      <c r="AF42" s="25">
        <v>16</v>
      </c>
      <c r="AG42" s="26">
        <v>18</v>
      </c>
      <c r="AH42" s="25">
        <v>152</v>
      </c>
      <c r="AI42" s="26">
        <v>8090</v>
      </c>
      <c r="AJ42" s="25">
        <v>736</v>
      </c>
      <c r="AK42" s="25">
        <v>2840</v>
      </c>
      <c r="AL42" s="25">
        <v>258</v>
      </c>
      <c r="AM42" s="27">
        <v>9.43</v>
      </c>
      <c r="AN42" s="28">
        <v>5.59</v>
      </c>
      <c r="AO42" s="90">
        <v>2</v>
      </c>
    </row>
    <row r="43" spans="1:41" ht="15.75" customHeight="1">
      <c r="A43" s="230"/>
      <c r="B43" s="231"/>
      <c r="C43" s="111" t="s">
        <v>27</v>
      </c>
      <c r="D43" s="111"/>
      <c r="E43" s="111"/>
      <c r="F43" s="119">
        <f>(1380*(C16*C17/100)/(H7*C18/10)*C41)/100</f>
        <v>10.0625</v>
      </c>
      <c r="G43" s="111" t="s">
        <v>0</v>
      </c>
      <c r="H43" s="232"/>
      <c r="I43" s="232"/>
      <c r="J43" s="171" t="s">
        <v>63</v>
      </c>
      <c r="K43" s="65"/>
      <c r="L43" s="69" t="s">
        <v>37</v>
      </c>
      <c r="M43" s="69" t="s">
        <v>1</v>
      </c>
      <c r="N43" s="172">
        <f>IF(C23=0,0.58*H7,MIN((800*C16*C17*C41)/(1000*(VLOOKUP(C15,AA2:AN84,3,0))*C23),0.58*H7))</f>
        <v>1.392</v>
      </c>
      <c r="O43" s="54" t="s">
        <v>15</v>
      </c>
      <c r="P43" s="173" t="s">
        <v>38</v>
      </c>
      <c r="Q43" s="173" t="s">
        <v>1</v>
      </c>
      <c r="R43" s="149">
        <f>((C17*C16^3/12)+(C18*C19^3/36))/10000</f>
        <v>83.39333333333333</v>
      </c>
      <c r="S43" s="54" t="s">
        <v>16</v>
      </c>
      <c r="T43" s="149"/>
      <c r="U43" s="149"/>
      <c r="AA43" s="45" t="s">
        <v>156</v>
      </c>
      <c r="AB43" s="47">
        <v>106</v>
      </c>
      <c r="AC43" s="31">
        <v>240</v>
      </c>
      <c r="AD43" s="32">
        <v>240</v>
      </c>
      <c r="AE43" s="33">
        <v>10</v>
      </c>
      <c r="AF43" s="25">
        <v>17</v>
      </c>
      <c r="AG43" s="26">
        <v>21</v>
      </c>
      <c r="AH43" s="25">
        <v>164</v>
      </c>
      <c r="AI43" s="26">
        <v>11260</v>
      </c>
      <c r="AJ43" s="25">
        <v>938</v>
      </c>
      <c r="AK43" s="25">
        <v>3920</v>
      </c>
      <c r="AL43" s="25">
        <v>327</v>
      </c>
      <c r="AM43" s="27">
        <v>10.3</v>
      </c>
      <c r="AN43" s="28">
        <v>6.08</v>
      </c>
      <c r="AO43" s="90">
        <v>2</v>
      </c>
    </row>
    <row r="44" spans="1:41" ht="15.75" customHeight="1">
      <c r="A44" s="126"/>
      <c r="B44" s="111" t="s">
        <v>36</v>
      </c>
      <c r="C44" s="111"/>
      <c r="D44" s="111"/>
      <c r="E44" s="111"/>
      <c r="F44" s="174" t="str">
        <f>IF(AND(H42&gt;C23),"There is no LTB","There is LTB")</f>
        <v>There is no LTB</v>
      </c>
      <c r="G44" s="175"/>
      <c r="H44" s="110"/>
      <c r="I44" s="110"/>
      <c r="J44" s="125"/>
      <c r="K44" s="65"/>
      <c r="L44" s="69" t="s">
        <v>19</v>
      </c>
      <c r="M44" s="69" t="s">
        <v>1</v>
      </c>
      <c r="N44" s="173">
        <f>(C16*C17+C18*C19/6)/100</f>
        <v>11</v>
      </c>
      <c r="O44" s="54" t="s">
        <v>13</v>
      </c>
      <c r="P44" s="173" t="s">
        <v>18</v>
      </c>
      <c r="Q44" s="173" t="s">
        <v>1</v>
      </c>
      <c r="R44" s="149">
        <f>(R43/N44)^0.5</f>
        <v>2.7534001019125647</v>
      </c>
      <c r="S44" s="54" t="s">
        <v>7</v>
      </c>
      <c r="T44" s="149"/>
      <c r="U44" s="149"/>
      <c r="AA44" s="46" t="s">
        <v>157</v>
      </c>
      <c r="AB44" s="47">
        <v>118</v>
      </c>
      <c r="AC44" s="31">
        <v>260</v>
      </c>
      <c r="AD44" s="32">
        <v>260</v>
      </c>
      <c r="AE44" s="33">
        <v>10</v>
      </c>
      <c r="AF44" s="25">
        <v>17.5</v>
      </c>
      <c r="AG44" s="26">
        <v>24</v>
      </c>
      <c r="AH44" s="25">
        <v>177</v>
      </c>
      <c r="AI44" s="26">
        <v>14920</v>
      </c>
      <c r="AJ44" s="25">
        <v>1150</v>
      </c>
      <c r="AK44" s="25">
        <v>5130</v>
      </c>
      <c r="AL44" s="25">
        <v>395</v>
      </c>
      <c r="AM44" s="27">
        <v>11.2</v>
      </c>
      <c r="AN44" s="28">
        <v>6.58</v>
      </c>
      <c r="AO44" s="90">
        <v>2</v>
      </c>
    </row>
    <row r="45" spans="1:41" ht="15.75" customHeight="1" thickBot="1">
      <c r="A45" s="126" t="s">
        <v>31</v>
      </c>
      <c r="B45" s="112" t="s">
        <v>1</v>
      </c>
      <c r="C45" s="112">
        <f>IF(F44="There is LTB",N50,N51)</f>
        <v>1.536</v>
      </c>
      <c r="D45" s="111" t="s">
        <v>15</v>
      </c>
      <c r="E45" s="111"/>
      <c r="F45" s="244"/>
      <c r="G45" s="244"/>
      <c r="H45" s="177"/>
      <c r="I45" s="177"/>
      <c r="J45" s="178"/>
      <c r="K45" s="65"/>
      <c r="L45" s="69" t="s">
        <v>21</v>
      </c>
      <c r="M45" s="69" t="s">
        <v>1</v>
      </c>
      <c r="N45" s="173">
        <f>C23*100/R44</f>
        <v>36.31873185830787</v>
      </c>
      <c r="O45" s="149"/>
      <c r="P45" s="173">
        <f>84*(C41/H7)^0.5</f>
        <v>71.7286553617172</v>
      </c>
      <c r="Q45" s="173">
        <f>188*(C41/H7)^0.5</f>
        <v>160.53556200003374</v>
      </c>
      <c r="R45" s="149"/>
      <c r="S45" s="54"/>
      <c r="T45" s="149"/>
      <c r="U45" s="149"/>
      <c r="AA45" s="46" t="s">
        <v>158</v>
      </c>
      <c r="AB45" s="47">
        <v>131</v>
      </c>
      <c r="AC45" s="31">
        <v>280</v>
      </c>
      <c r="AD45" s="32">
        <v>280</v>
      </c>
      <c r="AE45" s="33">
        <v>10.5</v>
      </c>
      <c r="AF45" s="25">
        <v>18</v>
      </c>
      <c r="AG45" s="26">
        <v>24</v>
      </c>
      <c r="AH45" s="25">
        <v>196</v>
      </c>
      <c r="AI45" s="26">
        <v>19270</v>
      </c>
      <c r="AJ45" s="25">
        <v>1380</v>
      </c>
      <c r="AK45" s="25">
        <v>6590</v>
      </c>
      <c r="AL45" s="25">
        <v>471</v>
      </c>
      <c r="AM45" s="27">
        <v>12.1</v>
      </c>
      <c r="AN45" s="28">
        <v>7.09</v>
      </c>
      <c r="AO45" s="90">
        <v>2</v>
      </c>
    </row>
    <row r="46" spans="1:41" ht="15.75" customHeight="1" thickTop="1">
      <c r="A46" s="126" t="s">
        <v>201</v>
      </c>
      <c r="B46" s="112" t="s">
        <v>1</v>
      </c>
      <c r="C46" s="112">
        <f>IF(M22=1,0.58*H7,0.72*H7)</f>
        <v>1.728</v>
      </c>
      <c r="D46" s="111" t="s">
        <v>15</v>
      </c>
      <c r="E46" s="111"/>
      <c r="F46" s="179"/>
      <c r="G46" s="175"/>
      <c r="H46" s="110"/>
      <c r="I46" s="110"/>
      <c r="J46" s="125"/>
      <c r="K46" s="65"/>
      <c r="L46" s="69" t="s">
        <v>20</v>
      </c>
      <c r="M46" s="69" t="s">
        <v>1</v>
      </c>
      <c r="N46" s="173">
        <f>0.58*H7</f>
        <v>1.392</v>
      </c>
      <c r="O46" s="54" t="s">
        <v>15</v>
      </c>
      <c r="P46" s="173"/>
      <c r="Q46" s="173"/>
      <c r="R46" s="149"/>
      <c r="S46" s="54"/>
      <c r="T46" s="149"/>
      <c r="U46" s="149"/>
      <c r="AA46" s="22" t="s">
        <v>135</v>
      </c>
      <c r="AB46" s="23">
        <v>149</v>
      </c>
      <c r="AC46" s="13">
        <v>300</v>
      </c>
      <c r="AD46" s="14">
        <v>300</v>
      </c>
      <c r="AE46" s="15">
        <v>11</v>
      </c>
      <c r="AF46" s="16">
        <v>19</v>
      </c>
      <c r="AG46" s="24">
        <v>27</v>
      </c>
      <c r="AH46" s="25">
        <v>208</v>
      </c>
      <c r="AI46" s="26">
        <v>25170</v>
      </c>
      <c r="AJ46" s="25">
        <v>1680</v>
      </c>
      <c r="AK46" s="25">
        <v>8560</v>
      </c>
      <c r="AL46" s="25">
        <v>571</v>
      </c>
      <c r="AM46" s="27">
        <v>13</v>
      </c>
      <c r="AN46" s="28">
        <v>7.58</v>
      </c>
      <c r="AO46" s="90">
        <v>2</v>
      </c>
    </row>
    <row r="47" spans="1:41" ht="15.75" customHeight="1">
      <c r="A47" s="72" t="s">
        <v>202</v>
      </c>
      <c r="B47" s="119"/>
      <c r="C47" s="119">
        <f>(C10*100/C32)/C45+(C11*100/C33)/C46</f>
        <v>0.6351684600111542</v>
      </c>
      <c r="D47" s="111" t="s">
        <v>15</v>
      </c>
      <c r="E47" s="127" t="str">
        <f>IF(C47&lt;C46,"&lt;","&gt;")</f>
        <v>&lt;</v>
      </c>
      <c r="F47" s="160">
        <f>IF(E10="a",1,1.2)</f>
        <v>1</v>
      </c>
      <c r="G47" s="176" t="str">
        <f>IF(AND(C47&lt;C46),"SAFE","Unsafe")</f>
        <v>SAFE</v>
      </c>
      <c r="H47" s="111"/>
      <c r="I47" s="111"/>
      <c r="J47" s="125"/>
      <c r="K47" s="65"/>
      <c r="L47" s="69" t="s">
        <v>22</v>
      </c>
      <c r="M47" s="69" t="s">
        <v>1</v>
      </c>
      <c r="N47" s="173">
        <f>IF(ABS(P47)&gt;0.58*H7,0.58*H7,ABS(P47))</f>
        <v>1.392</v>
      </c>
      <c r="O47" s="54" t="s">
        <v>15</v>
      </c>
      <c r="P47" s="173">
        <f>(0.64-((N45^2*H7)/(1.176*10^5*C41)))*H7</f>
        <v>1.4990819745643196</v>
      </c>
      <c r="Q47" s="173"/>
      <c r="R47" s="180"/>
      <c r="S47" s="54"/>
      <c r="T47" s="149"/>
      <c r="U47" s="149"/>
      <c r="AA47" s="29" t="s">
        <v>136</v>
      </c>
      <c r="AB47" s="30">
        <v>161</v>
      </c>
      <c r="AC47" s="31">
        <v>320</v>
      </c>
      <c r="AD47" s="32">
        <v>300</v>
      </c>
      <c r="AE47" s="33">
        <v>11.5</v>
      </c>
      <c r="AF47" s="25">
        <v>20.5</v>
      </c>
      <c r="AG47" s="26">
        <v>27</v>
      </c>
      <c r="AH47" s="25">
        <v>225</v>
      </c>
      <c r="AI47" s="26">
        <v>30820</v>
      </c>
      <c r="AJ47" s="25">
        <v>1930</v>
      </c>
      <c r="AK47" s="25">
        <v>9240</v>
      </c>
      <c r="AL47" s="25">
        <v>616</v>
      </c>
      <c r="AM47" s="27">
        <v>13.8</v>
      </c>
      <c r="AN47" s="28">
        <v>7.57</v>
      </c>
      <c r="AO47" s="90">
        <v>2</v>
      </c>
    </row>
    <row r="48" spans="1:41" ht="15.75" customHeight="1">
      <c r="A48" s="126"/>
      <c r="B48" s="119"/>
      <c r="C48" s="119"/>
      <c r="D48" s="111"/>
      <c r="E48" s="111"/>
      <c r="F48" s="111"/>
      <c r="G48" s="111"/>
      <c r="H48" s="111"/>
      <c r="I48" s="119"/>
      <c r="J48" s="125"/>
      <c r="K48" s="65"/>
      <c r="L48" s="69" t="s">
        <v>23</v>
      </c>
      <c r="M48" s="69" t="s">
        <v>1</v>
      </c>
      <c r="N48" s="173">
        <f>IF(P48&gt;0.58*H7,0.58*H7,P48)</f>
        <v>1.392</v>
      </c>
      <c r="O48" s="54" t="s">
        <v>15</v>
      </c>
      <c r="P48" s="173">
        <f>IF(N45=0,0.58*H7,(12000*C41)/N45^2)</f>
        <v>15.920545454545454</v>
      </c>
      <c r="Q48" s="173"/>
      <c r="R48" s="149"/>
      <c r="S48" s="149"/>
      <c r="T48" s="149"/>
      <c r="U48" s="149"/>
      <c r="AA48" s="29" t="s">
        <v>137</v>
      </c>
      <c r="AB48" s="30">
        <v>171</v>
      </c>
      <c r="AC48" s="31">
        <v>340</v>
      </c>
      <c r="AD48" s="32">
        <v>300</v>
      </c>
      <c r="AE48" s="33">
        <v>12</v>
      </c>
      <c r="AF48" s="25">
        <v>21.5</v>
      </c>
      <c r="AG48" s="26">
        <v>27</v>
      </c>
      <c r="AH48" s="25">
        <v>243</v>
      </c>
      <c r="AI48" s="26">
        <v>36660</v>
      </c>
      <c r="AJ48" s="25">
        <v>2160</v>
      </c>
      <c r="AK48" s="25">
        <v>9690</v>
      </c>
      <c r="AL48" s="25">
        <v>646</v>
      </c>
      <c r="AM48" s="27">
        <v>14.6</v>
      </c>
      <c r="AN48" s="28">
        <v>7.53</v>
      </c>
      <c r="AO48" s="90">
        <v>2</v>
      </c>
    </row>
    <row r="49" spans="1:41" ht="15.75" customHeight="1">
      <c r="A49" s="130" t="s">
        <v>43</v>
      </c>
      <c r="B49" s="119"/>
      <c r="C49" s="111"/>
      <c r="D49" s="111"/>
      <c r="E49" s="112"/>
      <c r="F49" s="119"/>
      <c r="G49" s="111"/>
      <c r="H49" s="111"/>
      <c r="I49" s="111"/>
      <c r="J49" s="125"/>
      <c r="K49" s="65"/>
      <c r="L49" s="69" t="s">
        <v>39</v>
      </c>
      <c r="M49" s="69" t="s">
        <v>1</v>
      </c>
      <c r="N49" s="173">
        <f>IF(N45&lt;P45,N46,IF(AND(N45&gt;P45,N45&lt;Q45),N47,N48))</f>
        <v>1.392</v>
      </c>
      <c r="O49" s="54" t="s">
        <v>15</v>
      </c>
      <c r="P49" s="69" t="s">
        <v>40</v>
      </c>
      <c r="Q49" s="69" t="s">
        <v>1</v>
      </c>
      <c r="R49" s="173">
        <f>(N43^2+N49^2)^0.5</f>
        <v>1.9685852788233482</v>
      </c>
      <c r="S49" s="54" t="s">
        <v>15</v>
      </c>
      <c r="T49" s="149"/>
      <c r="U49" s="149"/>
      <c r="AA49" s="29" t="s">
        <v>138</v>
      </c>
      <c r="AB49" s="30">
        <v>181</v>
      </c>
      <c r="AC49" s="31">
        <v>360</v>
      </c>
      <c r="AD49" s="32">
        <v>300</v>
      </c>
      <c r="AE49" s="33">
        <v>12.5</v>
      </c>
      <c r="AF49" s="25">
        <v>22.5</v>
      </c>
      <c r="AG49" s="26">
        <v>27</v>
      </c>
      <c r="AH49" s="25">
        <v>261</v>
      </c>
      <c r="AI49" s="26">
        <v>43190</v>
      </c>
      <c r="AJ49" s="25">
        <v>2400</v>
      </c>
      <c r="AK49" s="25">
        <v>10140</v>
      </c>
      <c r="AL49" s="25">
        <v>676</v>
      </c>
      <c r="AM49" s="27">
        <v>15.5</v>
      </c>
      <c r="AN49" s="28">
        <v>7.49</v>
      </c>
      <c r="AO49" s="90">
        <v>2</v>
      </c>
    </row>
    <row r="50" spans="1:41" ht="15.75" customHeight="1">
      <c r="A50" s="126" t="s">
        <v>44</v>
      </c>
      <c r="B50" s="119" t="s">
        <v>1</v>
      </c>
      <c r="C50" s="119">
        <f>C12*100/(VLOOKUP(C15,AA2:AN84,8,FALSE)*C19)</f>
        <v>0.11904761904761904</v>
      </c>
      <c r="D50" s="111" t="s">
        <v>15</v>
      </c>
      <c r="E50" s="119" t="str">
        <f>IF(C50&gt;F50,"&gt;","&lt;")</f>
        <v>&lt;</v>
      </c>
      <c r="F50" s="181">
        <f>0.35*H7</f>
        <v>0.84</v>
      </c>
      <c r="G50" s="176" t="str">
        <f>IF(AND(C50&lt;F50),"SAFE","Unsafe")</f>
        <v>SAFE</v>
      </c>
      <c r="H50" s="111"/>
      <c r="I50" s="111"/>
      <c r="J50" s="171" t="s">
        <v>65</v>
      </c>
      <c r="K50" s="65"/>
      <c r="L50" s="69" t="s">
        <v>24</v>
      </c>
      <c r="M50" s="69" t="s">
        <v>1</v>
      </c>
      <c r="N50" s="173">
        <f>IF(R49&gt;0.58*H7,0.58*H7,R49)</f>
        <v>1.392</v>
      </c>
      <c r="O50" s="54" t="s">
        <v>15</v>
      </c>
      <c r="P50" s="54"/>
      <c r="Q50" s="149"/>
      <c r="R50" s="149"/>
      <c r="S50" s="149"/>
      <c r="T50" s="149"/>
      <c r="U50" s="149"/>
      <c r="AA50" s="29" t="s">
        <v>139</v>
      </c>
      <c r="AB50" s="30">
        <v>198</v>
      </c>
      <c r="AC50" s="31">
        <v>400</v>
      </c>
      <c r="AD50" s="32">
        <v>300</v>
      </c>
      <c r="AE50" s="33">
        <v>13.5</v>
      </c>
      <c r="AF50" s="25">
        <v>24</v>
      </c>
      <c r="AG50" s="26">
        <v>27</v>
      </c>
      <c r="AH50" s="25">
        <v>298</v>
      </c>
      <c r="AI50" s="26">
        <v>57680</v>
      </c>
      <c r="AJ50" s="25">
        <v>2880</v>
      </c>
      <c r="AK50" s="25">
        <v>10820</v>
      </c>
      <c r="AL50" s="25">
        <v>721</v>
      </c>
      <c r="AM50" s="27">
        <v>17.1</v>
      </c>
      <c r="AN50" s="28">
        <v>7.4</v>
      </c>
      <c r="AO50" s="90">
        <v>2</v>
      </c>
    </row>
    <row r="51" spans="1:41" ht="15.75" customHeight="1">
      <c r="A51" s="109"/>
      <c r="B51" s="111"/>
      <c r="C51" s="182"/>
      <c r="D51" s="112"/>
      <c r="E51" s="119"/>
      <c r="F51" s="111"/>
      <c r="G51" s="183"/>
      <c r="H51" s="110"/>
      <c r="I51" s="110"/>
      <c r="J51" s="121"/>
      <c r="K51" s="184"/>
      <c r="L51" s="69" t="s">
        <v>41</v>
      </c>
      <c r="M51" s="69" t="s">
        <v>1</v>
      </c>
      <c r="N51" s="69">
        <f>IF(B38="Compact",0.64*H7,0.58*H7)</f>
        <v>1.536</v>
      </c>
      <c r="O51" s="54" t="s">
        <v>15</v>
      </c>
      <c r="P51" s="69"/>
      <c r="Q51" s="69"/>
      <c r="R51" s="69"/>
      <c r="S51" s="54"/>
      <c r="T51" s="149"/>
      <c r="U51" s="149"/>
      <c r="AA51" s="29" t="s">
        <v>140</v>
      </c>
      <c r="AB51" s="30">
        <v>218</v>
      </c>
      <c r="AC51" s="31">
        <v>450</v>
      </c>
      <c r="AD51" s="32">
        <v>300</v>
      </c>
      <c r="AE51" s="33">
        <v>14</v>
      </c>
      <c r="AF51" s="25">
        <v>26</v>
      </c>
      <c r="AG51" s="26">
        <v>27</v>
      </c>
      <c r="AH51" s="25">
        <v>344</v>
      </c>
      <c r="AI51" s="26">
        <v>79890</v>
      </c>
      <c r="AJ51" s="25">
        <v>3550</v>
      </c>
      <c r="AK51" s="25">
        <v>11720</v>
      </c>
      <c r="AL51" s="25">
        <v>781</v>
      </c>
      <c r="AM51" s="27">
        <v>19.1</v>
      </c>
      <c r="AN51" s="28">
        <v>7.33</v>
      </c>
      <c r="AO51" s="90">
        <v>2</v>
      </c>
    </row>
    <row r="52" spans="1:41" ht="15.75" customHeight="1">
      <c r="A52" s="130" t="s">
        <v>103</v>
      </c>
      <c r="B52" s="119"/>
      <c r="C52" s="119"/>
      <c r="D52" s="111"/>
      <c r="E52" s="111"/>
      <c r="F52" s="111"/>
      <c r="G52" s="111"/>
      <c r="H52" s="111"/>
      <c r="I52" s="111"/>
      <c r="J52" s="125"/>
      <c r="K52" s="65"/>
      <c r="L52" s="185"/>
      <c r="M52" s="185"/>
      <c r="N52" s="185"/>
      <c r="O52" s="185"/>
      <c r="P52" s="185"/>
      <c r="Q52" s="185"/>
      <c r="R52" s="185"/>
      <c r="S52" s="149"/>
      <c r="T52" s="149"/>
      <c r="U52" s="149"/>
      <c r="AA52" s="29" t="s">
        <v>141</v>
      </c>
      <c r="AB52" s="30">
        <v>239</v>
      </c>
      <c r="AC52" s="31">
        <v>500</v>
      </c>
      <c r="AD52" s="32">
        <v>300</v>
      </c>
      <c r="AE52" s="33">
        <v>14.5</v>
      </c>
      <c r="AF52" s="25">
        <v>28</v>
      </c>
      <c r="AG52" s="26">
        <v>27</v>
      </c>
      <c r="AH52" s="25">
        <v>390</v>
      </c>
      <c r="AI52" s="26">
        <v>107200</v>
      </c>
      <c r="AJ52" s="25">
        <v>4290</v>
      </c>
      <c r="AK52" s="25">
        <v>12620</v>
      </c>
      <c r="AL52" s="25">
        <v>842</v>
      </c>
      <c r="AM52" s="27">
        <v>21.2</v>
      </c>
      <c r="AN52" s="28">
        <v>7.27</v>
      </c>
      <c r="AO52" s="90">
        <v>2</v>
      </c>
    </row>
    <row r="53" spans="1:41" ht="15.75" customHeight="1">
      <c r="A53" s="126" t="s">
        <v>104</v>
      </c>
      <c r="B53" s="119" t="s">
        <v>1</v>
      </c>
      <c r="C53" s="11">
        <v>0.055</v>
      </c>
      <c r="D53" s="111" t="s">
        <v>105</v>
      </c>
      <c r="E53" s="105"/>
      <c r="F53" s="105"/>
      <c r="G53" s="105"/>
      <c r="H53" s="111"/>
      <c r="I53" s="111"/>
      <c r="J53" s="125"/>
      <c r="K53" s="65"/>
      <c r="L53" s="54" t="s">
        <v>107</v>
      </c>
      <c r="M53" s="54"/>
      <c r="N53" s="54"/>
      <c r="O53" s="54"/>
      <c r="P53" s="54"/>
      <c r="Q53" s="54"/>
      <c r="R53" s="54"/>
      <c r="S53" s="149"/>
      <c r="T53" s="149"/>
      <c r="U53" s="149"/>
      <c r="AA53" s="29" t="s">
        <v>142</v>
      </c>
      <c r="AB53" s="30">
        <v>254</v>
      </c>
      <c r="AC53" s="31">
        <v>550</v>
      </c>
      <c r="AD53" s="32">
        <v>300</v>
      </c>
      <c r="AE53" s="33">
        <v>15</v>
      </c>
      <c r="AF53" s="25">
        <v>29</v>
      </c>
      <c r="AG53" s="26">
        <v>27</v>
      </c>
      <c r="AH53" s="25">
        <v>438</v>
      </c>
      <c r="AI53" s="26">
        <v>136700</v>
      </c>
      <c r="AJ53" s="25">
        <v>4970</v>
      </c>
      <c r="AK53" s="25">
        <v>13080</v>
      </c>
      <c r="AL53" s="25">
        <v>872</v>
      </c>
      <c r="AM53" s="27">
        <v>23.2</v>
      </c>
      <c r="AN53" s="28">
        <v>7.17</v>
      </c>
      <c r="AO53" s="90">
        <v>2</v>
      </c>
    </row>
    <row r="54" spans="1:41" ht="15.75" customHeight="1">
      <c r="A54" s="126" t="s">
        <v>106</v>
      </c>
      <c r="B54" s="119" t="s">
        <v>1</v>
      </c>
      <c r="C54" s="11" t="s">
        <v>107</v>
      </c>
      <c r="D54" s="170"/>
      <c r="E54" s="111"/>
      <c r="F54" s="111"/>
      <c r="G54" s="111"/>
      <c r="H54" s="111"/>
      <c r="I54" s="111"/>
      <c r="J54" s="125"/>
      <c r="K54" s="184"/>
      <c r="L54" s="186" t="s">
        <v>108</v>
      </c>
      <c r="M54" s="69"/>
      <c r="N54" s="69"/>
      <c r="O54" s="69"/>
      <c r="P54" s="69"/>
      <c r="Q54" s="69"/>
      <c r="R54" s="69"/>
      <c r="S54" s="149"/>
      <c r="T54" s="149"/>
      <c r="U54" s="149"/>
      <c r="AA54" s="34" t="s">
        <v>143</v>
      </c>
      <c r="AB54" s="30">
        <v>270</v>
      </c>
      <c r="AC54" s="31">
        <v>600</v>
      </c>
      <c r="AD54" s="32">
        <v>300</v>
      </c>
      <c r="AE54" s="33">
        <v>15.5</v>
      </c>
      <c r="AF54" s="25">
        <v>30</v>
      </c>
      <c r="AG54" s="26">
        <v>27</v>
      </c>
      <c r="AH54" s="25">
        <v>486</v>
      </c>
      <c r="AI54" s="26">
        <v>171000</v>
      </c>
      <c r="AJ54" s="25">
        <v>5700</v>
      </c>
      <c r="AK54" s="25">
        <v>13530</v>
      </c>
      <c r="AL54" s="25">
        <v>902</v>
      </c>
      <c r="AM54" s="27">
        <v>25.2</v>
      </c>
      <c r="AN54" s="28">
        <v>7.08</v>
      </c>
      <c r="AO54" s="90">
        <v>2</v>
      </c>
    </row>
    <row r="55" spans="1:41" ht="15.75" customHeight="1">
      <c r="A55" s="126" t="s">
        <v>109</v>
      </c>
      <c r="B55" s="119" t="s">
        <v>1</v>
      </c>
      <c r="C55" s="112">
        <f>IF(C54="simple",(5*C53*(C22*100)^4)/(384*100*2100*C30),(5*C53*(C22*100)^4)/(384*100*2100*C30)*0.8)</f>
        <v>0.4736414241622575</v>
      </c>
      <c r="D55" s="111" t="s">
        <v>7</v>
      </c>
      <c r="E55" s="127" t="str">
        <f>IF(C55&lt;F55,"&lt;","&gt;")</f>
        <v>&lt;</v>
      </c>
      <c r="F55" s="119">
        <f>C22/3</f>
        <v>1.6666666666666667</v>
      </c>
      <c r="G55" s="176" t="str">
        <f>IF(AND(C55&lt;F55),"SAFE","Unsafe")</f>
        <v>SAFE</v>
      </c>
      <c r="H55" s="187"/>
      <c r="I55" s="187"/>
      <c r="J55" s="171" t="s">
        <v>110</v>
      </c>
      <c r="K55" s="65"/>
      <c r="L55" s="69"/>
      <c r="M55" s="69"/>
      <c r="N55" s="69"/>
      <c r="O55" s="69"/>
      <c r="P55" s="69"/>
      <c r="Q55" s="69"/>
      <c r="R55" s="69"/>
      <c r="S55" s="149"/>
      <c r="T55" s="149"/>
      <c r="U55" s="149"/>
      <c r="AA55" s="34" t="s">
        <v>144</v>
      </c>
      <c r="AB55" s="30">
        <v>286</v>
      </c>
      <c r="AC55" s="31">
        <v>650</v>
      </c>
      <c r="AD55" s="32">
        <v>300</v>
      </c>
      <c r="AE55" s="33">
        <v>16</v>
      </c>
      <c r="AF55" s="25">
        <v>31</v>
      </c>
      <c r="AG55" s="26">
        <v>27</v>
      </c>
      <c r="AH55" s="25">
        <v>534</v>
      </c>
      <c r="AI55" s="26">
        <v>210600</v>
      </c>
      <c r="AJ55" s="25">
        <v>6480</v>
      </c>
      <c r="AK55" s="25">
        <v>13980</v>
      </c>
      <c r="AL55" s="25">
        <v>932</v>
      </c>
      <c r="AM55" s="27">
        <v>27.1</v>
      </c>
      <c r="AN55" s="28">
        <v>6.99</v>
      </c>
      <c r="AO55" s="90">
        <v>2</v>
      </c>
    </row>
    <row r="56" spans="1:41" ht="15.75" customHeight="1" thickBot="1">
      <c r="A56" s="188"/>
      <c r="B56" s="189"/>
      <c r="C56" s="189"/>
      <c r="D56" s="189"/>
      <c r="E56" s="190"/>
      <c r="F56" s="191"/>
      <c r="G56" s="192"/>
      <c r="H56" s="193"/>
      <c r="I56" s="194"/>
      <c r="J56" s="195" t="s">
        <v>111</v>
      </c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AA56" s="34" t="s">
        <v>145</v>
      </c>
      <c r="AB56" s="30">
        <v>306</v>
      </c>
      <c r="AC56" s="31">
        <v>700</v>
      </c>
      <c r="AD56" s="32">
        <v>300</v>
      </c>
      <c r="AE56" s="33">
        <v>17</v>
      </c>
      <c r="AF56" s="25">
        <v>32</v>
      </c>
      <c r="AG56" s="26">
        <v>27</v>
      </c>
      <c r="AH56" s="25">
        <v>582</v>
      </c>
      <c r="AI56" s="26">
        <v>256900</v>
      </c>
      <c r="AJ56" s="25">
        <v>7340</v>
      </c>
      <c r="AK56" s="25">
        <v>14440</v>
      </c>
      <c r="AL56" s="25">
        <v>963</v>
      </c>
      <c r="AM56" s="27">
        <v>29</v>
      </c>
      <c r="AN56" s="28">
        <v>6.87</v>
      </c>
      <c r="AO56" s="90">
        <v>2</v>
      </c>
    </row>
    <row r="57" spans="1:41" ht="15.75" customHeight="1">
      <c r="A57" s="196"/>
      <c r="B57" s="196"/>
      <c r="C57" s="196"/>
      <c r="D57" s="196"/>
      <c r="E57" s="197"/>
      <c r="F57" s="198"/>
      <c r="G57" s="199"/>
      <c r="H57" s="200"/>
      <c r="I57" s="201"/>
      <c r="J57" s="201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AA57" s="35" t="s">
        <v>146</v>
      </c>
      <c r="AB57" s="36">
        <v>334</v>
      </c>
      <c r="AC57" s="37">
        <v>800</v>
      </c>
      <c r="AD57" s="38">
        <v>300</v>
      </c>
      <c r="AE57" s="39">
        <v>17.5</v>
      </c>
      <c r="AF57" s="40">
        <v>33</v>
      </c>
      <c r="AG57" s="41">
        <v>30</v>
      </c>
      <c r="AH57" s="40">
        <v>674</v>
      </c>
      <c r="AI57" s="41">
        <v>359100</v>
      </c>
      <c r="AJ57" s="40">
        <v>9890</v>
      </c>
      <c r="AK57" s="40">
        <v>14900</v>
      </c>
      <c r="AL57" s="40">
        <v>994</v>
      </c>
      <c r="AM57" s="42">
        <v>32.8</v>
      </c>
      <c r="AN57" s="43">
        <v>6.68</v>
      </c>
      <c r="AO57" s="90">
        <v>2</v>
      </c>
    </row>
    <row r="58" spans="1:41" ht="15.75" customHeight="1">
      <c r="A58" s="202"/>
      <c r="B58" s="64"/>
      <c r="C58" s="54"/>
      <c r="D58" s="54"/>
      <c r="E58" s="69"/>
      <c r="F58" s="64"/>
      <c r="G58" s="54"/>
      <c r="H58" s="54"/>
      <c r="I58" s="54"/>
      <c r="J58" s="54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AA58" s="34" t="s">
        <v>147</v>
      </c>
      <c r="AB58" s="30">
        <v>371</v>
      </c>
      <c r="AC58" s="31">
        <v>900</v>
      </c>
      <c r="AD58" s="32">
        <v>300</v>
      </c>
      <c r="AE58" s="33">
        <v>18.5</v>
      </c>
      <c r="AF58" s="25">
        <v>35</v>
      </c>
      <c r="AG58" s="26">
        <v>30</v>
      </c>
      <c r="AH58" s="25">
        <v>770</v>
      </c>
      <c r="AI58" s="26">
        <v>494100</v>
      </c>
      <c r="AJ58" s="25">
        <v>10980</v>
      </c>
      <c r="AK58" s="25">
        <v>15820</v>
      </c>
      <c r="AL58" s="25">
        <v>1050</v>
      </c>
      <c r="AM58" s="27">
        <v>36.5</v>
      </c>
      <c r="AN58" s="28">
        <v>6.53</v>
      </c>
      <c r="AO58" s="90">
        <v>2</v>
      </c>
    </row>
    <row r="59" spans="1:41" ht="15.75" customHeight="1" thickBot="1">
      <c r="A59" s="69"/>
      <c r="B59" s="64"/>
      <c r="C59" s="64"/>
      <c r="D59" s="54"/>
      <c r="E59" s="64"/>
      <c r="F59" s="163"/>
      <c r="G59" s="203"/>
      <c r="H59" s="54"/>
      <c r="I59" s="54"/>
      <c r="J59" s="6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AA59" s="44" t="s">
        <v>148</v>
      </c>
      <c r="AB59" s="36">
        <v>400</v>
      </c>
      <c r="AC59" s="37">
        <v>1000</v>
      </c>
      <c r="AD59" s="38">
        <v>300</v>
      </c>
      <c r="AE59" s="39">
        <v>19</v>
      </c>
      <c r="AF59" s="40">
        <v>36</v>
      </c>
      <c r="AG59" s="41">
        <v>30</v>
      </c>
      <c r="AH59" s="40">
        <v>868</v>
      </c>
      <c r="AI59" s="41">
        <v>644700</v>
      </c>
      <c r="AJ59" s="40">
        <v>12890</v>
      </c>
      <c r="AK59" s="40">
        <v>16280</v>
      </c>
      <c r="AL59" s="40">
        <v>1090</v>
      </c>
      <c r="AM59" s="42">
        <v>40.1</v>
      </c>
      <c r="AN59" s="43">
        <v>6.38</v>
      </c>
      <c r="AO59" s="90">
        <v>2</v>
      </c>
    </row>
    <row r="60" spans="1:21" ht="15.75" customHeight="1" thickTop="1">
      <c r="A60" s="69"/>
      <c r="B60" s="64"/>
      <c r="C60" s="64"/>
      <c r="D60" s="54"/>
      <c r="E60" s="69"/>
      <c r="F60" s="64"/>
      <c r="G60" s="54"/>
      <c r="H60" s="54"/>
      <c r="I60" s="54"/>
      <c r="J60" s="54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</row>
    <row r="61" spans="1:41" ht="15.75" customHeight="1">
      <c r="A61" s="202"/>
      <c r="B61" s="64"/>
      <c r="C61" s="54"/>
      <c r="D61" s="54"/>
      <c r="E61" s="54"/>
      <c r="F61" s="54"/>
      <c r="G61" s="54"/>
      <c r="H61" s="54"/>
      <c r="I61" s="54"/>
      <c r="J61" s="54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AA61" s="45" t="s">
        <v>159</v>
      </c>
      <c r="AB61" s="48">
        <v>21.2</v>
      </c>
      <c r="AC61" s="26">
        <v>96</v>
      </c>
      <c r="AD61" s="204">
        <v>100</v>
      </c>
      <c r="AE61" s="204">
        <v>5</v>
      </c>
      <c r="AF61" s="204">
        <v>8</v>
      </c>
      <c r="AG61" s="204">
        <v>12</v>
      </c>
      <c r="AH61" s="204">
        <v>56</v>
      </c>
      <c r="AI61" s="204">
        <v>349</v>
      </c>
      <c r="AJ61" s="204">
        <v>73</v>
      </c>
      <c r="AK61" s="204">
        <v>134</v>
      </c>
      <c r="AL61" s="204">
        <v>26.8</v>
      </c>
      <c r="AM61" s="49">
        <v>4.06</v>
      </c>
      <c r="AN61" s="51">
        <v>2.51</v>
      </c>
      <c r="AO61" s="90">
        <v>2</v>
      </c>
    </row>
    <row r="62" spans="1:41" ht="15.75" customHeight="1">
      <c r="A62" s="205"/>
      <c r="B62" s="64"/>
      <c r="C62" s="54"/>
      <c r="D62" s="54"/>
      <c r="E62" s="54"/>
      <c r="F62" s="54"/>
      <c r="G62" s="54"/>
      <c r="H62" s="54"/>
      <c r="I62" s="54"/>
      <c r="J62" s="54"/>
      <c r="K62" s="149"/>
      <c r="L62" s="149"/>
      <c r="M62" s="149"/>
      <c r="N62" s="149"/>
      <c r="Q62" s="149"/>
      <c r="R62" s="149"/>
      <c r="S62" s="149"/>
      <c r="T62" s="149"/>
      <c r="U62" s="149"/>
      <c r="AA62" s="45" t="s">
        <v>160</v>
      </c>
      <c r="AB62" s="48">
        <v>25.3</v>
      </c>
      <c r="AC62" s="26">
        <v>114</v>
      </c>
      <c r="AD62" s="204">
        <v>120</v>
      </c>
      <c r="AE62" s="204">
        <v>5</v>
      </c>
      <c r="AF62" s="204">
        <v>8</v>
      </c>
      <c r="AG62" s="204">
        <v>12</v>
      </c>
      <c r="AH62" s="204">
        <v>74</v>
      </c>
      <c r="AI62" s="204">
        <v>606</v>
      </c>
      <c r="AJ62" s="204">
        <v>106</v>
      </c>
      <c r="AK62" s="204">
        <v>231</v>
      </c>
      <c r="AL62" s="204">
        <v>38.5</v>
      </c>
      <c r="AM62" s="49">
        <v>4.89</v>
      </c>
      <c r="AN62" s="51">
        <v>3.02</v>
      </c>
      <c r="AO62" s="90">
        <v>2</v>
      </c>
    </row>
    <row r="63" spans="1:41" ht="15.75" customHeight="1">
      <c r="A63" s="69"/>
      <c r="B63" s="69"/>
      <c r="C63" s="64"/>
      <c r="D63" s="54"/>
      <c r="E63" s="54"/>
      <c r="F63" s="54"/>
      <c r="G63" s="54"/>
      <c r="H63" s="54"/>
      <c r="I63" s="54"/>
      <c r="J63" s="54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AA63" s="45" t="s">
        <v>161</v>
      </c>
      <c r="AB63" s="48">
        <v>31.4</v>
      </c>
      <c r="AC63" s="26">
        <v>133</v>
      </c>
      <c r="AD63" s="204">
        <v>140</v>
      </c>
      <c r="AE63" s="204">
        <v>5.5</v>
      </c>
      <c r="AF63" s="204">
        <v>8.5</v>
      </c>
      <c r="AG63" s="204">
        <v>12</v>
      </c>
      <c r="AH63" s="204">
        <v>91</v>
      </c>
      <c r="AI63" s="204">
        <v>1030</v>
      </c>
      <c r="AJ63" s="204">
        <v>155</v>
      </c>
      <c r="AK63" s="204">
        <v>389</v>
      </c>
      <c r="AL63" s="204">
        <v>55.6</v>
      </c>
      <c r="AM63" s="49">
        <v>5.73</v>
      </c>
      <c r="AN63" s="51">
        <v>3.52</v>
      </c>
      <c r="AO63" s="90">
        <v>2</v>
      </c>
    </row>
    <row r="64" spans="1:41" ht="15.75" customHeight="1">
      <c r="A64" s="69"/>
      <c r="B64" s="69"/>
      <c r="C64" s="64"/>
      <c r="D64" s="54"/>
      <c r="E64" s="54"/>
      <c r="F64" s="54"/>
      <c r="G64" s="54"/>
      <c r="H64" s="54"/>
      <c r="I64" s="54"/>
      <c r="J64" s="54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AA64" s="45" t="s">
        <v>162</v>
      </c>
      <c r="AB64" s="48">
        <v>38.8</v>
      </c>
      <c r="AC64" s="26">
        <v>152</v>
      </c>
      <c r="AD64" s="204">
        <v>160</v>
      </c>
      <c r="AE64" s="204">
        <v>6</v>
      </c>
      <c r="AF64" s="204">
        <v>9</v>
      </c>
      <c r="AG64" s="204">
        <v>15</v>
      </c>
      <c r="AH64" s="204">
        <v>104</v>
      </c>
      <c r="AI64" s="204">
        <v>1670</v>
      </c>
      <c r="AJ64" s="204">
        <v>220</v>
      </c>
      <c r="AK64" s="204">
        <v>616</v>
      </c>
      <c r="AL64" s="204">
        <v>76.9</v>
      </c>
      <c r="AM64" s="49">
        <v>6.57</v>
      </c>
      <c r="AN64" s="51">
        <v>3.98</v>
      </c>
      <c r="AO64" s="90">
        <v>2</v>
      </c>
    </row>
    <row r="65" spans="1:41" ht="15.75" customHeight="1">
      <c r="A65" s="69"/>
      <c r="B65" s="69"/>
      <c r="C65" s="64"/>
      <c r="D65" s="54"/>
      <c r="E65" s="54"/>
      <c r="F65" s="54"/>
      <c r="G65" s="54"/>
      <c r="H65" s="54"/>
      <c r="I65" s="54"/>
      <c r="J65" s="54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AA65" s="45" t="s">
        <v>163</v>
      </c>
      <c r="AB65" s="48">
        <v>45.3</v>
      </c>
      <c r="AC65" s="26">
        <v>171</v>
      </c>
      <c r="AD65" s="204">
        <v>180</v>
      </c>
      <c r="AE65" s="204">
        <v>6</v>
      </c>
      <c r="AF65" s="204">
        <v>9.5</v>
      </c>
      <c r="AG65" s="204">
        <v>15</v>
      </c>
      <c r="AH65" s="204">
        <v>121</v>
      </c>
      <c r="AI65" s="204">
        <v>2510</v>
      </c>
      <c r="AJ65" s="204">
        <v>294</v>
      </c>
      <c r="AK65" s="204">
        <v>925</v>
      </c>
      <c r="AL65" s="204">
        <v>103</v>
      </c>
      <c r="AM65" s="49">
        <v>7.45</v>
      </c>
      <c r="AN65" s="51">
        <v>4.52</v>
      </c>
      <c r="AO65" s="90">
        <v>2</v>
      </c>
    </row>
    <row r="66" spans="1:41" ht="15.75" customHeight="1">
      <c r="A66" s="69"/>
      <c r="B66" s="69"/>
      <c r="C66" s="64"/>
      <c r="D66" s="54"/>
      <c r="E66" s="54"/>
      <c r="F66" s="54"/>
      <c r="G66" s="54"/>
      <c r="H66" s="54"/>
      <c r="I66" s="54"/>
      <c r="J66" s="54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AA66" s="45" t="s">
        <v>164</v>
      </c>
      <c r="AB66" s="48">
        <v>53.8</v>
      </c>
      <c r="AC66" s="26">
        <v>190</v>
      </c>
      <c r="AD66" s="204">
        <v>200</v>
      </c>
      <c r="AE66" s="204">
        <v>6.5</v>
      </c>
      <c r="AF66" s="204">
        <v>10</v>
      </c>
      <c r="AG66" s="204">
        <v>18</v>
      </c>
      <c r="AH66" s="204">
        <v>134</v>
      </c>
      <c r="AI66" s="204">
        <v>3690</v>
      </c>
      <c r="AJ66" s="204">
        <v>389</v>
      </c>
      <c r="AK66" s="204">
        <v>1340</v>
      </c>
      <c r="AL66" s="204">
        <v>134</v>
      </c>
      <c r="AM66" s="49">
        <v>8.28</v>
      </c>
      <c r="AN66" s="51">
        <v>4.98</v>
      </c>
      <c r="AO66" s="90">
        <v>2</v>
      </c>
    </row>
    <row r="67" spans="1:41" ht="15.75" customHeight="1">
      <c r="A67" s="69"/>
      <c r="B67" s="69"/>
      <c r="C67" s="64"/>
      <c r="D67" s="54"/>
      <c r="E67" s="54"/>
      <c r="F67" s="54"/>
      <c r="G67" s="54"/>
      <c r="H67" s="54"/>
      <c r="I67" s="54"/>
      <c r="J67" s="54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AA67" s="45" t="s">
        <v>165</v>
      </c>
      <c r="AB67" s="48">
        <v>64.3</v>
      </c>
      <c r="AC67" s="26">
        <v>210</v>
      </c>
      <c r="AD67" s="204">
        <v>220</v>
      </c>
      <c r="AE67" s="204">
        <v>7</v>
      </c>
      <c r="AF67" s="204">
        <v>11</v>
      </c>
      <c r="AG67" s="204">
        <v>18</v>
      </c>
      <c r="AH67" s="204">
        <v>152</v>
      </c>
      <c r="AI67" s="204">
        <v>5410</v>
      </c>
      <c r="AJ67" s="204">
        <v>515</v>
      </c>
      <c r="AK67" s="204">
        <v>1950</v>
      </c>
      <c r="AL67" s="204">
        <v>178</v>
      </c>
      <c r="AM67" s="49">
        <v>9.17</v>
      </c>
      <c r="AN67" s="51">
        <v>5.51</v>
      </c>
      <c r="AO67" s="90">
        <v>2</v>
      </c>
    </row>
    <row r="68" spans="1:41" ht="15.75" customHeight="1">
      <c r="A68" s="69"/>
      <c r="B68" s="69"/>
      <c r="C68" s="64"/>
      <c r="D68" s="54"/>
      <c r="E68" s="54"/>
      <c r="F68" s="54"/>
      <c r="G68" s="54"/>
      <c r="H68" s="54"/>
      <c r="I68" s="54"/>
      <c r="J68" s="54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AA68" s="45" t="s">
        <v>166</v>
      </c>
      <c r="AB68" s="48">
        <v>76.8</v>
      </c>
      <c r="AC68" s="26">
        <v>230</v>
      </c>
      <c r="AD68" s="204">
        <v>240</v>
      </c>
      <c r="AE68" s="204">
        <v>7.5</v>
      </c>
      <c r="AF68" s="204">
        <v>12</v>
      </c>
      <c r="AG68" s="204">
        <v>21</v>
      </c>
      <c r="AH68" s="204">
        <v>164</v>
      </c>
      <c r="AI68" s="204">
        <v>7760</v>
      </c>
      <c r="AJ68" s="204">
        <v>675</v>
      </c>
      <c r="AK68" s="204">
        <v>2770</v>
      </c>
      <c r="AL68" s="204">
        <v>231</v>
      </c>
      <c r="AM68" s="49">
        <v>10.1</v>
      </c>
      <c r="AN68" s="51">
        <v>6</v>
      </c>
      <c r="AO68" s="90">
        <v>2</v>
      </c>
    </row>
    <row r="69" spans="1:41" ht="15.75" customHeight="1">
      <c r="A69" s="69"/>
      <c r="B69" s="69"/>
      <c r="C69" s="64"/>
      <c r="D69" s="54"/>
      <c r="E69" s="54"/>
      <c r="F69" s="54"/>
      <c r="G69" s="54"/>
      <c r="H69" s="54"/>
      <c r="I69" s="54"/>
      <c r="J69" s="54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AA69" s="46" t="s">
        <v>167</v>
      </c>
      <c r="AB69" s="48">
        <v>86.8</v>
      </c>
      <c r="AC69" s="26">
        <v>250</v>
      </c>
      <c r="AD69" s="204">
        <v>260</v>
      </c>
      <c r="AE69" s="204">
        <v>7.5</v>
      </c>
      <c r="AF69" s="204">
        <v>12.5</v>
      </c>
      <c r="AG69" s="204">
        <v>24</v>
      </c>
      <c r="AH69" s="204">
        <v>176</v>
      </c>
      <c r="AI69" s="204">
        <v>10450</v>
      </c>
      <c r="AJ69" s="204">
        <v>836</v>
      </c>
      <c r="AK69" s="204">
        <v>3670</v>
      </c>
      <c r="AL69" s="204">
        <v>282</v>
      </c>
      <c r="AM69" s="49">
        <v>11</v>
      </c>
      <c r="AN69" s="51">
        <v>6.5</v>
      </c>
      <c r="AO69" s="90">
        <v>2</v>
      </c>
    </row>
    <row r="70" spans="1:41" ht="15.75" customHeight="1">
      <c r="A70" s="69"/>
      <c r="B70" s="69"/>
      <c r="C70" s="64"/>
      <c r="D70" s="54"/>
      <c r="E70" s="54"/>
      <c r="F70" s="54"/>
      <c r="G70" s="54"/>
      <c r="H70" s="54"/>
      <c r="I70" s="54"/>
      <c r="J70" s="54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AA70" s="46" t="s">
        <v>168</v>
      </c>
      <c r="AB70" s="48">
        <v>97.3</v>
      </c>
      <c r="AC70" s="26">
        <v>270</v>
      </c>
      <c r="AD70" s="204">
        <v>280</v>
      </c>
      <c r="AE70" s="204">
        <v>8</v>
      </c>
      <c r="AF70" s="204">
        <v>13</v>
      </c>
      <c r="AG70" s="204">
        <v>24</v>
      </c>
      <c r="AH70" s="204">
        <v>196</v>
      </c>
      <c r="AI70" s="204">
        <v>13670</v>
      </c>
      <c r="AJ70" s="204">
        <v>1010</v>
      </c>
      <c r="AK70" s="204">
        <v>4760</v>
      </c>
      <c r="AL70" s="204">
        <v>340</v>
      </c>
      <c r="AM70" s="49">
        <v>11.9</v>
      </c>
      <c r="AN70" s="51">
        <v>7</v>
      </c>
      <c r="AO70" s="90">
        <v>2</v>
      </c>
    </row>
    <row r="71" spans="1:41" ht="15.75" customHeight="1">
      <c r="A71" s="54"/>
      <c r="B71" s="69"/>
      <c r="C71" s="206"/>
      <c r="D71" s="54"/>
      <c r="E71" s="69"/>
      <c r="F71" s="207"/>
      <c r="G71" s="54"/>
      <c r="H71" s="54"/>
      <c r="I71" s="54"/>
      <c r="J71" s="54"/>
      <c r="AA71" s="45" t="s">
        <v>169</v>
      </c>
      <c r="AB71" s="48">
        <v>113</v>
      </c>
      <c r="AC71" s="26">
        <v>290</v>
      </c>
      <c r="AD71" s="204">
        <v>300</v>
      </c>
      <c r="AE71" s="204">
        <v>8.5</v>
      </c>
      <c r="AF71" s="204">
        <v>14</v>
      </c>
      <c r="AG71" s="204">
        <v>27</v>
      </c>
      <c r="AH71" s="204">
        <v>208</v>
      </c>
      <c r="AI71" s="204">
        <v>18260</v>
      </c>
      <c r="AJ71" s="204">
        <v>1260</v>
      </c>
      <c r="AK71" s="204">
        <v>6310</v>
      </c>
      <c r="AL71" s="204">
        <v>421</v>
      </c>
      <c r="AM71" s="49">
        <v>12.7</v>
      </c>
      <c r="AN71" s="51">
        <v>7.49</v>
      </c>
      <c r="AO71" s="90">
        <v>2</v>
      </c>
    </row>
    <row r="72" spans="1:41" ht="15.75" customHeight="1">
      <c r="A72" s="186"/>
      <c r="B72" s="208"/>
      <c r="C72" s="209"/>
      <c r="D72" s="208"/>
      <c r="E72" s="73"/>
      <c r="F72" s="73"/>
      <c r="G72" s="73"/>
      <c r="H72" s="73"/>
      <c r="I72" s="73"/>
      <c r="J72" s="73"/>
      <c r="AA72" s="45" t="s">
        <v>170</v>
      </c>
      <c r="AB72" s="48">
        <v>124</v>
      </c>
      <c r="AC72" s="26">
        <v>310</v>
      </c>
      <c r="AD72" s="204">
        <v>300</v>
      </c>
      <c r="AE72" s="204">
        <v>9</v>
      </c>
      <c r="AF72" s="204">
        <v>15.5</v>
      </c>
      <c r="AG72" s="204">
        <v>27</v>
      </c>
      <c r="AH72" s="204">
        <v>224</v>
      </c>
      <c r="AI72" s="204">
        <v>22930</v>
      </c>
      <c r="AJ72" s="204">
        <v>1480</v>
      </c>
      <c r="AK72" s="204">
        <v>6990</v>
      </c>
      <c r="AL72" s="204">
        <v>466</v>
      </c>
      <c r="AM72" s="49">
        <v>13.6</v>
      </c>
      <c r="AN72" s="51">
        <v>7.49</v>
      </c>
      <c r="AO72" s="90">
        <v>2</v>
      </c>
    </row>
    <row r="73" spans="1:41" ht="15.75" customHeight="1">
      <c r="A73" s="186"/>
      <c r="B73" s="208"/>
      <c r="C73" s="209"/>
      <c r="D73" s="208"/>
      <c r="E73" s="73"/>
      <c r="F73" s="73"/>
      <c r="G73" s="73"/>
      <c r="H73" s="73"/>
      <c r="I73" s="73"/>
      <c r="J73" s="73"/>
      <c r="AA73" s="45" t="s">
        <v>171</v>
      </c>
      <c r="AB73" s="48">
        <v>133</v>
      </c>
      <c r="AC73" s="26">
        <v>330</v>
      </c>
      <c r="AD73" s="204">
        <v>300</v>
      </c>
      <c r="AE73" s="204">
        <v>9.5</v>
      </c>
      <c r="AF73" s="204">
        <v>16.5</v>
      </c>
      <c r="AG73" s="204">
        <v>27</v>
      </c>
      <c r="AH73" s="204">
        <v>242</v>
      </c>
      <c r="AI73" s="204">
        <v>27690</v>
      </c>
      <c r="AJ73" s="204">
        <v>1680</v>
      </c>
      <c r="AK73" s="204">
        <v>7440</v>
      </c>
      <c r="AL73" s="204">
        <v>496</v>
      </c>
      <c r="AM73" s="49">
        <v>14.4</v>
      </c>
      <c r="AN73" s="51">
        <v>7.46</v>
      </c>
      <c r="AO73" s="90">
        <v>2</v>
      </c>
    </row>
    <row r="74" spans="1:41" ht="15.75" customHeight="1">
      <c r="A74" s="202"/>
      <c r="B74" s="208"/>
      <c r="C74" s="209"/>
      <c r="D74" s="208"/>
      <c r="E74" s="73"/>
      <c r="F74" s="73"/>
      <c r="G74" s="73"/>
      <c r="H74" s="73"/>
      <c r="I74" s="73"/>
      <c r="J74" s="73"/>
      <c r="AA74" s="45" t="s">
        <v>172</v>
      </c>
      <c r="AB74" s="48">
        <v>143</v>
      </c>
      <c r="AC74" s="26">
        <v>350</v>
      </c>
      <c r="AD74" s="204">
        <v>300</v>
      </c>
      <c r="AE74" s="204">
        <v>10</v>
      </c>
      <c r="AF74" s="204">
        <v>17.5</v>
      </c>
      <c r="AG74" s="204">
        <v>27</v>
      </c>
      <c r="AH74" s="204">
        <v>260</v>
      </c>
      <c r="AI74" s="204">
        <v>33090</v>
      </c>
      <c r="AJ74" s="204">
        <v>1890</v>
      </c>
      <c r="AK74" s="204">
        <v>7890</v>
      </c>
      <c r="AL74" s="204">
        <v>526</v>
      </c>
      <c r="AM74" s="49">
        <v>15.2</v>
      </c>
      <c r="AN74" s="51">
        <v>7.43</v>
      </c>
      <c r="AO74" s="90">
        <v>2</v>
      </c>
    </row>
    <row r="75" spans="1:41" ht="15.75" customHeight="1">
      <c r="A75" s="210"/>
      <c r="B75" s="210"/>
      <c r="C75" s="210"/>
      <c r="D75" s="211"/>
      <c r="E75" s="212"/>
      <c r="F75" s="73"/>
      <c r="G75" s="73"/>
      <c r="H75" s="73"/>
      <c r="I75" s="73"/>
      <c r="J75" s="213"/>
      <c r="AA75" s="45" t="s">
        <v>173</v>
      </c>
      <c r="AB75" s="48">
        <v>159</v>
      </c>
      <c r="AC75" s="21">
        <v>390</v>
      </c>
      <c r="AD75" s="204">
        <v>300</v>
      </c>
      <c r="AE75" s="204">
        <v>11</v>
      </c>
      <c r="AF75" s="204">
        <v>19</v>
      </c>
      <c r="AG75" s="204">
        <v>27</v>
      </c>
      <c r="AH75" s="204">
        <v>298</v>
      </c>
      <c r="AI75" s="204">
        <v>45070</v>
      </c>
      <c r="AJ75" s="204">
        <v>2310</v>
      </c>
      <c r="AK75" s="204">
        <v>8560</v>
      </c>
      <c r="AL75" s="204">
        <v>571</v>
      </c>
      <c r="AM75" s="49">
        <v>16.8</v>
      </c>
      <c r="AN75" s="51">
        <v>7.34</v>
      </c>
      <c r="AO75" s="90">
        <v>2</v>
      </c>
    </row>
    <row r="76" spans="1:41" ht="15.75" customHeight="1">
      <c r="A76" s="210"/>
      <c r="B76" s="210"/>
      <c r="C76" s="210"/>
      <c r="D76" s="211"/>
      <c r="E76" s="212"/>
      <c r="F76" s="73"/>
      <c r="G76" s="73"/>
      <c r="H76" s="73"/>
      <c r="I76" s="73"/>
      <c r="J76" s="213"/>
      <c r="AA76" s="45" t="s">
        <v>174</v>
      </c>
      <c r="AB76" s="48">
        <v>178</v>
      </c>
      <c r="AC76" s="21">
        <v>440</v>
      </c>
      <c r="AD76" s="204">
        <v>300</v>
      </c>
      <c r="AE76" s="204">
        <v>11.5</v>
      </c>
      <c r="AF76" s="204">
        <v>21</v>
      </c>
      <c r="AG76" s="204">
        <v>27</v>
      </c>
      <c r="AH76" s="204">
        <v>344</v>
      </c>
      <c r="AI76" s="204">
        <v>63720</v>
      </c>
      <c r="AJ76" s="204">
        <v>2900</v>
      </c>
      <c r="AK76" s="204">
        <v>9470</v>
      </c>
      <c r="AL76" s="204">
        <v>631</v>
      </c>
      <c r="AM76" s="49">
        <v>18.9</v>
      </c>
      <c r="AN76" s="51">
        <v>7.29</v>
      </c>
      <c r="AO76" s="90">
        <v>2</v>
      </c>
    </row>
    <row r="77" spans="1:41" ht="15.75" customHeight="1">
      <c r="A77" s="211"/>
      <c r="B77" s="214"/>
      <c r="C77" s="215"/>
      <c r="D77" s="208"/>
      <c r="E77" s="73"/>
      <c r="F77" s="73"/>
      <c r="G77" s="73"/>
      <c r="H77" s="73"/>
      <c r="I77" s="73"/>
      <c r="J77" s="73"/>
      <c r="AA77" s="45" t="s">
        <v>175</v>
      </c>
      <c r="AB77" s="48">
        <v>198</v>
      </c>
      <c r="AC77" s="21">
        <v>490</v>
      </c>
      <c r="AD77" s="204">
        <v>300</v>
      </c>
      <c r="AE77" s="204">
        <v>12</v>
      </c>
      <c r="AF77" s="204">
        <v>23</v>
      </c>
      <c r="AG77" s="204">
        <v>27</v>
      </c>
      <c r="AH77" s="204">
        <v>390</v>
      </c>
      <c r="AI77" s="204">
        <v>86970</v>
      </c>
      <c r="AJ77" s="204">
        <v>3550</v>
      </c>
      <c r="AK77" s="204">
        <v>10370</v>
      </c>
      <c r="AL77" s="204">
        <v>691</v>
      </c>
      <c r="AM77" s="49">
        <v>21</v>
      </c>
      <c r="AN77" s="51">
        <v>7.24</v>
      </c>
      <c r="AO77" s="90">
        <v>2</v>
      </c>
    </row>
    <row r="78" spans="1:41" ht="15.75" customHeight="1">
      <c r="A78" s="211"/>
      <c r="B78" s="216"/>
      <c r="C78" s="215"/>
      <c r="D78" s="208"/>
      <c r="E78" s="73"/>
      <c r="F78" s="73"/>
      <c r="G78" s="73"/>
      <c r="H78" s="73"/>
      <c r="I78" s="73"/>
      <c r="J78" s="73"/>
      <c r="AA78" s="45" t="s">
        <v>176</v>
      </c>
      <c r="AB78" s="48">
        <v>212</v>
      </c>
      <c r="AC78" s="21">
        <v>540</v>
      </c>
      <c r="AD78" s="204">
        <v>300</v>
      </c>
      <c r="AE78" s="204">
        <v>12.5</v>
      </c>
      <c r="AF78" s="204">
        <v>24</v>
      </c>
      <c r="AG78" s="204">
        <v>27</v>
      </c>
      <c r="AH78" s="204">
        <v>438</v>
      </c>
      <c r="AI78" s="204">
        <v>100000</v>
      </c>
      <c r="AJ78" s="204">
        <v>4150</v>
      </c>
      <c r="AK78" s="204">
        <v>10820</v>
      </c>
      <c r="AL78" s="204">
        <v>721</v>
      </c>
      <c r="AM78" s="49">
        <v>23</v>
      </c>
      <c r="AN78" s="51">
        <v>7.15</v>
      </c>
      <c r="AO78" s="90">
        <v>2</v>
      </c>
    </row>
    <row r="79" spans="1:41" ht="15.75" customHeight="1">
      <c r="A79" s="202"/>
      <c r="B79" s="216"/>
      <c r="C79" s="215"/>
      <c r="D79" s="208"/>
      <c r="E79" s="73"/>
      <c r="F79" s="73"/>
      <c r="G79" s="73"/>
      <c r="H79" s="73"/>
      <c r="I79" s="73"/>
      <c r="J79" s="73"/>
      <c r="AA79" s="46" t="s">
        <v>177</v>
      </c>
      <c r="AB79" s="49">
        <v>226</v>
      </c>
      <c r="AC79" s="21">
        <v>590</v>
      </c>
      <c r="AD79" s="204">
        <v>300</v>
      </c>
      <c r="AE79" s="204">
        <v>13</v>
      </c>
      <c r="AF79" s="204">
        <v>25</v>
      </c>
      <c r="AG79" s="204">
        <v>27</v>
      </c>
      <c r="AH79" s="204">
        <v>486</v>
      </c>
      <c r="AI79" s="204">
        <v>100000</v>
      </c>
      <c r="AJ79" s="204">
        <v>4790</v>
      </c>
      <c r="AK79" s="204">
        <v>11270</v>
      </c>
      <c r="AL79" s="204">
        <v>751</v>
      </c>
      <c r="AM79" s="49">
        <v>25</v>
      </c>
      <c r="AN79" s="51">
        <v>7.05</v>
      </c>
      <c r="AO79" s="90">
        <v>2</v>
      </c>
    </row>
    <row r="80" spans="1:41" ht="15.75" customHeight="1">
      <c r="A80" s="69"/>
      <c r="B80" s="64"/>
      <c r="C80" s="64"/>
      <c r="D80" s="54"/>
      <c r="E80" s="54"/>
      <c r="F80" s="69"/>
      <c r="G80" s="69"/>
      <c r="H80" s="217"/>
      <c r="I80" s="217"/>
      <c r="J80" s="217"/>
      <c r="AA80" s="46" t="s">
        <v>178</v>
      </c>
      <c r="AB80" s="49">
        <v>242</v>
      </c>
      <c r="AC80" s="21">
        <v>640</v>
      </c>
      <c r="AD80" s="204">
        <v>300</v>
      </c>
      <c r="AE80" s="204">
        <v>13.5</v>
      </c>
      <c r="AF80" s="204">
        <v>26</v>
      </c>
      <c r="AG80" s="204">
        <v>27</v>
      </c>
      <c r="AH80" s="204">
        <v>534</v>
      </c>
      <c r="AI80" s="204">
        <v>200000</v>
      </c>
      <c r="AJ80" s="204">
        <v>5470</v>
      </c>
      <c r="AK80" s="204">
        <v>11720</v>
      </c>
      <c r="AL80" s="204">
        <v>782</v>
      </c>
      <c r="AM80" s="49">
        <v>26.9</v>
      </c>
      <c r="AN80" s="51">
        <v>6.97</v>
      </c>
      <c r="AO80" s="90">
        <v>2</v>
      </c>
    </row>
    <row r="81" spans="1:41" ht="15.75" customHeight="1">
      <c r="A81" s="69"/>
      <c r="B81" s="64"/>
      <c r="C81" s="64"/>
      <c r="D81" s="54"/>
      <c r="E81" s="54"/>
      <c r="F81" s="54"/>
      <c r="G81" s="54"/>
      <c r="H81" s="54"/>
      <c r="I81" s="54"/>
      <c r="J81" s="54"/>
      <c r="AA81" s="46" t="s">
        <v>179</v>
      </c>
      <c r="AB81" s="49">
        <v>260</v>
      </c>
      <c r="AC81" s="21">
        <v>690</v>
      </c>
      <c r="AD81" s="204">
        <v>300</v>
      </c>
      <c r="AE81" s="204">
        <v>14.5</v>
      </c>
      <c r="AF81" s="204">
        <v>27</v>
      </c>
      <c r="AG81" s="204">
        <v>27</v>
      </c>
      <c r="AH81" s="204">
        <v>582</v>
      </c>
      <c r="AI81" s="204">
        <v>200000</v>
      </c>
      <c r="AJ81" s="204">
        <v>6240</v>
      </c>
      <c r="AK81" s="204">
        <v>12180</v>
      </c>
      <c r="AL81" s="204">
        <v>812</v>
      </c>
      <c r="AM81" s="49">
        <v>28.8</v>
      </c>
      <c r="AN81" s="51">
        <v>6.84</v>
      </c>
      <c r="AO81" s="90">
        <v>2</v>
      </c>
    </row>
    <row r="82" spans="1:41" ht="15.75" customHeight="1">
      <c r="A82" s="243"/>
      <c r="B82" s="231"/>
      <c r="C82" s="54"/>
      <c r="D82" s="54"/>
      <c r="E82" s="73"/>
      <c r="F82" s="69"/>
      <c r="G82" s="54"/>
      <c r="H82" s="243"/>
      <c r="I82" s="243"/>
      <c r="J82" s="69"/>
      <c r="AA82" s="46" t="s">
        <v>180</v>
      </c>
      <c r="AB82" s="49">
        <v>286</v>
      </c>
      <c r="AC82" s="21">
        <v>790</v>
      </c>
      <c r="AD82" s="204">
        <v>300</v>
      </c>
      <c r="AE82" s="204">
        <v>15</v>
      </c>
      <c r="AF82" s="204">
        <v>28</v>
      </c>
      <c r="AG82" s="204">
        <v>30</v>
      </c>
      <c r="AH82" s="204">
        <v>674</v>
      </c>
      <c r="AI82" s="204">
        <v>300000</v>
      </c>
      <c r="AJ82" s="204">
        <v>7680</v>
      </c>
      <c r="AK82" s="204">
        <v>12640</v>
      </c>
      <c r="AL82" s="204">
        <v>843</v>
      </c>
      <c r="AM82" s="49">
        <v>32.6</v>
      </c>
      <c r="AN82" s="51">
        <v>6.65</v>
      </c>
      <c r="AO82" s="90">
        <v>2</v>
      </c>
    </row>
    <row r="83" spans="1:41" ht="15.75" customHeight="1">
      <c r="A83" s="243"/>
      <c r="B83" s="231"/>
      <c r="C83" s="54"/>
      <c r="D83" s="54"/>
      <c r="E83" s="54"/>
      <c r="F83" s="64"/>
      <c r="G83" s="54"/>
      <c r="H83" s="243"/>
      <c r="I83" s="243"/>
      <c r="J83" s="69"/>
      <c r="L83" s="69"/>
      <c r="M83" s="69"/>
      <c r="N83" s="218"/>
      <c r="O83" s="54"/>
      <c r="P83" s="173"/>
      <c r="Q83" s="173"/>
      <c r="R83" s="149"/>
      <c r="S83" s="54"/>
      <c r="AA83" s="46" t="s">
        <v>181</v>
      </c>
      <c r="AB83" s="49">
        <v>321</v>
      </c>
      <c r="AC83" s="21">
        <v>890</v>
      </c>
      <c r="AD83" s="204">
        <v>300</v>
      </c>
      <c r="AE83" s="204">
        <v>16</v>
      </c>
      <c r="AF83" s="204">
        <v>30</v>
      </c>
      <c r="AG83" s="204">
        <v>30</v>
      </c>
      <c r="AH83" s="204">
        <v>770</v>
      </c>
      <c r="AI83" s="204">
        <v>400000</v>
      </c>
      <c r="AJ83" s="204">
        <v>9480</v>
      </c>
      <c r="AK83" s="204">
        <v>13550</v>
      </c>
      <c r="AL83" s="204">
        <v>903</v>
      </c>
      <c r="AM83" s="49">
        <v>36.3</v>
      </c>
      <c r="AN83" s="51">
        <v>6.5</v>
      </c>
      <c r="AO83" s="90">
        <v>2</v>
      </c>
    </row>
    <row r="84" spans="1:41" ht="15.75" customHeight="1" thickBot="1">
      <c r="A84" s="69"/>
      <c r="B84" s="54"/>
      <c r="C84" s="54"/>
      <c r="D84" s="54"/>
      <c r="E84" s="54"/>
      <c r="F84" s="219"/>
      <c r="G84" s="186"/>
      <c r="H84" s="54"/>
      <c r="I84" s="54"/>
      <c r="J84" s="54"/>
      <c r="L84" s="69"/>
      <c r="M84" s="69"/>
      <c r="N84" s="173"/>
      <c r="O84" s="54"/>
      <c r="P84" s="173"/>
      <c r="Q84" s="173"/>
      <c r="R84" s="149"/>
      <c r="S84" s="54"/>
      <c r="AA84" s="46" t="s">
        <v>182</v>
      </c>
      <c r="AB84" s="49">
        <v>347</v>
      </c>
      <c r="AC84" s="21">
        <v>990</v>
      </c>
      <c r="AD84" s="204">
        <v>300</v>
      </c>
      <c r="AE84" s="204">
        <v>16.5</v>
      </c>
      <c r="AF84" s="204">
        <v>31</v>
      </c>
      <c r="AG84" s="204">
        <v>30</v>
      </c>
      <c r="AH84" s="204">
        <v>868</v>
      </c>
      <c r="AI84" s="204">
        <v>600000</v>
      </c>
      <c r="AJ84" s="204">
        <v>11190</v>
      </c>
      <c r="AK84" s="220">
        <v>14000</v>
      </c>
      <c r="AL84" s="220">
        <v>934</v>
      </c>
      <c r="AM84" s="50">
        <v>40</v>
      </c>
      <c r="AN84" s="52">
        <v>6.35</v>
      </c>
      <c r="AO84" s="90">
        <v>2</v>
      </c>
    </row>
    <row r="85" spans="1:19" ht="15.75" customHeight="1" thickTop="1">
      <c r="A85" s="69"/>
      <c r="B85" s="69"/>
      <c r="C85" s="69"/>
      <c r="D85" s="54"/>
      <c r="E85" s="54"/>
      <c r="F85" s="245"/>
      <c r="G85" s="245"/>
      <c r="H85" s="221"/>
      <c r="I85" s="221"/>
      <c r="J85" s="221"/>
      <c r="L85" s="69"/>
      <c r="M85" s="69"/>
      <c r="N85" s="173"/>
      <c r="O85" s="149"/>
      <c r="P85" s="173"/>
      <c r="Q85" s="173"/>
      <c r="R85" s="149"/>
      <c r="S85" s="54"/>
    </row>
    <row r="86" spans="1:19" ht="15.75" customHeight="1">
      <c r="A86" s="69"/>
      <c r="B86" s="69"/>
      <c r="C86" s="69"/>
      <c r="D86" s="54"/>
      <c r="E86" s="54"/>
      <c r="F86" s="219"/>
      <c r="G86" s="186"/>
      <c r="H86" s="54"/>
      <c r="I86" s="54"/>
      <c r="J86" s="54"/>
      <c r="L86" s="69"/>
      <c r="M86" s="69"/>
      <c r="N86" s="173"/>
      <c r="O86" s="54"/>
      <c r="P86" s="173"/>
      <c r="Q86" s="173"/>
      <c r="R86" s="149"/>
      <c r="S86" s="54"/>
    </row>
    <row r="87" spans="1:19" ht="15.75" customHeight="1">
      <c r="A87" s="69"/>
      <c r="B87" s="64"/>
      <c r="C87" s="64"/>
      <c r="D87" s="54"/>
      <c r="E87" s="54"/>
      <c r="F87" s="54"/>
      <c r="G87" s="222"/>
      <c r="H87" s="54"/>
      <c r="I87" s="54"/>
      <c r="J87" s="54"/>
      <c r="L87" s="69"/>
      <c r="M87" s="69"/>
      <c r="N87" s="173"/>
      <c r="O87" s="54"/>
      <c r="P87" s="173"/>
      <c r="Q87" s="173"/>
      <c r="R87" s="180"/>
      <c r="S87" s="54"/>
    </row>
    <row r="88" spans="1:19" ht="15.75" customHeight="1">
      <c r="A88" s="69"/>
      <c r="B88" s="64"/>
      <c r="C88" s="64"/>
      <c r="D88" s="54"/>
      <c r="E88" s="54"/>
      <c r="F88" s="54"/>
      <c r="G88" s="54"/>
      <c r="H88" s="54"/>
      <c r="I88" s="54"/>
      <c r="J88" s="54"/>
      <c r="L88" s="69"/>
      <c r="M88" s="69"/>
      <c r="N88" s="173"/>
      <c r="O88" s="54"/>
      <c r="P88" s="173"/>
      <c r="Q88" s="173"/>
      <c r="R88" s="149"/>
      <c r="S88" s="149"/>
    </row>
    <row r="89" spans="1:19" ht="15.75" customHeight="1">
      <c r="A89" s="223"/>
      <c r="B89" s="64"/>
      <c r="C89" s="64"/>
      <c r="D89" s="54"/>
      <c r="E89" s="54"/>
      <c r="F89" s="54"/>
      <c r="G89" s="54"/>
      <c r="H89" s="54"/>
      <c r="I89" s="54"/>
      <c r="J89" s="54"/>
      <c r="L89" s="69"/>
      <c r="M89" s="69"/>
      <c r="N89" s="173"/>
      <c r="O89" s="54"/>
      <c r="P89" s="69"/>
      <c r="Q89" s="69"/>
      <c r="R89" s="173"/>
      <c r="S89" s="54"/>
    </row>
    <row r="90" spans="1:19" ht="15.75" customHeight="1">
      <c r="A90" s="223"/>
      <c r="B90" s="64"/>
      <c r="C90" s="64"/>
      <c r="D90" s="54"/>
      <c r="E90" s="54"/>
      <c r="F90" s="54"/>
      <c r="G90" s="54"/>
      <c r="H90" s="54"/>
      <c r="I90" s="54"/>
      <c r="J90" s="54"/>
      <c r="L90" s="69"/>
      <c r="M90" s="69"/>
      <c r="N90" s="173"/>
      <c r="O90" s="54"/>
      <c r="P90" s="54"/>
      <c r="Q90" s="149"/>
      <c r="R90" s="149"/>
      <c r="S90" s="149"/>
    </row>
    <row r="91" spans="1:19" ht="15.75" customHeight="1">
      <c r="A91" s="54"/>
      <c r="B91" s="54"/>
      <c r="C91" s="223"/>
      <c r="D91" s="69"/>
      <c r="E91" s="64"/>
      <c r="F91" s="54"/>
      <c r="G91" s="224"/>
      <c r="H91" s="54"/>
      <c r="I91" s="54"/>
      <c r="J91" s="213"/>
      <c r="L91" s="69"/>
      <c r="M91" s="69"/>
      <c r="N91" s="69"/>
      <c r="O91" s="54"/>
      <c r="P91" s="69"/>
      <c r="Q91" s="69"/>
      <c r="R91" s="69"/>
      <c r="S91" s="54"/>
    </row>
    <row r="92" spans="1:10" ht="15.75" customHeight="1">
      <c r="A92" s="69"/>
      <c r="B92" s="64"/>
      <c r="C92" s="64"/>
      <c r="D92" s="54"/>
      <c r="E92" s="54"/>
      <c r="F92" s="54"/>
      <c r="G92" s="54"/>
      <c r="H92" s="54"/>
      <c r="I92" s="54"/>
      <c r="J92" s="54"/>
    </row>
    <row r="93" spans="1:10" ht="15.75" customHeight="1">
      <c r="A93" s="69"/>
      <c r="B93" s="64"/>
      <c r="C93" s="64"/>
      <c r="D93" s="54"/>
      <c r="E93" s="225"/>
      <c r="F93" s="225"/>
      <c r="G93" s="225"/>
      <c r="H93" s="54"/>
      <c r="I93" s="54"/>
      <c r="J93" s="54"/>
    </row>
    <row r="94" spans="1:19" ht="15.75" customHeight="1">
      <c r="A94" s="69"/>
      <c r="B94" s="64"/>
      <c r="C94" s="64"/>
      <c r="D94" s="54"/>
      <c r="E94" s="54"/>
      <c r="F94" s="54"/>
      <c r="G94" s="54"/>
      <c r="H94" s="54"/>
      <c r="I94" s="54"/>
      <c r="J94" s="54"/>
      <c r="L94" s="69"/>
      <c r="M94" s="69"/>
      <c r="N94" s="218"/>
      <c r="O94" s="54"/>
      <c r="P94" s="173"/>
      <c r="Q94" s="173"/>
      <c r="R94" s="149"/>
      <c r="S94" s="54"/>
    </row>
    <row r="95" spans="1:19" ht="15.75" customHeight="1">
      <c r="A95" s="226"/>
      <c r="B95" s="54"/>
      <c r="C95" s="54"/>
      <c r="D95" s="54"/>
      <c r="E95" s="69"/>
      <c r="F95" s="64"/>
      <c r="G95" s="54"/>
      <c r="H95" s="227"/>
      <c r="I95" s="227"/>
      <c r="J95" s="227"/>
      <c r="L95" s="69"/>
      <c r="M95" s="69"/>
      <c r="N95" s="173"/>
      <c r="O95" s="54"/>
      <c r="P95" s="173"/>
      <c r="Q95" s="173"/>
      <c r="R95" s="149"/>
      <c r="S95" s="54"/>
    </row>
    <row r="96" spans="1:19" ht="15.75" customHeight="1">
      <c r="A96" s="54"/>
      <c r="B96" s="54"/>
      <c r="C96" s="54"/>
      <c r="D96" s="54"/>
      <c r="E96" s="69"/>
      <c r="F96" s="228"/>
      <c r="G96" s="64"/>
      <c r="H96" s="163"/>
      <c r="I96" s="203"/>
      <c r="J96" s="69"/>
      <c r="L96" s="69"/>
      <c r="M96" s="69"/>
      <c r="N96" s="173"/>
      <c r="O96" s="149"/>
      <c r="P96" s="173"/>
      <c r="Q96" s="173"/>
      <c r="R96" s="149"/>
      <c r="S96" s="54"/>
    </row>
    <row r="97" spans="1:19" ht="15.7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L97" s="69"/>
      <c r="M97" s="69"/>
      <c r="N97" s="173"/>
      <c r="O97" s="54"/>
      <c r="P97" s="173"/>
      <c r="Q97" s="173"/>
      <c r="R97" s="149"/>
      <c r="S97" s="54"/>
    </row>
    <row r="98" spans="1:19" ht="15.7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L98" s="69"/>
      <c r="M98" s="69"/>
      <c r="N98" s="173"/>
      <c r="O98" s="54"/>
      <c r="P98" s="173"/>
      <c r="Q98" s="173"/>
      <c r="R98" s="180"/>
      <c r="S98" s="54"/>
    </row>
    <row r="99" spans="1:19" ht="15.7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L99" s="69"/>
      <c r="M99" s="69"/>
      <c r="N99" s="173"/>
      <c r="O99" s="54"/>
      <c r="P99" s="173"/>
      <c r="Q99" s="173"/>
      <c r="R99" s="149"/>
      <c r="S99" s="149"/>
    </row>
    <row r="100" spans="1:19" ht="15.7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L100" s="69"/>
      <c r="M100" s="69"/>
      <c r="N100" s="173"/>
      <c r="O100" s="54"/>
      <c r="P100" s="69"/>
      <c r="Q100" s="69"/>
      <c r="R100" s="173"/>
      <c r="S100" s="54"/>
    </row>
    <row r="101" spans="1:19" ht="15.7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L101" s="69"/>
      <c r="M101" s="69"/>
      <c r="N101" s="173"/>
      <c r="O101" s="54"/>
      <c r="P101" s="54"/>
      <c r="Q101" s="149"/>
      <c r="R101" s="149"/>
      <c r="S101" s="149"/>
    </row>
    <row r="102" spans="1:19" ht="15.7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L102" s="69"/>
      <c r="M102" s="69"/>
      <c r="N102" s="69"/>
      <c r="O102" s="54"/>
      <c r="P102" s="69"/>
      <c r="Q102" s="69"/>
      <c r="R102" s="69"/>
      <c r="S102" s="54"/>
    </row>
    <row r="103" spans="1:10" ht="15.7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1:10" ht="15.7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1:10" ht="15.7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1:10" ht="1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1:10" ht="1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ht="1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1:10" ht="1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 ht="12.75">
      <c r="A110" s="73"/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0" ht="12.75">
      <c r="A111" s="73"/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 ht="12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</row>
    <row r="113" spans="1:10" ht="12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</row>
    <row r="114" spans="1:10" ht="12.75">
      <c r="A114" s="73"/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ht="12.75">
      <c r="A115" s="73"/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ht="12.75">
      <c r="A116" s="73"/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73"/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12.75">
      <c r="A118" s="73"/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ht="12.75">
      <c r="A119" s="73"/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ht="12.75">
      <c r="A120" s="73"/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</row>
    <row r="123" spans="1:10" ht="12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 ht="12.75">
      <c r="A124" s="73"/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" ht="12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</row>
    <row r="126" spans="1:10" ht="12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0" ht="12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</row>
    <row r="128" spans="1:10" ht="12.75">
      <c r="A128" s="73"/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ht="12.75">
      <c r="A129" s="73"/>
      <c r="B129" s="73"/>
      <c r="C129" s="73"/>
      <c r="D129" s="73"/>
      <c r="E129" s="73"/>
      <c r="F129" s="73"/>
      <c r="G129" s="73"/>
      <c r="H129" s="73"/>
      <c r="I129" s="73"/>
      <c r="J129" s="73"/>
    </row>
    <row r="130" spans="1:10" ht="12.75">
      <c r="A130" s="73"/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ht="12.75">
      <c r="A131" s="73"/>
      <c r="B131" s="73"/>
      <c r="C131" s="73"/>
      <c r="D131" s="73"/>
      <c r="E131" s="73"/>
      <c r="F131" s="73"/>
      <c r="G131" s="73"/>
      <c r="H131" s="73"/>
      <c r="I131" s="73"/>
      <c r="J131" s="73"/>
    </row>
    <row r="132" spans="1:10" ht="12.75">
      <c r="A132" s="73"/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 ht="12.75">
      <c r="A133" s="73"/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1:10" ht="12.75">
      <c r="A134" s="73"/>
      <c r="B134" s="73"/>
      <c r="C134" s="73"/>
      <c r="D134" s="73"/>
      <c r="E134" s="73"/>
      <c r="F134" s="73"/>
      <c r="G134" s="73"/>
      <c r="H134" s="73"/>
      <c r="I134" s="73"/>
      <c r="J134" s="73"/>
    </row>
  </sheetData>
  <sheetProtection password="D98F" sheet="1" objects="1" scenarios="1"/>
  <mergeCells count="13">
    <mergeCell ref="A82:A83"/>
    <mergeCell ref="B82:B83"/>
    <mergeCell ref="F45:G45"/>
    <mergeCell ref="F85:G85"/>
    <mergeCell ref="D1:G1"/>
    <mergeCell ref="H1:I2"/>
    <mergeCell ref="D2:G2"/>
    <mergeCell ref="H82:H83"/>
    <mergeCell ref="I82:I83"/>
    <mergeCell ref="A42:A43"/>
    <mergeCell ref="B42:B43"/>
    <mergeCell ref="H42:H43"/>
    <mergeCell ref="I42:I43"/>
  </mergeCells>
  <conditionalFormatting sqref="G47 G50 G55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B38 E36:E37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1" operator="equal" stopIfTrue="1">
      <formula>"Slender"</formula>
    </cfRule>
  </conditionalFormatting>
  <dataValidations count="5">
    <dataValidation type="list" allowBlank="1" showInputMessage="1" showErrorMessage="1" sqref="C15">
      <formula1>$AA$2:$AA$84</formula1>
    </dataValidation>
    <dataValidation type="list" allowBlank="1" showInputMessage="1" showErrorMessage="1" sqref="E10">
      <formula1>$K$19:$K$20</formula1>
    </dataValidation>
    <dataValidation type="list" allowBlank="1" showInputMessage="1" showErrorMessage="1" sqref="H85">
      <formula1>$K$21:$K$22</formula1>
    </dataValidation>
    <dataValidation type="list" allowBlank="1" showInputMessage="1" showErrorMessage="1" sqref="C54">
      <formula1>$L$53:$L$54</formula1>
    </dataValidation>
    <dataValidation type="list" allowBlank="1" showInputMessage="1" showErrorMessage="1" sqref="G6">
      <formula1>$M$19:$M$21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0" r:id="rId2"/>
  <rowBreaks count="1" manualBreakCount="1">
    <brk id="56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M136"/>
  <sheetViews>
    <sheetView showGridLines="0" view="pageBreakPreview" zoomScaleSheetLayoutView="100" workbookViewId="0" topLeftCell="A1">
      <selection activeCell="G65" sqref="G65"/>
    </sheetView>
  </sheetViews>
  <sheetFormatPr defaultColWidth="9.140625" defaultRowHeight="12.75"/>
  <cols>
    <col min="1" max="1" width="17.7109375" style="71" customWidth="1"/>
    <col min="2" max="2" width="13.28125" style="71" customWidth="1"/>
    <col min="3" max="3" width="14.8515625" style="71" bestFit="1" customWidth="1"/>
    <col min="4" max="4" width="9.140625" style="71" customWidth="1"/>
    <col min="5" max="5" width="9.57421875" style="71" bestFit="1" customWidth="1"/>
    <col min="6" max="6" width="12.8515625" style="71" customWidth="1"/>
    <col min="7" max="7" width="9.140625" style="71" customWidth="1"/>
    <col min="8" max="8" width="9.57421875" style="71" bestFit="1" customWidth="1"/>
    <col min="9" max="10" width="9.28125" style="71" customWidth="1"/>
    <col min="11" max="11" width="9.140625" style="71" customWidth="1"/>
    <col min="12" max="12" width="12.8515625" style="71" customWidth="1"/>
    <col min="13" max="13" width="9.140625" style="71" customWidth="1"/>
    <col min="14" max="14" width="9.7109375" style="71" bestFit="1" customWidth="1"/>
    <col min="15" max="15" width="9.140625" style="71" customWidth="1"/>
    <col min="16" max="16" width="9.28125" style="71" bestFit="1" customWidth="1"/>
    <col min="17" max="17" width="9.421875" style="71" bestFit="1" customWidth="1"/>
    <col min="18" max="18" width="10.7109375" style="71" bestFit="1" customWidth="1"/>
    <col min="19" max="19" width="9.57421875" style="71" bestFit="1" customWidth="1"/>
    <col min="20" max="34" width="9.140625" style="71" customWidth="1"/>
    <col min="35" max="35" width="10.57421875" style="71" bestFit="1" customWidth="1"/>
    <col min="36" max="36" width="9.57421875" style="71" bestFit="1" customWidth="1"/>
    <col min="37" max="16384" width="9.140625" style="71" customWidth="1"/>
  </cols>
  <sheetData>
    <row r="1" spans="1:38" ht="19.5" customHeight="1">
      <c r="A1" s="74" t="s">
        <v>49</v>
      </c>
      <c r="B1" s="75"/>
      <c r="C1" s="75"/>
      <c r="D1" s="233" t="s">
        <v>55</v>
      </c>
      <c r="E1" s="234"/>
      <c r="F1" s="234"/>
      <c r="G1" s="235"/>
      <c r="H1" s="236" t="s">
        <v>56</v>
      </c>
      <c r="I1" s="237"/>
      <c r="J1" s="76"/>
      <c r="K1" s="77"/>
      <c r="L1" s="78"/>
      <c r="M1" s="79"/>
      <c r="N1" s="79"/>
      <c r="O1" s="79"/>
      <c r="P1" s="79"/>
      <c r="Q1" s="79"/>
      <c r="R1" s="79"/>
      <c r="S1" s="79"/>
      <c r="T1" s="79"/>
      <c r="U1" s="79"/>
      <c r="V1" s="79"/>
      <c r="AA1" s="229"/>
      <c r="AB1" s="78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38" ht="19.5" customHeight="1" thickBot="1">
      <c r="A2" s="84" t="s">
        <v>50</v>
      </c>
      <c r="B2" s="73"/>
      <c r="C2" s="73"/>
      <c r="D2" s="240" t="s">
        <v>92</v>
      </c>
      <c r="E2" s="241"/>
      <c r="F2" s="241"/>
      <c r="G2" s="242"/>
      <c r="H2" s="238"/>
      <c r="I2" s="239"/>
      <c r="J2" s="85"/>
      <c r="K2" s="86"/>
      <c r="L2" s="64"/>
      <c r="M2" s="87"/>
      <c r="N2" s="63"/>
      <c r="O2" s="56"/>
      <c r="P2" s="56"/>
      <c r="Q2" s="63"/>
      <c r="R2" s="56"/>
      <c r="S2" s="63"/>
      <c r="T2" s="56"/>
      <c r="U2" s="64"/>
      <c r="V2" s="64"/>
      <c r="AA2" s="57"/>
      <c r="AB2" s="58"/>
      <c r="AC2" s="53"/>
      <c r="AD2" s="63"/>
      <c r="AE2" s="56"/>
      <c r="AF2" s="56"/>
      <c r="AG2" s="56"/>
      <c r="AH2" s="56"/>
      <c r="AI2" s="63"/>
      <c r="AJ2" s="56"/>
      <c r="AK2" s="58"/>
      <c r="AL2" s="58"/>
    </row>
    <row r="3" spans="1:38" ht="19.5" customHeight="1">
      <c r="A3" s="91" t="s">
        <v>51</v>
      </c>
      <c r="B3" s="73"/>
      <c r="C3" s="73"/>
      <c r="D3" s="92" t="s">
        <v>48</v>
      </c>
      <c r="E3" s="93" t="s">
        <v>53</v>
      </c>
      <c r="F3" s="94" t="s">
        <v>54</v>
      </c>
      <c r="G3" s="95" t="s">
        <v>53</v>
      </c>
      <c r="H3" s="96" t="s">
        <v>57</v>
      </c>
      <c r="I3" s="6"/>
      <c r="J3" s="85"/>
      <c r="K3" s="86"/>
      <c r="L3" s="64"/>
      <c r="M3" s="87"/>
      <c r="N3" s="63"/>
      <c r="O3" s="56"/>
      <c r="P3" s="56"/>
      <c r="Q3" s="63"/>
      <c r="R3" s="56"/>
      <c r="S3" s="63"/>
      <c r="T3" s="56"/>
      <c r="U3" s="64"/>
      <c r="V3" s="64"/>
      <c r="AA3" s="57"/>
      <c r="AB3" s="58"/>
      <c r="AC3" s="53"/>
      <c r="AD3" s="63"/>
      <c r="AE3" s="56"/>
      <c r="AF3" s="56"/>
      <c r="AG3" s="56"/>
      <c r="AH3" s="56"/>
      <c r="AI3" s="63"/>
      <c r="AJ3" s="56"/>
      <c r="AK3" s="58"/>
      <c r="AL3" s="58"/>
    </row>
    <row r="4" spans="1:38" ht="19.5" customHeight="1" thickBot="1">
      <c r="A4" s="97" t="s">
        <v>52</v>
      </c>
      <c r="B4" s="98"/>
      <c r="C4" s="98"/>
      <c r="D4" s="1" t="s">
        <v>66</v>
      </c>
      <c r="E4" s="2"/>
      <c r="F4" s="3"/>
      <c r="G4" s="4"/>
      <c r="H4" s="99" t="s">
        <v>58</v>
      </c>
      <c r="I4" s="5"/>
      <c r="J4" s="100"/>
      <c r="K4" s="86"/>
      <c r="L4" s="64"/>
      <c r="M4" s="87"/>
      <c r="N4" s="63"/>
      <c r="O4" s="56"/>
      <c r="P4" s="56"/>
      <c r="Q4" s="63"/>
      <c r="R4" s="56"/>
      <c r="S4" s="63"/>
      <c r="T4" s="56"/>
      <c r="U4" s="64"/>
      <c r="V4" s="64"/>
      <c r="AA4" s="57"/>
      <c r="AB4" s="58"/>
      <c r="AC4" s="53"/>
      <c r="AD4" s="63"/>
      <c r="AE4" s="56"/>
      <c r="AF4" s="56"/>
      <c r="AG4" s="56"/>
      <c r="AH4" s="56"/>
      <c r="AI4" s="63"/>
      <c r="AJ4" s="56"/>
      <c r="AK4" s="58"/>
      <c r="AL4" s="58"/>
    </row>
    <row r="5" spans="1:38" ht="15.75" customHeight="1">
      <c r="A5" s="101" t="s">
        <v>96</v>
      </c>
      <c r="B5" s="12" t="s">
        <v>97</v>
      </c>
      <c r="C5" s="103"/>
      <c r="D5" s="103"/>
      <c r="E5" s="104"/>
      <c r="F5" s="105"/>
      <c r="G5" s="106"/>
      <c r="H5" s="107"/>
      <c r="I5" s="107"/>
      <c r="J5" s="108" t="s">
        <v>47</v>
      </c>
      <c r="K5" s="86"/>
      <c r="L5" s="64"/>
      <c r="M5" s="87"/>
      <c r="N5" s="63"/>
      <c r="O5" s="56"/>
      <c r="P5" s="56"/>
      <c r="Q5" s="63"/>
      <c r="R5" s="56"/>
      <c r="S5" s="63"/>
      <c r="T5" s="56"/>
      <c r="U5" s="64"/>
      <c r="V5" s="64"/>
      <c r="AA5" s="57"/>
      <c r="AB5" s="58"/>
      <c r="AC5" s="53"/>
      <c r="AD5" s="63"/>
      <c r="AE5" s="56"/>
      <c r="AF5" s="56"/>
      <c r="AG5" s="56"/>
      <c r="AH5" s="56"/>
      <c r="AI5" s="63"/>
      <c r="AJ5" s="56"/>
      <c r="AK5" s="58"/>
      <c r="AL5" s="58"/>
    </row>
    <row r="6" spans="1:38" ht="15.75" customHeight="1">
      <c r="A6" s="109"/>
      <c r="B6" s="110"/>
      <c r="C6" s="111"/>
      <c r="D6" s="111"/>
      <c r="E6" s="111"/>
      <c r="F6" s="112" t="s">
        <v>116</v>
      </c>
      <c r="G6" s="7" t="s">
        <v>113</v>
      </c>
      <c r="H6" s="111"/>
      <c r="I6" s="111"/>
      <c r="J6" s="113" t="s">
        <v>64</v>
      </c>
      <c r="K6" s="86"/>
      <c r="L6" s="64"/>
      <c r="M6" s="87"/>
      <c r="N6" s="63"/>
      <c r="O6" s="56"/>
      <c r="P6" s="56"/>
      <c r="Q6" s="63"/>
      <c r="R6" s="56"/>
      <c r="S6" s="63"/>
      <c r="T6" s="56"/>
      <c r="U6" s="64"/>
      <c r="V6" s="64"/>
      <c r="AA6" s="57"/>
      <c r="AB6" s="58"/>
      <c r="AC6" s="53"/>
      <c r="AD6" s="63"/>
      <c r="AE6" s="56"/>
      <c r="AF6" s="56"/>
      <c r="AG6" s="56"/>
      <c r="AH6" s="56"/>
      <c r="AI6" s="63"/>
      <c r="AJ6" s="56"/>
      <c r="AK6" s="58"/>
      <c r="AL6" s="58"/>
    </row>
    <row r="7" spans="1:38" ht="15.75" customHeight="1">
      <c r="A7" s="114"/>
      <c r="B7" s="102"/>
      <c r="C7" s="115"/>
      <c r="D7" s="104"/>
      <c r="E7" s="116"/>
      <c r="F7" s="117" t="s">
        <v>117</v>
      </c>
      <c r="G7" s="118" t="s">
        <v>1</v>
      </c>
      <c r="H7" s="119">
        <f>VLOOKUP(G6,M19:O21,2,FALSE)</f>
        <v>2.4</v>
      </c>
      <c r="I7" s="111" t="s">
        <v>15</v>
      </c>
      <c r="J7" s="55" t="s">
        <v>183</v>
      </c>
      <c r="K7" s="86"/>
      <c r="L7" s="64"/>
      <c r="M7" s="87"/>
      <c r="N7" s="63"/>
      <c r="O7" s="56"/>
      <c r="P7" s="56"/>
      <c r="Q7" s="63"/>
      <c r="R7" s="56"/>
      <c r="S7" s="63"/>
      <c r="T7" s="56"/>
      <c r="U7" s="64"/>
      <c r="V7" s="64"/>
      <c r="AA7" s="57"/>
      <c r="AB7" s="58"/>
      <c r="AC7" s="53"/>
      <c r="AD7" s="63"/>
      <c r="AE7" s="56"/>
      <c r="AF7" s="56"/>
      <c r="AG7" s="56"/>
      <c r="AH7" s="56"/>
      <c r="AI7" s="63"/>
      <c r="AJ7" s="56"/>
      <c r="AK7" s="58"/>
      <c r="AL7" s="58"/>
    </row>
    <row r="8" spans="1:38" ht="15.75" customHeight="1">
      <c r="A8" s="120"/>
      <c r="B8" s="104"/>
      <c r="C8" s="104"/>
      <c r="D8" s="104"/>
      <c r="E8" s="104"/>
      <c r="F8" s="117" t="s">
        <v>118</v>
      </c>
      <c r="G8" s="118" t="s">
        <v>1</v>
      </c>
      <c r="H8" s="119">
        <f>VLOOKUP(G6,M19:O21,3,FALSE)</f>
        <v>3.6</v>
      </c>
      <c r="I8" s="111" t="s">
        <v>15</v>
      </c>
      <c r="J8" s="121" t="s">
        <v>183</v>
      </c>
      <c r="K8" s="122"/>
      <c r="L8" s="64"/>
      <c r="M8" s="63"/>
      <c r="N8" s="63"/>
      <c r="O8" s="56"/>
      <c r="P8" s="56"/>
      <c r="Q8" s="63"/>
      <c r="R8" s="56"/>
      <c r="S8" s="63"/>
      <c r="T8" s="56"/>
      <c r="U8" s="64"/>
      <c r="V8" s="64"/>
      <c r="AA8" s="57"/>
      <c r="AB8" s="58"/>
      <c r="AC8" s="53"/>
      <c r="AD8" s="63"/>
      <c r="AE8" s="56"/>
      <c r="AF8" s="56"/>
      <c r="AG8" s="56"/>
      <c r="AH8" s="56"/>
      <c r="AI8" s="63"/>
      <c r="AJ8" s="56"/>
      <c r="AK8" s="58"/>
      <c r="AL8" s="58"/>
    </row>
    <row r="9" spans="1:38" ht="15.75" customHeight="1">
      <c r="A9" s="114" t="s">
        <v>4</v>
      </c>
      <c r="B9" s="123"/>
      <c r="C9" s="111"/>
      <c r="D9" s="111"/>
      <c r="E9" s="124" t="s">
        <v>98</v>
      </c>
      <c r="F9" s="116"/>
      <c r="G9" s="110"/>
      <c r="H9" s="110"/>
      <c r="I9" s="110"/>
      <c r="J9" s="125"/>
      <c r="K9" s="86"/>
      <c r="L9" s="64"/>
      <c r="M9" s="87"/>
      <c r="N9" s="63"/>
      <c r="O9" s="56"/>
      <c r="P9" s="56"/>
      <c r="Q9" s="63"/>
      <c r="R9" s="56"/>
      <c r="S9" s="63"/>
      <c r="T9" s="56"/>
      <c r="U9" s="64"/>
      <c r="V9" s="64"/>
      <c r="AA9" s="57"/>
      <c r="AB9" s="58"/>
      <c r="AC9" s="53"/>
      <c r="AD9" s="63"/>
      <c r="AE9" s="56"/>
      <c r="AF9" s="56"/>
      <c r="AG9" s="56"/>
      <c r="AH9" s="56"/>
      <c r="AI9" s="63"/>
      <c r="AJ9" s="56"/>
      <c r="AK9" s="58"/>
      <c r="AL9" s="58"/>
    </row>
    <row r="10" spans="1:38" ht="15.75" customHeight="1">
      <c r="A10" s="68" t="s">
        <v>195</v>
      </c>
      <c r="B10" s="127" t="s">
        <v>1</v>
      </c>
      <c r="C10" s="8">
        <v>4</v>
      </c>
      <c r="D10" s="111" t="s">
        <v>5</v>
      </c>
      <c r="E10" s="9" t="s">
        <v>10</v>
      </c>
      <c r="F10" s="110"/>
      <c r="G10" s="110"/>
      <c r="H10" s="110"/>
      <c r="I10" s="110"/>
      <c r="J10" s="125"/>
      <c r="K10" s="122"/>
      <c r="L10" s="64"/>
      <c r="M10" s="63"/>
      <c r="N10" s="63"/>
      <c r="O10" s="56"/>
      <c r="P10" s="56"/>
      <c r="Q10" s="63"/>
      <c r="R10" s="56"/>
      <c r="S10" s="63"/>
      <c r="T10" s="56"/>
      <c r="U10" s="64"/>
      <c r="V10" s="64"/>
      <c r="AA10" s="57"/>
      <c r="AB10" s="58"/>
      <c r="AC10" s="53"/>
      <c r="AD10" s="63"/>
      <c r="AE10" s="56"/>
      <c r="AF10" s="56"/>
      <c r="AG10" s="56"/>
      <c r="AH10" s="56"/>
      <c r="AI10" s="63"/>
      <c r="AJ10" s="56"/>
      <c r="AK10" s="58"/>
      <c r="AL10" s="58"/>
    </row>
    <row r="11" spans="1:38" ht="15.75" customHeight="1">
      <c r="A11" s="68" t="s">
        <v>196</v>
      </c>
      <c r="B11" s="127" t="s">
        <v>1</v>
      </c>
      <c r="C11" s="8">
        <v>4</v>
      </c>
      <c r="D11" s="111" t="s">
        <v>5</v>
      </c>
      <c r="E11" s="129"/>
      <c r="F11" s="110"/>
      <c r="G11" s="110"/>
      <c r="H11" s="110"/>
      <c r="I11" s="110"/>
      <c r="J11" s="125"/>
      <c r="K11" s="122"/>
      <c r="L11" s="64"/>
      <c r="M11" s="63"/>
      <c r="N11" s="63"/>
      <c r="O11" s="56"/>
      <c r="P11" s="56"/>
      <c r="Q11" s="63"/>
      <c r="R11" s="56"/>
      <c r="S11" s="63"/>
      <c r="T11" s="56"/>
      <c r="U11" s="64"/>
      <c r="V11" s="64"/>
      <c r="AA11" s="57"/>
      <c r="AB11" s="58"/>
      <c r="AC11" s="53"/>
      <c r="AD11" s="63"/>
      <c r="AE11" s="56"/>
      <c r="AF11" s="56"/>
      <c r="AG11" s="56"/>
      <c r="AH11" s="56"/>
      <c r="AI11" s="63"/>
      <c r="AJ11" s="56"/>
      <c r="AK11" s="58"/>
      <c r="AL11" s="58"/>
    </row>
    <row r="12" spans="1:38" ht="15.75" customHeight="1">
      <c r="A12" s="126" t="s">
        <v>6</v>
      </c>
      <c r="B12" s="127" t="s">
        <v>1</v>
      </c>
      <c r="C12" s="8">
        <v>2.5</v>
      </c>
      <c r="D12" s="111" t="s">
        <v>2</v>
      </c>
      <c r="E12" s="110"/>
      <c r="F12" s="110"/>
      <c r="G12" s="110"/>
      <c r="H12" s="110"/>
      <c r="I12" s="110"/>
      <c r="J12" s="125"/>
      <c r="K12" s="122"/>
      <c r="L12" s="64"/>
      <c r="M12" s="63"/>
      <c r="N12" s="63"/>
      <c r="O12" s="56"/>
      <c r="P12" s="56"/>
      <c r="Q12" s="63"/>
      <c r="R12" s="56"/>
      <c r="S12" s="63"/>
      <c r="T12" s="56"/>
      <c r="U12" s="64"/>
      <c r="V12" s="64"/>
      <c r="AA12" s="57"/>
      <c r="AB12" s="58"/>
      <c r="AC12" s="53"/>
      <c r="AD12" s="63"/>
      <c r="AE12" s="56"/>
      <c r="AF12" s="56"/>
      <c r="AG12" s="56"/>
      <c r="AH12" s="56"/>
      <c r="AI12" s="63"/>
      <c r="AJ12" s="56"/>
      <c r="AK12" s="58"/>
      <c r="AL12" s="58"/>
    </row>
    <row r="13" spans="1:38" ht="15.75" customHeight="1">
      <c r="A13" s="130" t="s">
        <v>34</v>
      </c>
      <c r="B13" s="119"/>
      <c r="C13" s="111"/>
      <c r="D13" s="111"/>
      <c r="E13" s="111"/>
      <c r="F13" s="111"/>
      <c r="G13" s="111"/>
      <c r="H13" s="111"/>
      <c r="I13" s="111"/>
      <c r="J13" s="125"/>
      <c r="K13" s="122"/>
      <c r="L13" s="64"/>
      <c r="M13" s="63"/>
      <c r="N13" s="63"/>
      <c r="O13" s="56"/>
      <c r="P13" s="56"/>
      <c r="Q13" s="63"/>
      <c r="R13" s="56"/>
      <c r="S13" s="63"/>
      <c r="T13" s="56"/>
      <c r="U13" s="64"/>
      <c r="V13" s="64"/>
      <c r="AA13" s="57"/>
      <c r="AB13" s="58"/>
      <c r="AC13" s="53"/>
      <c r="AD13" s="63"/>
      <c r="AE13" s="56"/>
      <c r="AF13" s="56"/>
      <c r="AG13" s="56"/>
      <c r="AH13" s="56"/>
      <c r="AI13" s="63"/>
      <c r="AJ13" s="56"/>
      <c r="AK13" s="58"/>
      <c r="AL13" s="58"/>
    </row>
    <row r="14" spans="1:38" ht="15.75" customHeight="1">
      <c r="A14" s="131"/>
      <c r="B14" s="119"/>
      <c r="C14" s="111"/>
      <c r="D14" s="111"/>
      <c r="E14" s="111"/>
      <c r="F14" s="111"/>
      <c r="G14" s="111"/>
      <c r="H14" s="111"/>
      <c r="I14" s="132"/>
      <c r="J14" s="125"/>
      <c r="K14" s="122"/>
      <c r="L14" s="64"/>
      <c r="M14" s="63"/>
      <c r="N14" s="63"/>
      <c r="O14" s="56"/>
      <c r="P14" s="56"/>
      <c r="Q14" s="63"/>
      <c r="R14" s="56"/>
      <c r="S14" s="63"/>
      <c r="T14" s="56"/>
      <c r="U14" s="64"/>
      <c r="V14" s="64"/>
      <c r="AA14" s="57"/>
      <c r="AB14" s="58"/>
      <c r="AC14" s="53"/>
      <c r="AD14" s="63"/>
      <c r="AE14" s="56"/>
      <c r="AF14" s="56"/>
      <c r="AG14" s="56"/>
      <c r="AH14" s="56"/>
      <c r="AI14" s="63"/>
      <c r="AJ14" s="56"/>
      <c r="AK14" s="58"/>
      <c r="AL14" s="58"/>
    </row>
    <row r="15" spans="1:38" ht="15.75" customHeight="1">
      <c r="A15" s="133" t="s">
        <v>184</v>
      </c>
      <c r="B15" s="134"/>
      <c r="C15" s="134"/>
      <c r="D15" s="110"/>
      <c r="E15" s="111"/>
      <c r="F15" s="111"/>
      <c r="G15" s="111"/>
      <c r="H15" s="111"/>
      <c r="I15" s="132"/>
      <c r="J15" s="125"/>
      <c r="K15" s="86"/>
      <c r="L15" s="64"/>
      <c r="M15" s="87"/>
      <c r="N15" s="63"/>
      <c r="P15" s="56"/>
      <c r="Q15" s="63"/>
      <c r="R15" s="56"/>
      <c r="S15" s="63"/>
      <c r="T15" s="56"/>
      <c r="U15" s="64"/>
      <c r="V15" s="64"/>
      <c r="AA15" s="57"/>
      <c r="AB15" s="58"/>
      <c r="AC15" s="53"/>
      <c r="AD15" s="63"/>
      <c r="AE15" s="56"/>
      <c r="AF15" s="56"/>
      <c r="AG15" s="56"/>
      <c r="AH15" s="56"/>
      <c r="AI15" s="63"/>
      <c r="AJ15" s="56"/>
      <c r="AK15" s="58"/>
      <c r="AL15" s="58"/>
    </row>
    <row r="16" spans="1:38" ht="15.75" customHeight="1">
      <c r="A16" s="68" t="s">
        <v>185</v>
      </c>
      <c r="B16" s="69" t="s">
        <v>1</v>
      </c>
      <c r="C16" s="70">
        <v>250</v>
      </c>
      <c r="D16" s="111" t="s">
        <v>3</v>
      </c>
      <c r="E16" s="111" t="s">
        <v>193</v>
      </c>
      <c r="F16" s="111"/>
      <c r="G16" s="7" t="s">
        <v>194</v>
      </c>
      <c r="H16" s="111"/>
      <c r="I16" s="132"/>
      <c r="J16" s="125"/>
      <c r="K16" s="86"/>
      <c r="L16" s="64"/>
      <c r="M16" s="87"/>
      <c r="N16" s="63"/>
      <c r="O16" s="56"/>
      <c r="P16" s="56"/>
      <c r="Q16" s="63"/>
      <c r="R16" s="56"/>
      <c r="S16" s="63"/>
      <c r="T16" s="56"/>
      <c r="U16" s="64"/>
      <c r="V16" s="64"/>
      <c r="AA16" s="57"/>
      <c r="AB16" s="58"/>
      <c r="AC16" s="53"/>
      <c r="AD16" s="63"/>
      <c r="AE16" s="56"/>
      <c r="AF16" s="56"/>
      <c r="AG16" s="56"/>
      <c r="AH16" s="56"/>
      <c r="AI16" s="63"/>
      <c r="AJ16" s="56"/>
      <c r="AK16" s="58"/>
      <c r="AL16" s="58"/>
    </row>
    <row r="17" spans="1:38" ht="15.75" customHeight="1">
      <c r="A17" s="68" t="s">
        <v>186</v>
      </c>
      <c r="B17" s="69" t="s">
        <v>1</v>
      </c>
      <c r="C17" s="70">
        <v>18</v>
      </c>
      <c r="D17" s="111" t="s">
        <v>3</v>
      </c>
      <c r="E17" s="111"/>
      <c r="F17" s="111"/>
      <c r="G17" s="111"/>
      <c r="H17" s="111"/>
      <c r="I17" s="132"/>
      <c r="J17" s="125"/>
      <c r="K17" s="86"/>
      <c r="L17" s="64"/>
      <c r="M17" s="87"/>
      <c r="N17" s="63"/>
      <c r="O17" s="56"/>
      <c r="P17" s="56"/>
      <c r="Q17" s="63"/>
      <c r="R17" s="56"/>
      <c r="S17" s="63"/>
      <c r="T17" s="56"/>
      <c r="U17" s="64"/>
      <c r="V17" s="64"/>
      <c r="AA17" s="87"/>
      <c r="AB17" s="64"/>
      <c r="AC17" s="87"/>
      <c r="AD17" s="63"/>
      <c r="AE17" s="56"/>
      <c r="AF17" s="56"/>
      <c r="AG17" s="63"/>
      <c r="AH17" s="56"/>
      <c r="AI17" s="63"/>
      <c r="AJ17" s="56"/>
      <c r="AK17" s="64"/>
      <c r="AL17" s="64"/>
    </row>
    <row r="18" spans="1:38" ht="15.75" customHeight="1">
      <c r="A18" s="68" t="s">
        <v>187</v>
      </c>
      <c r="B18" s="69" t="s">
        <v>1</v>
      </c>
      <c r="C18" s="70">
        <v>200</v>
      </c>
      <c r="D18" s="111" t="s">
        <v>3</v>
      </c>
      <c r="E18" s="111"/>
      <c r="F18" s="111"/>
      <c r="G18" s="111"/>
      <c r="H18" s="111"/>
      <c r="I18" s="132"/>
      <c r="J18" s="125"/>
      <c r="K18" s="87"/>
      <c r="L18" s="64"/>
      <c r="M18" s="87"/>
      <c r="N18" s="63"/>
      <c r="O18" s="56"/>
      <c r="P18" s="56"/>
      <c r="Q18" s="63"/>
      <c r="R18" s="56"/>
      <c r="S18" s="63"/>
      <c r="T18" s="56"/>
      <c r="U18" s="64"/>
      <c r="V18" s="64"/>
      <c r="AA18" s="87"/>
      <c r="AB18" s="64"/>
      <c r="AC18" s="87"/>
      <c r="AD18" s="63"/>
      <c r="AE18" s="56"/>
      <c r="AF18" s="56"/>
      <c r="AG18" s="63"/>
      <c r="AH18" s="56"/>
      <c r="AI18" s="63"/>
      <c r="AJ18" s="56"/>
      <c r="AK18" s="64"/>
      <c r="AL18" s="64"/>
    </row>
    <row r="19" spans="1:38" ht="15.75" customHeight="1">
      <c r="A19" s="68" t="s">
        <v>188</v>
      </c>
      <c r="B19" s="69" t="s">
        <v>1</v>
      </c>
      <c r="C19" s="70">
        <v>6</v>
      </c>
      <c r="D19" s="111" t="s">
        <v>3</v>
      </c>
      <c r="E19" s="111"/>
      <c r="F19" s="111"/>
      <c r="G19" s="111"/>
      <c r="H19" s="111"/>
      <c r="I19" s="148"/>
      <c r="J19" s="125"/>
      <c r="K19" s="149" t="s">
        <v>10</v>
      </c>
      <c r="L19" s="54"/>
      <c r="M19" s="71" t="s">
        <v>113</v>
      </c>
      <c r="N19" s="71">
        <v>2.4</v>
      </c>
      <c r="O19" s="71">
        <v>3.6</v>
      </c>
      <c r="P19" s="150"/>
      <c r="Q19" s="64"/>
      <c r="R19" s="149"/>
      <c r="S19" s="149"/>
      <c r="T19" s="149"/>
      <c r="U19" s="149"/>
      <c r="AA19" s="87"/>
      <c r="AB19" s="64"/>
      <c r="AC19" s="87"/>
      <c r="AD19" s="63"/>
      <c r="AE19" s="56"/>
      <c r="AF19" s="56"/>
      <c r="AG19" s="63"/>
      <c r="AH19" s="56"/>
      <c r="AI19" s="63"/>
      <c r="AJ19" s="56"/>
      <c r="AK19" s="64"/>
      <c r="AL19" s="64"/>
    </row>
    <row r="20" spans="1:38" ht="15.75" customHeight="1">
      <c r="A20" s="68" t="s">
        <v>189</v>
      </c>
      <c r="B20" s="69" t="s">
        <v>1</v>
      </c>
      <c r="C20" s="70">
        <v>250</v>
      </c>
      <c r="D20" s="111" t="s">
        <v>3</v>
      </c>
      <c r="E20" s="111"/>
      <c r="F20" s="111"/>
      <c r="G20" s="111"/>
      <c r="H20" s="111"/>
      <c r="I20" s="148"/>
      <c r="J20" s="125"/>
      <c r="K20" s="149" t="s">
        <v>11</v>
      </c>
      <c r="L20" s="54"/>
      <c r="M20" s="71" t="s">
        <v>114</v>
      </c>
      <c r="N20" s="71">
        <v>2.8</v>
      </c>
      <c r="O20" s="71">
        <v>4.4</v>
      </c>
      <c r="P20" s="150"/>
      <c r="Q20" s="64"/>
      <c r="R20" s="149"/>
      <c r="S20" s="149"/>
      <c r="T20" s="149"/>
      <c r="U20" s="149"/>
      <c r="AA20" s="87"/>
      <c r="AB20" s="64"/>
      <c r="AC20" s="87"/>
      <c r="AD20" s="63"/>
      <c r="AE20" s="56"/>
      <c r="AF20" s="56"/>
      <c r="AG20" s="63"/>
      <c r="AH20" s="56"/>
      <c r="AI20" s="63"/>
      <c r="AJ20" s="56"/>
      <c r="AK20" s="64"/>
      <c r="AL20" s="64"/>
    </row>
    <row r="21" spans="1:38" ht="15.75" customHeight="1">
      <c r="A21" s="68" t="s">
        <v>190</v>
      </c>
      <c r="B21" s="69" t="s">
        <v>1</v>
      </c>
      <c r="C21" s="70">
        <v>18</v>
      </c>
      <c r="D21" s="111" t="s">
        <v>3</v>
      </c>
      <c r="E21" s="111"/>
      <c r="F21" s="111"/>
      <c r="G21" s="111"/>
      <c r="H21" s="111"/>
      <c r="I21" s="148"/>
      <c r="J21" s="125"/>
      <c r="K21" s="149"/>
      <c r="L21" s="54"/>
      <c r="M21" s="71" t="s">
        <v>115</v>
      </c>
      <c r="N21" s="71">
        <v>3.6</v>
      </c>
      <c r="O21" s="71">
        <v>5.2</v>
      </c>
      <c r="P21" s="150"/>
      <c r="Q21" s="64"/>
      <c r="R21" s="149"/>
      <c r="S21" s="149"/>
      <c r="T21" s="149"/>
      <c r="U21" s="149"/>
      <c r="AA21" s="87"/>
      <c r="AB21" s="64"/>
      <c r="AC21" s="87"/>
      <c r="AD21" s="63"/>
      <c r="AE21" s="56"/>
      <c r="AF21" s="56"/>
      <c r="AG21" s="63"/>
      <c r="AH21" s="56"/>
      <c r="AI21" s="63"/>
      <c r="AJ21" s="56"/>
      <c r="AK21" s="64"/>
      <c r="AL21" s="64"/>
    </row>
    <row r="22" spans="1:38" ht="15.75" customHeight="1">
      <c r="A22" s="126"/>
      <c r="B22" s="127"/>
      <c r="C22" s="151"/>
      <c r="D22" s="111"/>
      <c r="E22" s="111"/>
      <c r="F22" s="111"/>
      <c r="G22" s="111"/>
      <c r="H22" s="111"/>
      <c r="I22" s="148"/>
      <c r="J22" s="125"/>
      <c r="K22" s="149"/>
      <c r="L22" s="54"/>
      <c r="M22" s="71">
        <f>((C16-C19)/2)/C17</f>
        <v>6.777777777777778</v>
      </c>
      <c r="N22" s="68" t="s">
        <v>185</v>
      </c>
      <c r="P22" s="150"/>
      <c r="Q22" s="149"/>
      <c r="R22" s="149"/>
      <c r="S22" s="149"/>
      <c r="T22" s="149"/>
      <c r="U22" s="149"/>
      <c r="AA22" s="87"/>
      <c r="AB22" s="64"/>
      <c r="AC22" s="87"/>
      <c r="AD22" s="63"/>
      <c r="AE22" s="56"/>
      <c r="AF22" s="56"/>
      <c r="AG22" s="63"/>
      <c r="AH22" s="56"/>
      <c r="AI22" s="63"/>
      <c r="AJ22" s="56"/>
      <c r="AK22" s="64"/>
      <c r="AL22" s="64"/>
    </row>
    <row r="23" spans="1:38" ht="15.75" customHeight="1">
      <c r="A23" s="130" t="s">
        <v>101</v>
      </c>
      <c r="B23" s="110"/>
      <c r="C23" s="152"/>
      <c r="D23" s="110"/>
      <c r="E23" s="153"/>
      <c r="F23" s="153"/>
      <c r="G23" s="153"/>
      <c r="H23" s="153"/>
      <c r="I23" s="148"/>
      <c r="J23" s="125"/>
      <c r="K23" s="87"/>
      <c r="L23" s="64"/>
      <c r="M23" s="71">
        <f>((C20-C19)/2)/C21</f>
        <v>6.777777777777778</v>
      </c>
      <c r="N23" s="68" t="s">
        <v>189</v>
      </c>
      <c r="P23" s="56"/>
      <c r="Q23" s="63"/>
      <c r="R23" s="56"/>
      <c r="S23" s="63"/>
      <c r="T23" s="56"/>
      <c r="U23" s="64"/>
      <c r="V23" s="64"/>
      <c r="AA23" s="87"/>
      <c r="AB23" s="64"/>
      <c r="AC23" s="87"/>
      <c r="AD23" s="63"/>
      <c r="AE23" s="56"/>
      <c r="AF23" s="56"/>
      <c r="AG23" s="63"/>
      <c r="AH23" s="56"/>
      <c r="AI23" s="63"/>
      <c r="AJ23" s="56"/>
      <c r="AK23" s="64"/>
      <c r="AL23" s="64"/>
    </row>
    <row r="24" spans="1:38" ht="15.75" customHeight="1">
      <c r="A24" s="133" t="s">
        <v>99</v>
      </c>
      <c r="B24" s="157"/>
      <c r="C24" s="8">
        <v>2</v>
      </c>
      <c r="D24" s="111" t="s">
        <v>0</v>
      </c>
      <c r="E24" s="153"/>
      <c r="F24" s="153"/>
      <c r="G24" s="153"/>
      <c r="H24" s="153"/>
      <c r="I24" s="148"/>
      <c r="J24" s="125"/>
      <c r="K24" s="87"/>
      <c r="L24" s="64"/>
      <c r="M24" s="87"/>
      <c r="N24" s="63"/>
      <c r="O24" s="56"/>
      <c r="P24" s="56"/>
      <c r="Q24" s="63"/>
      <c r="R24" s="56"/>
      <c r="S24" s="63"/>
      <c r="T24" s="56"/>
      <c r="U24" s="64"/>
      <c r="V24" s="64"/>
      <c r="AA24" s="87"/>
      <c r="AB24" s="64"/>
      <c r="AC24" s="87"/>
      <c r="AD24" s="63"/>
      <c r="AE24" s="56"/>
      <c r="AF24" s="56"/>
      <c r="AG24" s="63"/>
      <c r="AH24" s="56"/>
      <c r="AI24" s="63"/>
      <c r="AJ24" s="56"/>
      <c r="AK24" s="64"/>
      <c r="AL24" s="64"/>
    </row>
    <row r="25" spans="1:38" ht="15.75" customHeight="1">
      <c r="A25" s="133" t="s">
        <v>100</v>
      </c>
      <c r="B25" s="157"/>
      <c r="C25" s="8">
        <v>10</v>
      </c>
      <c r="D25" s="111" t="s">
        <v>0</v>
      </c>
      <c r="E25" s="153"/>
      <c r="F25" s="153"/>
      <c r="G25" s="153"/>
      <c r="H25" s="153"/>
      <c r="I25" s="148"/>
      <c r="J25" s="125"/>
      <c r="K25" s="87"/>
      <c r="L25" s="64"/>
      <c r="M25" s="87"/>
      <c r="N25" s="63"/>
      <c r="O25" s="56"/>
      <c r="P25" s="56"/>
      <c r="Q25" s="63"/>
      <c r="R25" s="56"/>
      <c r="S25" s="63"/>
      <c r="T25" s="56"/>
      <c r="U25" s="64"/>
      <c r="V25" s="64"/>
      <c r="AA25" s="87"/>
      <c r="AB25" s="64"/>
      <c r="AC25" s="87"/>
      <c r="AD25" s="63"/>
      <c r="AE25" s="56"/>
      <c r="AF25" s="56"/>
      <c r="AG25" s="63"/>
      <c r="AH25" s="56"/>
      <c r="AI25" s="63"/>
      <c r="AJ25" s="56"/>
      <c r="AK25" s="64"/>
      <c r="AL25" s="64"/>
    </row>
    <row r="26" spans="1:38" ht="15.75" customHeight="1">
      <c r="A26" s="133"/>
      <c r="B26" s="119"/>
      <c r="C26" s="128"/>
      <c r="D26" s="111"/>
      <c r="E26" s="153"/>
      <c r="F26" s="153"/>
      <c r="G26" s="153"/>
      <c r="H26" s="153"/>
      <c r="I26" s="148"/>
      <c r="J26" s="125"/>
      <c r="K26" s="63"/>
      <c r="L26" s="64"/>
      <c r="M26" s="63"/>
      <c r="N26" s="63"/>
      <c r="O26" s="56"/>
      <c r="P26" s="56"/>
      <c r="Q26" s="63"/>
      <c r="R26" s="56"/>
      <c r="S26" s="63"/>
      <c r="T26" s="56"/>
      <c r="U26" s="64"/>
      <c r="V26" s="64"/>
      <c r="AA26" s="87"/>
      <c r="AB26" s="64"/>
      <c r="AC26" s="87"/>
      <c r="AD26" s="63"/>
      <c r="AE26" s="56"/>
      <c r="AF26" s="56"/>
      <c r="AG26" s="63"/>
      <c r="AH26" s="56"/>
      <c r="AI26" s="63"/>
      <c r="AJ26" s="56"/>
      <c r="AK26" s="64"/>
      <c r="AL26" s="64"/>
    </row>
    <row r="27" spans="1:38" ht="15.75" customHeight="1">
      <c r="A27" s="130" t="s">
        <v>102</v>
      </c>
      <c r="B27" s="119"/>
      <c r="C27" s="128"/>
      <c r="D27" s="111"/>
      <c r="E27" s="153"/>
      <c r="F27" s="153"/>
      <c r="G27" s="153"/>
      <c r="H27" s="153"/>
      <c r="I27" s="148"/>
      <c r="J27" s="125"/>
      <c r="K27" s="87"/>
      <c r="L27" s="64"/>
      <c r="M27" s="87"/>
      <c r="N27" s="63"/>
      <c r="O27" s="56"/>
      <c r="P27" s="56"/>
      <c r="Q27" s="63"/>
      <c r="R27" s="56"/>
      <c r="S27" s="63"/>
      <c r="T27" s="56"/>
      <c r="U27" s="64"/>
      <c r="V27" s="64"/>
      <c r="AA27" s="63"/>
      <c r="AB27" s="64"/>
      <c r="AC27" s="63"/>
      <c r="AD27" s="63"/>
      <c r="AE27" s="56"/>
      <c r="AF27" s="56"/>
      <c r="AG27" s="63"/>
      <c r="AH27" s="56"/>
      <c r="AI27" s="63"/>
      <c r="AJ27" s="56"/>
      <c r="AK27" s="64"/>
      <c r="AL27" s="64"/>
    </row>
    <row r="28" spans="1:38" ht="15.75" customHeight="1">
      <c r="A28" s="130" t="s">
        <v>25</v>
      </c>
      <c r="B28" s="119"/>
      <c r="C28" s="111"/>
      <c r="D28" s="111"/>
      <c r="E28" s="153"/>
      <c r="F28" s="153"/>
      <c r="G28" s="153"/>
      <c r="H28" s="153"/>
      <c r="I28" s="148"/>
      <c r="J28" s="125"/>
      <c r="K28" s="63"/>
      <c r="L28" s="64"/>
      <c r="M28" s="63"/>
      <c r="N28" s="63"/>
      <c r="O28" s="56"/>
      <c r="P28" s="56"/>
      <c r="Q28" s="63"/>
      <c r="R28" s="56"/>
      <c r="S28" s="63"/>
      <c r="T28" s="56"/>
      <c r="U28" s="64"/>
      <c r="V28" s="64"/>
      <c r="AA28" s="87"/>
      <c r="AB28" s="64"/>
      <c r="AC28" s="87"/>
      <c r="AD28" s="63"/>
      <c r="AE28" s="56"/>
      <c r="AF28" s="56"/>
      <c r="AG28" s="63"/>
      <c r="AH28" s="56"/>
      <c r="AI28" s="63"/>
      <c r="AJ28" s="56"/>
      <c r="AK28" s="64"/>
      <c r="AL28" s="64"/>
    </row>
    <row r="29" spans="5:38" ht="15.75" customHeight="1">
      <c r="E29" s="159"/>
      <c r="F29" s="159"/>
      <c r="G29" s="159"/>
      <c r="H29" s="159"/>
      <c r="I29" s="148"/>
      <c r="J29" s="125"/>
      <c r="K29" s="63"/>
      <c r="L29" s="64"/>
      <c r="M29" s="63"/>
      <c r="N29" s="63"/>
      <c r="O29" s="56"/>
      <c r="P29" s="56"/>
      <c r="Q29" s="63"/>
      <c r="R29" s="56"/>
      <c r="S29" s="63"/>
      <c r="T29" s="56"/>
      <c r="U29" s="64"/>
      <c r="V29" s="64"/>
      <c r="AA29" s="63"/>
      <c r="AB29" s="64"/>
      <c r="AC29" s="63"/>
      <c r="AD29" s="63"/>
      <c r="AE29" s="56"/>
      <c r="AF29" s="56"/>
      <c r="AG29" s="63"/>
      <c r="AH29" s="56"/>
      <c r="AI29" s="63"/>
      <c r="AJ29" s="56"/>
      <c r="AK29" s="64"/>
      <c r="AL29" s="64"/>
    </row>
    <row r="30" spans="1:38" ht="15.75" customHeight="1">
      <c r="A30" s="126" t="s">
        <v>8</v>
      </c>
      <c r="B30" s="127" t="s">
        <v>1</v>
      </c>
      <c r="C30" s="160">
        <f>((C16*C17*(C17/2+C18+C21)+C18*C19*(C18/2+C21)+C20*C21*(C21/2))/(C16*C17+C18*C19+C20*C21))/10</f>
        <v>11.8</v>
      </c>
      <c r="D30" s="110" t="s">
        <v>7</v>
      </c>
      <c r="E30" s="111"/>
      <c r="F30" s="111"/>
      <c r="G30" s="111"/>
      <c r="H30" s="111"/>
      <c r="I30" s="148"/>
      <c r="J30" s="125"/>
      <c r="K30" s="63"/>
      <c r="L30" s="64"/>
      <c r="M30" s="63"/>
      <c r="N30" s="63"/>
      <c r="O30" s="56"/>
      <c r="P30" s="56"/>
      <c r="Q30" s="63"/>
      <c r="R30" s="56"/>
      <c r="S30" s="63"/>
      <c r="T30" s="56"/>
      <c r="U30" s="64"/>
      <c r="V30" s="64"/>
      <c r="AA30" s="63"/>
      <c r="AB30" s="64"/>
      <c r="AC30" s="63"/>
      <c r="AD30" s="63"/>
      <c r="AE30" s="56"/>
      <c r="AF30" s="56"/>
      <c r="AG30" s="63"/>
      <c r="AH30" s="56"/>
      <c r="AI30" s="63"/>
      <c r="AJ30" s="56"/>
      <c r="AK30" s="64"/>
      <c r="AL30" s="64"/>
    </row>
    <row r="31" spans="1:38" ht="15.75" customHeight="1">
      <c r="A31" s="126" t="s">
        <v>9</v>
      </c>
      <c r="B31" s="127" t="s">
        <v>1</v>
      </c>
      <c r="C31" s="119">
        <f>(C16*C17+C18*C19+C20*C21)/100</f>
        <v>102</v>
      </c>
      <c r="D31" s="111" t="s">
        <v>13</v>
      </c>
      <c r="E31" s="111"/>
      <c r="F31" s="111"/>
      <c r="G31" s="111"/>
      <c r="H31" s="111"/>
      <c r="I31" s="148"/>
      <c r="J31" s="125"/>
      <c r="K31" s="63"/>
      <c r="L31" s="64"/>
      <c r="M31" s="63"/>
      <c r="N31" s="63"/>
      <c r="O31" s="56"/>
      <c r="P31" s="56"/>
      <c r="Q31" s="63"/>
      <c r="R31" s="56"/>
      <c r="S31" s="63"/>
      <c r="T31" s="56"/>
      <c r="U31" s="64"/>
      <c r="V31" s="64"/>
      <c r="AA31" s="63"/>
      <c r="AB31" s="64"/>
      <c r="AC31" s="63"/>
      <c r="AD31" s="63"/>
      <c r="AE31" s="56"/>
      <c r="AF31" s="56"/>
      <c r="AG31" s="63"/>
      <c r="AH31" s="56"/>
      <c r="AI31" s="63"/>
      <c r="AJ31" s="56"/>
      <c r="AK31" s="64"/>
      <c r="AL31" s="64"/>
    </row>
    <row r="32" spans="1:38" ht="15.75" customHeight="1">
      <c r="A32" s="126" t="s">
        <v>32</v>
      </c>
      <c r="B32" s="127" t="s">
        <v>1</v>
      </c>
      <c r="C32" s="119">
        <f>(((C16*C17^3)/12+C16*C17*(C30*10-(C17/2+C18+C21))^2)+((C19*C18^3)/12+C18*C19*(C30*10-(C18/2+C21))^2)+((C20*C21^3)/12+C20*C21*(C30*10-(C21/2))^2))/10000</f>
        <v>11117.2</v>
      </c>
      <c r="D32" s="111" t="s">
        <v>16</v>
      </c>
      <c r="E32" s="153"/>
      <c r="F32" s="153"/>
      <c r="G32" s="153"/>
      <c r="H32" s="153"/>
      <c r="I32" s="148"/>
      <c r="J32" s="125"/>
      <c r="K32" s="87"/>
      <c r="L32" s="64"/>
      <c r="M32" s="87"/>
      <c r="N32" s="63"/>
      <c r="O32" s="56"/>
      <c r="P32" s="56"/>
      <c r="Q32" s="63"/>
      <c r="R32" s="56"/>
      <c r="S32" s="63"/>
      <c r="T32" s="56"/>
      <c r="U32" s="64"/>
      <c r="V32" s="64"/>
      <c r="AA32" s="63"/>
      <c r="AB32" s="64"/>
      <c r="AC32" s="63"/>
      <c r="AD32" s="63"/>
      <c r="AE32" s="56"/>
      <c r="AF32" s="56"/>
      <c r="AG32" s="63"/>
      <c r="AH32" s="56"/>
      <c r="AI32" s="63"/>
      <c r="AJ32" s="56"/>
      <c r="AK32" s="64"/>
      <c r="AL32" s="64"/>
    </row>
    <row r="33" spans="1:38" ht="15.75" customHeight="1">
      <c r="A33" s="126" t="s">
        <v>198</v>
      </c>
      <c r="B33" s="127" t="s">
        <v>1</v>
      </c>
      <c r="C33" s="119">
        <f>((C17*C16^3)/12+(C18*C19^3)/12+(C21*C20^3)/12)/10000</f>
        <v>4687.86</v>
      </c>
      <c r="D33" s="111" t="s">
        <v>16</v>
      </c>
      <c r="E33" s="153"/>
      <c r="F33" s="153"/>
      <c r="G33" s="153"/>
      <c r="H33" s="153"/>
      <c r="I33" s="148"/>
      <c r="J33" s="161"/>
      <c r="K33" s="87"/>
      <c r="L33" s="64"/>
      <c r="M33" s="87"/>
      <c r="N33" s="63"/>
      <c r="O33" s="56"/>
      <c r="P33" s="56"/>
      <c r="Q33" s="63"/>
      <c r="R33" s="56"/>
      <c r="S33" s="63"/>
      <c r="T33" s="56"/>
      <c r="U33" s="64"/>
      <c r="V33" s="64"/>
      <c r="AA33" s="63"/>
      <c r="AB33" s="64"/>
      <c r="AC33" s="63"/>
      <c r="AD33" s="63"/>
      <c r="AE33" s="56"/>
      <c r="AF33" s="56"/>
      <c r="AG33" s="63"/>
      <c r="AH33" s="56"/>
      <c r="AI33" s="63"/>
      <c r="AJ33" s="56"/>
      <c r="AK33" s="64"/>
      <c r="AL33" s="64"/>
    </row>
    <row r="34" spans="1:38" ht="15.75" customHeight="1">
      <c r="A34" s="126" t="s">
        <v>191</v>
      </c>
      <c r="B34" s="127" t="s">
        <v>1</v>
      </c>
      <c r="C34" s="160">
        <f>C32/((C18+C17+C21)/10-C30)</f>
        <v>942.1355932203389</v>
      </c>
      <c r="D34" s="111" t="s">
        <v>14</v>
      </c>
      <c r="E34" s="153"/>
      <c r="F34" s="153"/>
      <c r="G34" s="153"/>
      <c r="H34" s="153"/>
      <c r="I34" s="148"/>
      <c r="J34" s="161"/>
      <c r="K34" s="87"/>
      <c r="L34" s="64"/>
      <c r="M34" s="87"/>
      <c r="N34" s="63"/>
      <c r="O34" s="56"/>
      <c r="P34" s="56"/>
      <c r="Q34" s="63"/>
      <c r="R34" s="56"/>
      <c r="S34" s="63"/>
      <c r="T34" s="56"/>
      <c r="U34" s="64"/>
      <c r="V34" s="64"/>
      <c r="AA34" s="87"/>
      <c r="AB34" s="64"/>
      <c r="AC34" s="87"/>
      <c r="AD34" s="63"/>
      <c r="AE34" s="56"/>
      <c r="AF34" s="56"/>
      <c r="AG34" s="63"/>
      <c r="AH34" s="56"/>
      <c r="AI34" s="63"/>
      <c r="AJ34" s="56"/>
      <c r="AK34" s="64"/>
      <c r="AL34" s="64"/>
    </row>
    <row r="35" spans="1:38" ht="15.75" customHeight="1">
      <c r="A35" s="126" t="s">
        <v>192</v>
      </c>
      <c r="B35" s="127" t="s">
        <v>1</v>
      </c>
      <c r="C35" s="119">
        <f>C32/C30</f>
        <v>942.1355932203389</v>
      </c>
      <c r="D35" s="111" t="s">
        <v>14</v>
      </c>
      <c r="E35" s="153"/>
      <c r="F35" s="153"/>
      <c r="G35" s="153"/>
      <c r="H35" s="153"/>
      <c r="I35" s="148"/>
      <c r="J35" s="161"/>
      <c r="K35" s="65"/>
      <c r="L35" s="54"/>
      <c r="M35" s="54"/>
      <c r="N35" s="149"/>
      <c r="O35" s="149"/>
      <c r="P35" s="149"/>
      <c r="Q35" s="149"/>
      <c r="R35" s="149"/>
      <c r="S35" s="149"/>
      <c r="T35" s="149"/>
      <c r="U35" s="149"/>
      <c r="AA35" s="87"/>
      <c r="AB35" s="64"/>
      <c r="AC35" s="87"/>
      <c r="AD35" s="63"/>
      <c r="AE35" s="56"/>
      <c r="AF35" s="56"/>
      <c r="AG35" s="63"/>
      <c r="AH35" s="56"/>
      <c r="AI35" s="63"/>
      <c r="AJ35" s="56"/>
      <c r="AK35" s="64"/>
      <c r="AL35" s="64"/>
    </row>
    <row r="36" spans="1:38" ht="15.75" customHeight="1">
      <c r="A36" s="126" t="s">
        <v>197</v>
      </c>
      <c r="B36" s="127" t="s">
        <v>1</v>
      </c>
      <c r="C36" s="119">
        <f>C33/MAX(C16/20,C20/20)</f>
        <v>375.0288</v>
      </c>
      <c r="D36" s="111" t="s">
        <v>14</v>
      </c>
      <c r="E36" s="153"/>
      <c r="F36" s="153"/>
      <c r="G36" s="153"/>
      <c r="H36" s="153"/>
      <c r="I36" s="148"/>
      <c r="J36" s="161"/>
      <c r="K36" s="65"/>
      <c r="L36" s="54"/>
      <c r="M36" s="54"/>
      <c r="N36" s="149"/>
      <c r="O36" s="149"/>
      <c r="P36" s="149"/>
      <c r="Q36" s="149"/>
      <c r="R36" s="149"/>
      <c r="S36" s="149"/>
      <c r="T36" s="149"/>
      <c r="U36" s="149"/>
      <c r="AA36" s="87"/>
      <c r="AB36" s="64"/>
      <c r="AC36" s="87"/>
      <c r="AD36" s="63"/>
      <c r="AE36" s="56"/>
      <c r="AF36" s="56"/>
      <c r="AG36" s="63"/>
      <c r="AH36" s="56"/>
      <c r="AI36" s="63"/>
      <c r="AJ36" s="56"/>
      <c r="AK36" s="64"/>
      <c r="AL36" s="64"/>
    </row>
    <row r="37" spans="1:38" ht="15.75" customHeight="1">
      <c r="A37" s="130" t="s">
        <v>35</v>
      </c>
      <c r="B37" s="105"/>
      <c r="C37" s="105"/>
      <c r="D37" s="111"/>
      <c r="E37" s="153"/>
      <c r="F37" s="153"/>
      <c r="G37" s="153"/>
      <c r="H37" s="153"/>
      <c r="I37" s="148"/>
      <c r="J37" s="162"/>
      <c r="K37" s="65"/>
      <c r="L37" s="163"/>
      <c r="M37" s="163"/>
      <c r="N37" s="164"/>
      <c r="R37" s="149"/>
      <c r="S37" s="149"/>
      <c r="T37" s="149"/>
      <c r="U37" s="14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</row>
    <row r="38" spans="1:39" ht="15.75" customHeight="1">
      <c r="A38" s="165" t="s">
        <v>29</v>
      </c>
      <c r="B38" s="166" t="s">
        <v>1</v>
      </c>
      <c r="C38" s="166">
        <f>C18/C19</f>
        <v>33.333333333333336</v>
      </c>
      <c r="D38" s="102" t="s">
        <v>45</v>
      </c>
      <c r="E38" s="167" t="str">
        <f>IF(OR(C38&lt;(127/(H7)^0.5),C38=(127/(H7)^0.5)),"Compact",IF(AND(C38&gt;(127/(H7)^0.5),OR(C38&lt;(190/(H7)^0.5),C38&lt;(190/(H7)^0.5))),"Non compact","Slender"))</f>
        <v>Compact</v>
      </c>
      <c r="F38" s="104"/>
      <c r="G38" s="104"/>
      <c r="H38" s="104"/>
      <c r="I38" s="72"/>
      <c r="J38" s="121" t="s">
        <v>59</v>
      </c>
      <c r="K38" s="65"/>
      <c r="L38" s="163"/>
      <c r="M38" s="163"/>
      <c r="N38" s="164"/>
      <c r="O38" s="164"/>
      <c r="P38" s="164"/>
      <c r="Q38" s="164"/>
      <c r="R38" s="149"/>
      <c r="S38" s="149"/>
      <c r="T38" s="149"/>
      <c r="U38" s="149"/>
      <c r="AA38" s="54"/>
      <c r="AB38" s="59"/>
      <c r="AC38" s="60"/>
      <c r="AD38" s="61"/>
      <c r="AE38" s="62"/>
      <c r="AF38" s="56"/>
      <c r="AG38" s="63"/>
      <c r="AH38" s="56"/>
      <c r="AI38" s="63"/>
      <c r="AJ38" s="56"/>
      <c r="AK38" s="64"/>
      <c r="AL38" s="64"/>
      <c r="AM38" s="56"/>
    </row>
    <row r="39" spans="1:39" ht="15.75" customHeight="1">
      <c r="A39" s="165" t="s">
        <v>30</v>
      </c>
      <c r="B39" s="166" t="s">
        <v>1</v>
      </c>
      <c r="C39" s="166">
        <f>MAX(M22:M23)</f>
        <v>6.777777777777778</v>
      </c>
      <c r="D39" s="102" t="s">
        <v>46</v>
      </c>
      <c r="E39" s="167" t="str">
        <f>IF(OR(C39&lt;(15.3/(H7)^0.5),C39=(15.3/(H7)^0.5)),"Compact",IF(AND(C39&gt;(15.3/(H7)^0.5),OR(C39&lt;(21/(H7)^0.5),C39=(21/(H7)^0.5))),"Non compact","Slender"))</f>
        <v>Compact</v>
      </c>
      <c r="F39" s="104"/>
      <c r="G39" s="104"/>
      <c r="H39" s="104"/>
      <c r="I39" s="72"/>
      <c r="J39" s="121" t="s">
        <v>60</v>
      </c>
      <c r="K39" s="65"/>
      <c r="L39" s="163"/>
      <c r="M39" s="163"/>
      <c r="N39" s="164"/>
      <c r="O39" s="164"/>
      <c r="P39" s="164"/>
      <c r="Q39" s="164"/>
      <c r="R39" s="149"/>
      <c r="S39" s="149"/>
      <c r="T39" s="149"/>
      <c r="U39" s="149"/>
      <c r="AA39" s="54"/>
      <c r="AB39" s="59"/>
      <c r="AC39" s="60"/>
      <c r="AD39" s="61"/>
      <c r="AE39" s="62"/>
      <c r="AF39" s="56"/>
      <c r="AG39" s="63"/>
      <c r="AH39" s="56"/>
      <c r="AI39" s="63"/>
      <c r="AJ39" s="56"/>
      <c r="AK39" s="64"/>
      <c r="AL39" s="64"/>
      <c r="AM39" s="56"/>
    </row>
    <row r="40" spans="1:39" ht="15.75" customHeight="1">
      <c r="A40" s="168" t="s">
        <v>28</v>
      </c>
      <c r="B40" s="169" t="str">
        <f>IF(AND(E38="Compact",E39="Compact"),"Compact",IF(AND(E38&lt;&gt;"Slender",E39&lt;&gt;"Slender",OR(E38="Non compact",E39="Non compact")),"Non compact","Slender"))</f>
        <v>Compact</v>
      </c>
      <c r="C40" s="103"/>
      <c r="D40" s="111"/>
      <c r="E40" s="104"/>
      <c r="F40" s="104"/>
      <c r="G40" s="104"/>
      <c r="H40" s="104"/>
      <c r="I40" s="72"/>
      <c r="J40" s="162"/>
      <c r="K40" s="65"/>
      <c r="L40" s="73"/>
      <c r="M40" s="73"/>
      <c r="O40" s="164"/>
      <c r="P40" s="164"/>
      <c r="Q40" s="164"/>
      <c r="R40" s="149"/>
      <c r="S40" s="149"/>
      <c r="T40" s="149"/>
      <c r="U40" s="149"/>
      <c r="AA40" s="54"/>
      <c r="AB40" s="59"/>
      <c r="AC40" s="60"/>
      <c r="AD40" s="61"/>
      <c r="AE40" s="62"/>
      <c r="AF40" s="56"/>
      <c r="AG40" s="63"/>
      <c r="AH40" s="56"/>
      <c r="AI40" s="63"/>
      <c r="AJ40" s="56"/>
      <c r="AK40" s="64"/>
      <c r="AL40" s="64"/>
      <c r="AM40" s="56"/>
    </row>
    <row r="41" spans="1:39" ht="15.75" customHeight="1">
      <c r="A41" s="130"/>
      <c r="B41" s="119"/>
      <c r="C41" s="111"/>
      <c r="D41" s="111"/>
      <c r="E41" s="111"/>
      <c r="F41" s="111"/>
      <c r="G41" s="111"/>
      <c r="H41" s="111"/>
      <c r="I41" s="111"/>
      <c r="J41" s="125"/>
      <c r="K41" s="54"/>
      <c r="L41" s="54"/>
      <c r="M41" s="54"/>
      <c r="N41" s="149"/>
      <c r="O41" s="149"/>
      <c r="P41" s="149"/>
      <c r="Q41" s="149"/>
      <c r="R41" s="149"/>
      <c r="S41" s="149"/>
      <c r="T41" s="149"/>
      <c r="U41" s="149"/>
      <c r="AA41" s="54"/>
      <c r="AB41" s="59"/>
      <c r="AC41" s="60"/>
      <c r="AD41" s="61"/>
      <c r="AE41" s="62"/>
      <c r="AF41" s="56"/>
      <c r="AG41" s="63"/>
      <c r="AH41" s="56"/>
      <c r="AI41" s="63"/>
      <c r="AJ41" s="56"/>
      <c r="AK41" s="64"/>
      <c r="AL41" s="64"/>
      <c r="AM41" s="56"/>
    </row>
    <row r="42" spans="1:39" ht="15.75" customHeight="1">
      <c r="A42" s="130" t="s">
        <v>42</v>
      </c>
      <c r="B42" s="119"/>
      <c r="C42" s="110"/>
      <c r="D42" s="110"/>
      <c r="E42" s="110"/>
      <c r="F42" s="111"/>
      <c r="G42" s="111"/>
      <c r="H42" s="111"/>
      <c r="I42" s="111"/>
      <c r="J42" s="125"/>
      <c r="K42" s="65"/>
      <c r="L42" s="54"/>
      <c r="M42" s="54"/>
      <c r="N42" s="149"/>
      <c r="O42" s="149"/>
      <c r="P42" s="149"/>
      <c r="Q42" s="149"/>
      <c r="R42" s="149"/>
      <c r="S42" s="149"/>
      <c r="T42" s="149"/>
      <c r="U42" s="149"/>
      <c r="AA42" s="54"/>
      <c r="AB42" s="59"/>
      <c r="AC42" s="60"/>
      <c r="AD42" s="61"/>
      <c r="AE42" s="62"/>
      <c r="AF42" s="56"/>
      <c r="AG42" s="63"/>
      <c r="AH42" s="56"/>
      <c r="AI42" s="63"/>
      <c r="AJ42" s="56"/>
      <c r="AK42" s="64"/>
      <c r="AL42" s="64"/>
      <c r="AM42" s="56"/>
    </row>
    <row r="43" spans="1:39" ht="15.75" customHeight="1">
      <c r="A43" s="126" t="s">
        <v>17</v>
      </c>
      <c r="B43" s="127" t="s">
        <v>1</v>
      </c>
      <c r="C43" s="11">
        <v>1.3</v>
      </c>
      <c r="D43" s="111"/>
      <c r="E43" s="111"/>
      <c r="F43" s="170"/>
      <c r="G43" s="170"/>
      <c r="H43" s="170"/>
      <c r="I43" s="129"/>
      <c r="J43" s="121" t="s">
        <v>61</v>
      </c>
      <c r="K43" s="65"/>
      <c r="L43" s="54"/>
      <c r="M43" s="54"/>
      <c r="N43" s="149"/>
      <c r="O43" s="149"/>
      <c r="P43" s="149"/>
      <c r="Q43" s="149"/>
      <c r="R43" s="149"/>
      <c r="S43" s="149"/>
      <c r="T43" s="149"/>
      <c r="U43" s="149"/>
      <c r="AA43" s="54"/>
      <c r="AB43" s="59"/>
      <c r="AC43" s="60"/>
      <c r="AD43" s="61"/>
      <c r="AE43" s="62"/>
      <c r="AF43" s="56"/>
      <c r="AG43" s="63"/>
      <c r="AH43" s="56"/>
      <c r="AI43" s="63"/>
      <c r="AJ43" s="56"/>
      <c r="AK43" s="64"/>
      <c r="AL43" s="64"/>
      <c r="AM43" s="56"/>
    </row>
    <row r="44" spans="1:39" ht="15.75" customHeight="1">
      <c r="A44" s="230" t="s">
        <v>12</v>
      </c>
      <c r="B44" s="231" t="s">
        <v>1</v>
      </c>
      <c r="C44" s="111" t="s">
        <v>26</v>
      </c>
      <c r="D44" s="111"/>
      <c r="E44" s="170"/>
      <c r="F44" s="112">
        <f>IF(G16="Bflu",(20*(C16/1000))/(H7^0.5),(20*(C20/1000))/(H7^0.5))</f>
        <v>3.227486121839514</v>
      </c>
      <c r="G44" s="111" t="s">
        <v>0</v>
      </c>
      <c r="H44" s="232">
        <f>MIN(F44,F45)</f>
        <v>3.227486121839514</v>
      </c>
      <c r="I44" s="232" t="s">
        <v>0</v>
      </c>
      <c r="J44" s="171" t="s">
        <v>62</v>
      </c>
      <c r="K44" s="65"/>
      <c r="L44" s="54"/>
      <c r="M44" s="54"/>
      <c r="N44" s="149"/>
      <c r="O44" s="149"/>
      <c r="P44" s="149"/>
      <c r="Q44" s="149"/>
      <c r="R44" s="149"/>
      <c r="S44" s="149"/>
      <c r="T44" s="149"/>
      <c r="U44" s="149"/>
      <c r="AA44" s="54"/>
      <c r="AB44" s="59"/>
      <c r="AC44" s="60"/>
      <c r="AD44" s="61"/>
      <c r="AE44" s="62"/>
      <c r="AF44" s="56"/>
      <c r="AG44" s="63"/>
      <c r="AH44" s="56"/>
      <c r="AI44" s="63"/>
      <c r="AJ44" s="56"/>
      <c r="AK44" s="64"/>
      <c r="AL44" s="64"/>
      <c r="AM44" s="56"/>
    </row>
    <row r="45" spans="1:39" ht="15.75" customHeight="1">
      <c r="A45" s="230"/>
      <c r="B45" s="231"/>
      <c r="C45" s="111" t="s">
        <v>27</v>
      </c>
      <c r="D45" s="111"/>
      <c r="E45" s="111"/>
      <c r="F45" s="119">
        <f>IF(G16="bFLU",(1380*(C16*C17/100)/(H7*C18/10)*C43)/100,(1380*(C20*C21/100)/(H7*C18/10)*C43)/100)</f>
        <v>16.81875</v>
      </c>
      <c r="G45" s="111" t="s">
        <v>0</v>
      </c>
      <c r="H45" s="232"/>
      <c r="I45" s="232"/>
      <c r="J45" s="171" t="s">
        <v>63</v>
      </c>
      <c r="K45" s="65"/>
      <c r="L45" s="69" t="s">
        <v>37</v>
      </c>
      <c r="M45" s="69" t="s">
        <v>1</v>
      </c>
      <c r="N45" s="172">
        <f>IF(G16="bFLU",IF(C25=0,0.58*H7,MIN((800*C16*C17*C43)/(1000*C18*C25),0.58*H7)),IF(C25=0,0.58*H7,MIN((800*C20*C21*C43)/(1000*C18*C25),0.58*H7)))</f>
        <v>1.392</v>
      </c>
      <c r="O45" s="54" t="s">
        <v>15</v>
      </c>
      <c r="P45" s="173" t="s">
        <v>38</v>
      </c>
      <c r="Q45" s="173" t="s">
        <v>1</v>
      </c>
      <c r="R45" s="149">
        <f>IF(G16="bFLU",((C17*C16^3/12)+(C18*C19^3/36))/10000,((C20*C21^3/12)+(C18*C19^3/36))/10000)</f>
        <v>2343.87</v>
      </c>
      <c r="S45" s="54" t="s">
        <v>16</v>
      </c>
      <c r="T45" s="149"/>
      <c r="U45" s="149"/>
      <c r="AA45" s="54"/>
      <c r="AB45" s="59"/>
      <c r="AC45" s="60"/>
      <c r="AD45" s="61"/>
      <c r="AE45" s="62"/>
      <c r="AF45" s="56"/>
      <c r="AG45" s="63"/>
      <c r="AH45" s="56"/>
      <c r="AI45" s="63"/>
      <c r="AJ45" s="56"/>
      <c r="AK45" s="64"/>
      <c r="AL45" s="64"/>
      <c r="AM45" s="56"/>
    </row>
    <row r="46" spans="1:39" ht="15.75" customHeight="1">
      <c r="A46" s="126"/>
      <c r="B46" s="111" t="s">
        <v>36</v>
      </c>
      <c r="C46" s="111"/>
      <c r="D46" s="111"/>
      <c r="E46" s="111"/>
      <c r="F46" s="174" t="str">
        <f>IF(AND(H44&gt;C25),"There is no LTB","There is LTB")</f>
        <v>There is LTB</v>
      </c>
      <c r="G46" s="175"/>
      <c r="H46" s="110"/>
      <c r="I46" s="110"/>
      <c r="J46" s="125"/>
      <c r="K46" s="65"/>
      <c r="L46" s="69" t="s">
        <v>19</v>
      </c>
      <c r="M46" s="69" t="s">
        <v>1</v>
      </c>
      <c r="N46" s="173">
        <f>IF(G16="bFLU",(C16*C17+C18*C19/6)/100,(C20*C21+C18*C19/6)/100)</f>
        <v>47</v>
      </c>
      <c r="O46" s="54" t="s">
        <v>13</v>
      </c>
      <c r="P46" s="173" t="s">
        <v>18</v>
      </c>
      <c r="Q46" s="173" t="s">
        <v>1</v>
      </c>
      <c r="R46" s="149">
        <f>(R45/N46)^0.5</f>
        <v>7.0618393119700125</v>
      </c>
      <c r="S46" s="54" t="s">
        <v>7</v>
      </c>
      <c r="T46" s="149"/>
      <c r="U46" s="149"/>
      <c r="AA46" s="65"/>
      <c r="AB46" s="59"/>
      <c r="AC46" s="60"/>
      <c r="AD46" s="61"/>
      <c r="AE46" s="62"/>
      <c r="AF46" s="56"/>
      <c r="AG46" s="63"/>
      <c r="AH46" s="56"/>
      <c r="AI46" s="63"/>
      <c r="AJ46" s="56"/>
      <c r="AK46" s="64"/>
      <c r="AL46" s="64"/>
      <c r="AM46" s="56"/>
    </row>
    <row r="47" spans="1:39" ht="15.75" customHeight="1">
      <c r="A47" s="126" t="s">
        <v>31</v>
      </c>
      <c r="B47" s="112" t="s">
        <v>1</v>
      </c>
      <c r="C47" s="112">
        <f>IF(F46="There is LTB",N52,N53)</f>
        <v>1.392</v>
      </c>
      <c r="D47" s="111" t="s">
        <v>15</v>
      </c>
      <c r="E47" s="111"/>
      <c r="F47" s="244"/>
      <c r="G47" s="244"/>
      <c r="H47" s="177"/>
      <c r="I47" s="177"/>
      <c r="J47" s="178"/>
      <c r="K47" s="65"/>
      <c r="L47" s="69" t="s">
        <v>21</v>
      </c>
      <c r="M47" s="69" t="s">
        <v>1</v>
      </c>
      <c r="N47" s="173">
        <f>C25*100/R46</f>
        <v>141.6061674335994</v>
      </c>
      <c r="O47" s="149"/>
      <c r="P47" s="173">
        <f>84*(C43/H7)^0.5</f>
        <v>61.822326064294934</v>
      </c>
      <c r="Q47" s="173">
        <f>188*(C43/H7)^0.5</f>
        <v>138.3642535724696</v>
      </c>
      <c r="R47" s="149"/>
      <c r="S47" s="54"/>
      <c r="T47" s="149"/>
      <c r="U47" s="149"/>
      <c r="AA47" s="65"/>
      <c r="AB47" s="59"/>
      <c r="AC47" s="60"/>
      <c r="AD47" s="61"/>
      <c r="AE47" s="62"/>
      <c r="AF47" s="56"/>
      <c r="AG47" s="63"/>
      <c r="AH47" s="56"/>
      <c r="AI47" s="63"/>
      <c r="AJ47" s="56"/>
      <c r="AK47" s="64"/>
      <c r="AL47" s="64"/>
      <c r="AM47" s="56"/>
    </row>
    <row r="48" spans="1:39" ht="15.75" customHeight="1">
      <c r="A48" s="126" t="s">
        <v>201</v>
      </c>
      <c r="B48" s="112" t="s">
        <v>1</v>
      </c>
      <c r="C48" s="112">
        <f>IF(C30=((C18+C17+C21)/20),0.72*H7,0.58*H7)</f>
        <v>1.728</v>
      </c>
      <c r="D48" s="111" t="s">
        <v>15</v>
      </c>
      <c r="E48" s="111"/>
      <c r="F48" s="179"/>
      <c r="G48" s="175"/>
      <c r="H48" s="110"/>
      <c r="I48" s="110"/>
      <c r="J48" s="125"/>
      <c r="K48" s="65"/>
      <c r="L48" s="69" t="s">
        <v>20</v>
      </c>
      <c r="M48" s="69" t="s">
        <v>1</v>
      </c>
      <c r="N48" s="173">
        <f>0.58*H7</f>
        <v>1.392</v>
      </c>
      <c r="O48" s="54" t="s">
        <v>15</v>
      </c>
      <c r="P48" s="173"/>
      <c r="Q48" s="173"/>
      <c r="R48" s="149"/>
      <c r="S48" s="54"/>
      <c r="T48" s="149"/>
      <c r="U48" s="149"/>
      <c r="AA48" s="54"/>
      <c r="AB48" s="59"/>
      <c r="AC48" s="60"/>
      <c r="AD48" s="61"/>
      <c r="AE48" s="62"/>
      <c r="AF48" s="56"/>
      <c r="AG48" s="63"/>
      <c r="AH48" s="56"/>
      <c r="AI48" s="63"/>
      <c r="AJ48" s="56"/>
      <c r="AK48" s="64"/>
      <c r="AL48" s="64"/>
      <c r="AM48" s="56"/>
    </row>
    <row r="49" spans="1:39" ht="15.75" customHeight="1">
      <c r="A49" s="72" t="s">
        <v>202</v>
      </c>
      <c r="B49" s="119"/>
      <c r="C49" s="119">
        <f>(C10*100/MIN(C34:C35)/C47)+(C11*100/C36)/C48</f>
        <v>0.9222418177551337</v>
      </c>
      <c r="D49" s="111" t="s">
        <v>15</v>
      </c>
      <c r="E49" s="127" t="str">
        <f>IF(C49&lt;C48,"&lt;","&gt;")</f>
        <v>&lt;</v>
      </c>
      <c r="F49" s="160">
        <f>IF(E10="a",1,1.2)</f>
        <v>1</v>
      </c>
      <c r="G49" s="176" t="str">
        <f>IF(AND(C49&lt;C48),"SAFE","Unsafe")</f>
        <v>SAFE</v>
      </c>
      <c r="H49" s="111"/>
      <c r="I49" s="111"/>
      <c r="J49" s="125"/>
      <c r="K49" s="65"/>
      <c r="L49" s="69" t="s">
        <v>22</v>
      </c>
      <c r="M49" s="69" t="s">
        <v>1</v>
      </c>
      <c r="N49" s="173">
        <f>IF(ABS(P49)&gt;0.58*H7,0.58*H7,ABS(P49))</f>
        <v>0.7804970804935916</v>
      </c>
      <c r="O49" s="54" t="s">
        <v>15</v>
      </c>
      <c r="P49" s="173">
        <f>(0.64-((N47^2*H7)/(1.176*10^5*C43)))*H7</f>
        <v>0.7804970804935916</v>
      </c>
      <c r="Q49" s="173"/>
      <c r="R49" s="180"/>
      <c r="S49" s="54"/>
      <c r="T49" s="149"/>
      <c r="U49" s="149"/>
      <c r="AA49" s="54"/>
      <c r="AB49" s="59"/>
      <c r="AC49" s="60"/>
      <c r="AD49" s="61"/>
      <c r="AE49" s="62"/>
      <c r="AF49" s="56"/>
      <c r="AG49" s="63"/>
      <c r="AH49" s="56"/>
      <c r="AI49" s="63"/>
      <c r="AJ49" s="56"/>
      <c r="AK49" s="64"/>
      <c r="AL49" s="64"/>
      <c r="AM49" s="56"/>
    </row>
    <row r="50" spans="1:39" ht="15.75" customHeight="1">
      <c r="A50" s="126"/>
      <c r="B50" s="119"/>
      <c r="C50" s="119"/>
      <c r="D50" s="111"/>
      <c r="E50" s="111"/>
      <c r="F50" s="111"/>
      <c r="G50" s="111"/>
      <c r="H50" s="111"/>
      <c r="I50" s="119"/>
      <c r="J50" s="125"/>
      <c r="K50" s="65"/>
      <c r="L50" s="69" t="s">
        <v>23</v>
      </c>
      <c r="M50" s="69" t="s">
        <v>1</v>
      </c>
      <c r="N50" s="173">
        <f>IF(P50&gt;0.58*H7,0.58*H7,P50)</f>
        <v>0.7779653617021275</v>
      </c>
      <c r="O50" s="54" t="s">
        <v>15</v>
      </c>
      <c r="P50" s="173">
        <f>IF(N47=0,0.58*H7,(12000*C43)/N47^2)</f>
        <v>0.7779653617021275</v>
      </c>
      <c r="Q50" s="173"/>
      <c r="R50" s="149"/>
      <c r="S50" s="149"/>
      <c r="T50" s="149"/>
      <c r="U50" s="149"/>
      <c r="AA50" s="54"/>
      <c r="AB50" s="59"/>
      <c r="AC50" s="60"/>
      <c r="AD50" s="61"/>
      <c r="AE50" s="62"/>
      <c r="AF50" s="56"/>
      <c r="AG50" s="63"/>
      <c r="AH50" s="56"/>
      <c r="AI50" s="63"/>
      <c r="AJ50" s="56"/>
      <c r="AK50" s="64"/>
      <c r="AL50" s="64"/>
      <c r="AM50" s="56"/>
    </row>
    <row r="51" spans="1:39" ht="15.75" customHeight="1">
      <c r="A51" s="130" t="s">
        <v>43</v>
      </c>
      <c r="B51" s="119"/>
      <c r="C51" s="111"/>
      <c r="D51" s="111"/>
      <c r="E51" s="112"/>
      <c r="F51" s="119"/>
      <c r="G51" s="111"/>
      <c r="H51" s="111"/>
      <c r="I51" s="111"/>
      <c r="J51" s="125"/>
      <c r="K51" s="65"/>
      <c r="L51" s="69" t="s">
        <v>39</v>
      </c>
      <c r="M51" s="69" t="s">
        <v>1</v>
      </c>
      <c r="N51" s="173">
        <f>IF(N47&lt;P47,N48,IF(AND(N47&gt;P47,N47&lt;Q47),N49,N50))</f>
        <v>0.7779653617021275</v>
      </c>
      <c r="O51" s="54" t="s">
        <v>15</v>
      </c>
      <c r="P51" s="69" t="s">
        <v>40</v>
      </c>
      <c r="Q51" s="69" t="s">
        <v>1</v>
      </c>
      <c r="R51" s="173">
        <f>(N45^2+N51^2)^0.5</f>
        <v>1.594645447743266</v>
      </c>
      <c r="S51" s="54" t="s">
        <v>15</v>
      </c>
      <c r="T51" s="149"/>
      <c r="U51" s="149"/>
      <c r="AA51" s="54"/>
      <c r="AB51" s="59"/>
      <c r="AC51" s="60"/>
      <c r="AD51" s="61"/>
      <c r="AE51" s="62"/>
      <c r="AF51" s="56"/>
      <c r="AG51" s="63"/>
      <c r="AH51" s="56"/>
      <c r="AI51" s="63"/>
      <c r="AJ51" s="56"/>
      <c r="AK51" s="64"/>
      <c r="AL51" s="64"/>
      <c r="AM51" s="56"/>
    </row>
    <row r="52" spans="1:38" ht="15.75" customHeight="1">
      <c r="A52" s="126" t="s">
        <v>44</v>
      </c>
      <c r="B52" s="119" t="s">
        <v>1</v>
      </c>
      <c r="C52" s="119">
        <f>C12*100/(C18*C19)</f>
        <v>0.20833333333333334</v>
      </c>
      <c r="D52" s="111" t="s">
        <v>15</v>
      </c>
      <c r="E52" s="119" t="str">
        <f>IF(C52&gt;F52,"&gt;","&lt;")</f>
        <v>&lt;</v>
      </c>
      <c r="F52" s="181">
        <f>0.35*H7</f>
        <v>0.84</v>
      </c>
      <c r="G52" s="176" t="str">
        <f>IF(AND(C52&lt;F52),"SAFE","Unsafe")</f>
        <v>SAFE</v>
      </c>
      <c r="H52" s="111"/>
      <c r="I52" s="111"/>
      <c r="J52" s="171" t="s">
        <v>65</v>
      </c>
      <c r="K52" s="65"/>
      <c r="L52" s="69" t="s">
        <v>24</v>
      </c>
      <c r="M52" s="69" t="s">
        <v>1</v>
      </c>
      <c r="N52" s="173">
        <f>IF(R51&gt;0.58*H7,0.58*H7,R51)</f>
        <v>1.392</v>
      </c>
      <c r="O52" s="54" t="s">
        <v>15</v>
      </c>
      <c r="P52" s="54"/>
      <c r="Q52" s="149"/>
      <c r="R52" s="149"/>
      <c r="S52" s="149"/>
      <c r="T52" s="149"/>
      <c r="U52" s="149"/>
      <c r="AA52" s="54"/>
      <c r="AB52" s="59"/>
      <c r="AC52" s="60"/>
      <c r="AD52" s="61"/>
      <c r="AE52" s="62"/>
      <c r="AF52" s="56"/>
      <c r="AG52" s="63"/>
      <c r="AH52" s="56"/>
      <c r="AI52" s="63"/>
      <c r="AJ52" s="56"/>
      <c r="AK52" s="64"/>
      <c r="AL52" s="64"/>
    </row>
    <row r="53" spans="1:38" ht="15.75" customHeight="1">
      <c r="A53" s="109"/>
      <c r="B53" s="111"/>
      <c r="C53" s="182"/>
      <c r="D53" s="112"/>
      <c r="E53" s="119"/>
      <c r="F53" s="111"/>
      <c r="G53" s="183"/>
      <c r="H53" s="110"/>
      <c r="I53" s="110"/>
      <c r="J53" s="121"/>
      <c r="K53" s="184"/>
      <c r="L53" s="69" t="s">
        <v>41</v>
      </c>
      <c r="M53" s="69" t="s">
        <v>1</v>
      </c>
      <c r="N53" s="69">
        <f>IF(B40="Compact",0.64*H7,0.58*H7)</f>
        <v>1.536</v>
      </c>
      <c r="O53" s="54" t="s">
        <v>15</v>
      </c>
      <c r="P53" s="69"/>
      <c r="Q53" s="69"/>
      <c r="R53" s="69"/>
      <c r="S53" s="54"/>
      <c r="T53" s="149"/>
      <c r="U53" s="149"/>
      <c r="AA53" s="54"/>
      <c r="AB53" s="59"/>
      <c r="AC53" s="60"/>
      <c r="AD53" s="61"/>
      <c r="AE53" s="62"/>
      <c r="AF53" s="56"/>
      <c r="AG53" s="63"/>
      <c r="AH53" s="56"/>
      <c r="AI53" s="63"/>
      <c r="AJ53" s="56"/>
      <c r="AK53" s="64"/>
      <c r="AL53" s="64"/>
    </row>
    <row r="54" spans="1:38" ht="15.75" customHeight="1">
      <c r="A54" s="130" t="s">
        <v>103</v>
      </c>
      <c r="B54" s="119"/>
      <c r="C54" s="119"/>
      <c r="D54" s="111"/>
      <c r="E54" s="111"/>
      <c r="F54" s="111"/>
      <c r="G54" s="111"/>
      <c r="H54" s="111"/>
      <c r="I54" s="111"/>
      <c r="J54" s="125"/>
      <c r="K54" s="65"/>
      <c r="L54" s="185"/>
      <c r="M54" s="185"/>
      <c r="N54" s="185"/>
      <c r="O54" s="185"/>
      <c r="P54" s="185"/>
      <c r="Q54" s="185"/>
      <c r="R54" s="185"/>
      <c r="S54" s="149"/>
      <c r="T54" s="149"/>
      <c r="U54" s="149"/>
      <c r="AA54" s="54"/>
      <c r="AB54" s="59"/>
      <c r="AC54" s="60"/>
      <c r="AD54" s="61"/>
      <c r="AE54" s="62"/>
      <c r="AF54" s="56"/>
      <c r="AG54" s="63"/>
      <c r="AH54" s="56"/>
      <c r="AI54" s="63"/>
      <c r="AJ54" s="56"/>
      <c r="AK54" s="64"/>
      <c r="AL54" s="64"/>
    </row>
    <row r="55" spans="1:38" ht="15.75" customHeight="1">
      <c r="A55" s="126" t="s">
        <v>104</v>
      </c>
      <c r="B55" s="119" t="s">
        <v>1</v>
      </c>
      <c r="C55" s="11">
        <v>1.5</v>
      </c>
      <c r="D55" s="111" t="s">
        <v>105</v>
      </c>
      <c r="E55" s="105"/>
      <c r="F55" s="105"/>
      <c r="G55" s="105"/>
      <c r="H55" s="111"/>
      <c r="I55" s="111"/>
      <c r="J55" s="125"/>
      <c r="K55" s="65"/>
      <c r="L55" s="54" t="s">
        <v>107</v>
      </c>
      <c r="M55" s="54"/>
      <c r="N55" s="54"/>
      <c r="O55" s="54"/>
      <c r="P55" s="54"/>
      <c r="Q55" s="54"/>
      <c r="R55" s="54"/>
      <c r="S55" s="149"/>
      <c r="T55" s="149"/>
      <c r="U55" s="149"/>
      <c r="AA55" s="54"/>
      <c r="AB55" s="59"/>
      <c r="AC55" s="60"/>
      <c r="AD55" s="61"/>
      <c r="AE55" s="62"/>
      <c r="AF55" s="56"/>
      <c r="AG55" s="63"/>
      <c r="AH55" s="56"/>
      <c r="AI55" s="63"/>
      <c r="AJ55" s="56"/>
      <c r="AK55" s="64"/>
      <c r="AL55" s="64"/>
    </row>
    <row r="56" spans="1:38" ht="15.75" customHeight="1">
      <c r="A56" s="126" t="s">
        <v>106</v>
      </c>
      <c r="B56" s="119" t="s">
        <v>1</v>
      </c>
      <c r="C56" s="11" t="s">
        <v>107</v>
      </c>
      <c r="D56" s="170"/>
      <c r="E56" s="111"/>
      <c r="F56" s="111"/>
      <c r="G56" s="111"/>
      <c r="H56" s="111"/>
      <c r="I56" s="111"/>
      <c r="J56" s="125"/>
      <c r="K56" s="184"/>
      <c r="L56" s="186" t="s">
        <v>108</v>
      </c>
      <c r="M56" s="69"/>
      <c r="N56" s="69"/>
      <c r="O56" s="69"/>
      <c r="P56" s="69"/>
      <c r="Q56" s="69"/>
      <c r="R56" s="69"/>
      <c r="S56" s="149"/>
      <c r="T56" s="149"/>
      <c r="U56" s="149"/>
      <c r="AA56" s="65"/>
      <c r="AB56" s="59"/>
      <c r="AC56" s="60"/>
      <c r="AD56" s="61"/>
      <c r="AE56" s="62"/>
      <c r="AF56" s="56"/>
      <c r="AG56" s="63"/>
      <c r="AH56" s="56"/>
      <c r="AI56" s="63"/>
      <c r="AJ56" s="56"/>
      <c r="AK56" s="64"/>
      <c r="AL56" s="64"/>
    </row>
    <row r="57" spans="1:38" ht="15.75" customHeight="1">
      <c r="A57" s="126" t="s">
        <v>109</v>
      </c>
      <c r="B57" s="119" t="s">
        <v>1</v>
      </c>
      <c r="C57" s="112">
        <f>IF(C56="simple",(5*C55*(C24*100)^4)/(384*100*2100*C32),(5*C55*(C24*100)^4)/(384*100*2100*C32)*0.8)</f>
        <v>0.013385521876868619</v>
      </c>
      <c r="D57" s="111" t="s">
        <v>7</v>
      </c>
      <c r="E57" s="127" t="str">
        <f>IF(C57&lt;F57,"&lt;","&gt;")</f>
        <v>&lt;</v>
      </c>
      <c r="F57" s="119">
        <f>C24/3</f>
        <v>0.6666666666666666</v>
      </c>
      <c r="G57" s="176" t="str">
        <f>IF(AND(C57&lt;F57),"SAFE","Unsafe")</f>
        <v>SAFE</v>
      </c>
      <c r="H57" s="187"/>
      <c r="I57" s="187"/>
      <c r="J57" s="171" t="s">
        <v>110</v>
      </c>
      <c r="K57" s="65"/>
      <c r="L57" s="69"/>
      <c r="M57" s="69"/>
      <c r="N57" s="69"/>
      <c r="O57" s="69"/>
      <c r="P57" s="69"/>
      <c r="Q57" s="69"/>
      <c r="R57" s="69"/>
      <c r="S57" s="149"/>
      <c r="T57" s="149"/>
      <c r="U57" s="149"/>
      <c r="AA57" s="65"/>
      <c r="AB57" s="59"/>
      <c r="AC57" s="60"/>
      <c r="AD57" s="61"/>
      <c r="AE57" s="62"/>
      <c r="AF57" s="56"/>
      <c r="AG57" s="63"/>
      <c r="AH57" s="56"/>
      <c r="AI57" s="63"/>
      <c r="AJ57" s="56"/>
      <c r="AK57" s="64"/>
      <c r="AL57" s="64"/>
    </row>
    <row r="58" spans="1:38" ht="15.75" customHeight="1" thickBot="1">
      <c r="A58" s="188"/>
      <c r="B58" s="189"/>
      <c r="C58" s="189"/>
      <c r="D58" s="189"/>
      <c r="E58" s="190"/>
      <c r="F58" s="191"/>
      <c r="G58" s="192"/>
      <c r="H58" s="193"/>
      <c r="I58" s="194"/>
      <c r="J58" s="195" t="s">
        <v>111</v>
      </c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AA58" s="65"/>
      <c r="AB58" s="59"/>
      <c r="AC58" s="60"/>
      <c r="AD58" s="61"/>
      <c r="AE58" s="62"/>
      <c r="AF58" s="56"/>
      <c r="AG58" s="63"/>
      <c r="AH58" s="56"/>
      <c r="AI58" s="63"/>
      <c r="AJ58" s="56"/>
      <c r="AK58" s="64"/>
      <c r="AL58" s="64"/>
    </row>
    <row r="59" spans="1:38" ht="15.75" customHeight="1">
      <c r="A59" s="196"/>
      <c r="B59" s="196"/>
      <c r="C59" s="196"/>
      <c r="D59" s="196"/>
      <c r="E59" s="197"/>
      <c r="F59" s="198"/>
      <c r="G59" s="199"/>
      <c r="H59" s="200"/>
      <c r="I59" s="201"/>
      <c r="J59" s="201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AA59" s="65"/>
      <c r="AB59" s="59"/>
      <c r="AC59" s="60"/>
      <c r="AD59" s="61"/>
      <c r="AE59" s="62"/>
      <c r="AF59" s="56"/>
      <c r="AG59" s="63"/>
      <c r="AH59" s="56"/>
      <c r="AI59" s="63"/>
      <c r="AJ59" s="56"/>
      <c r="AK59" s="64"/>
      <c r="AL59" s="64"/>
    </row>
    <row r="60" spans="1:38" ht="15.75" customHeight="1">
      <c r="A60" s="202"/>
      <c r="B60" s="64"/>
      <c r="C60" s="54"/>
      <c r="D60" s="54"/>
      <c r="E60" s="69"/>
      <c r="F60" s="64"/>
      <c r="G60" s="54"/>
      <c r="H60" s="54"/>
      <c r="I60" s="54"/>
      <c r="J60" s="54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AA60" s="65"/>
      <c r="AB60" s="59"/>
      <c r="AC60" s="60"/>
      <c r="AD60" s="61"/>
      <c r="AE60" s="62"/>
      <c r="AF60" s="56"/>
      <c r="AG60" s="63"/>
      <c r="AH60" s="56"/>
      <c r="AI60" s="63"/>
      <c r="AJ60" s="56"/>
      <c r="AK60" s="64"/>
      <c r="AL60" s="64"/>
    </row>
    <row r="61" spans="1:38" ht="15.75" customHeight="1">
      <c r="A61" s="69"/>
      <c r="B61" s="64"/>
      <c r="C61" s="64"/>
      <c r="D61" s="54"/>
      <c r="E61" s="64"/>
      <c r="F61" s="163"/>
      <c r="G61" s="203"/>
      <c r="H61" s="54"/>
      <c r="I61" s="54"/>
      <c r="J61" s="6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AA61" s="65"/>
      <c r="AB61" s="59"/>
      <c r="AC61" s="60"/>
      <c r="AD61" s="61"/>
      <c r="AE61" s="62"/>
      <c r="AF61" s="56"/>
      <c r="AG61" s="63"/>
      <c r="AH61" s="56"/>
      <c r="AI61" s="63"/>
      <c r="AJ61" s="56"/>
      <c r="AK61" s="64"/>
      <c r="AL61" s="64"/>
    </row>
    <row r="62" spans="1:38" ht="15.75" customHeight="1">
      <c r="A62" s="69"/>
      <c r="B62" s="64"/>
      <c r="C62" s="64"/>
      <c r="D62" s="54"/>
      <c r="E62" s="69"/>
      <c r="F62" s="64"/>
      <c r="G62" s="54"/>
      <c r="H62" s="54"/>
      <c r="I62" s="54"/>
      <c r="J62" s="54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</row>
    <row r="63" spans="1:38" ht="15.75" customHeight="1">
      <c r="A63" s="202"/>
      <c r="B63" s="64"/>
      <c r="C63" s="54"/>
      <c r="D63" s="54"/>
      <c r="E63" s="54"/>
      <c r="F63" s="54"/>
      <c r="G63" s="54"/>
      <c r="H63" s="54"/>
      <c r="I63" s="54"/>
      <c r="J63" s="54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AA63" s="54"/>
      <c r="AB63" s="66"/>
      <c r="AC63" s="63"/>
      <c r="AD63" s="73"/>
      <c r="AE63" s="73"/>
      <c r="AF63" s="73"/>
      <c r="AG63" s="73"/>
      <c r="AH63" s="73"/>
      <c r="AI63" s="73"/>
      <c r="AJ63" s="73"/>
      <c r="AK63" s="67"/>
      <c r="AL63" s="67"/>
    </row>
    <row r="64" spans="1:38" ht="15.75" customHeight="1">
      <c r="A64" s="205"/>
      <c r="B64" s="64"/>
      <c r="C64" s="54"/>
      <c r="D64" s="54"/>
      <c r="E64" s="54"/>
      <c r="F64" s="54"/>
      <c r="G64" s="54"/>
      <c r="H64" s="54"/>
      <c r="I64" s="54"/>
      <c r="J64" s="54"/>
      <c r="K64" s="149"/>
      <c r="L64" s="149"/>
      <c r="M64" s="149"/>
      <c r="N64" s="149"/>
      <c r="Q64" s="149"/>
      <c r="R64" s="149"/>
      <c r="S64" s="149"/>
      <c r="T64" s="149"/>
      <c r="U64" s="149"/>
      <c r="AA64" s="54"/>
      <c r="AB64" s="66"/>
      <c r="AC64" s="63"/>
      <c r="AD64" s="73"/>
      <c r="AE64" s="73"/>
      <c r="AF64" s="73"/>
      <c r="AG64" s="73"/>
      <c r="AH64" s="73"/>
      <c r="AI64" s="73"/>
      <c r="AJ64" s="73"/>
      <c r="AK64" s="67"/>
      <c r="AL64" s="67"/>
    </row>
    <row r="65" spans="1:38" ht="15.75" customHeight="1">
      <c r="A65" s="69"/>
      <c r="B65" s="69"/>
      <c r="C65" s="64"/>
      <c r="D65" s="54"/>
      <c r="E65" s="54"/>
      <c r="F65" s="54"/>
      <c r="G65" s="54"/>
      <c r="H65" s="54"/>
      <c r="I65" s="54"/>
      <c r="J65" s="54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AA65" s="54"/>
      <c r="AB65" s="66"/>
      <c r="AC65" s="63"/>
      <c r="AD65" s="73"/>
      <c r="AE65" s="73"/>
      <c r="AF65" s="73"/>
      <c r="AG65" s="73"/>
      <c r="AH65" s="73"/>
      <c r="AI65" s="73"/>
      <c r="AJ65" s="73"/>
      <c r="AK65" s="67"/>
      <c r="AL65" s="67"/>
    </row>
    <row r="66" spans="1:38" ht="15.75" customHeight="1">
      <c r="A66" s="69"/>
      <c r="B66" s="69"/>
      <c r="C66" s="64"/>
      <c r="D66" s="54"/>
      <c r="E66" s="54"/>
      <c r="F66" s="54"/>
      <c r="G66" s="54"/>
      <c r="H66" s="54"/>
      <c r="I66" s="54"/>
      <c r="J66" s="54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AA66" s="54"/>
      <c r="AB66" s="66"/>
      <c r="AC66" s="63"/>
      <c r="AD66" s="73"/>
      <c r="AE66" s="73"/>
      <c r="AF66" s="73"/>
      <c r="AG66" s="73"/>
      <c r="AH66" s="73"/>
      <c r="AI66" s="73"/>
      <c r="AJ66" s="73"/>
      <c r="AK66" s="67"/>
      <c r="AL66" s="67"/>
    </row>
    <row r="67" spans="1:38" ht="15.75" customHeight="1">
      <c r="A67" s="69"/>
      <c r="B67" s="69"/>
      <c r="C67" s="64"/>
      <c r="D67" s="54"/>
      <c r="E67" s="54"/>
      <c r="F67" s="54"/>
      <c r="G67" s="54"/>
      <c r="H67" s="54"/>
      <c r="I67" s="54"/>
      <c r="J67" s="54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AA67" s="54"/>
      <c r="AB67" s="66"/>
      <c r="AC67" s="63"/>
      <c r="AD67" s="73"/>
      <c r="AE67" s="73"/>
      <c r="AF67" s="73"/>
      <c r="AG67" s="73"/>
      <c r="AH67" s="73"/>
      <c r="AI67" s="73"/>
      <c r="AJ67" s="73"/>
      <c r="AK67" s="67"/>
      <c r="AL67" s="67"/>
    </row>
    <row r="68" spans="1:38" ht="15.75" customHeight="1">
      <c r="A68" s="69"/>
      <c r="B68" s="69"/>
      <c r="C68" s="64"/>
      <c r="D68" s="54"/>
      <c r="E68" s="54"/>
      <c r="F68" s="54"/>
      <c r="G68" s="54"/>
      <c r="H68" s="54"/>
      <c r="I68" s="54"/>
      <c r="J68" s="54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AA68" s="54"/>
      <c r="AB68" s="66"/>
      <c r="AC68" s="63"/>
      <c r="AD68" s="73"/>
      <c r="AE68" s="73"/>
      <c r="AF68" s="73"/>
      <c r="AG68" s="73"/>
      <c r="AH68" s="73"/>
      <c r="AI68" s="73"/>
      <c r="AJ68" s="73"/>
      <c r="AK68" s="67"/>
      <c r="AL68" s="67"/>
    </row>
    <row r="69" spans="1:38" ht="15.75" customHeight="1">
      <c r="A69" s="69"/>
      <c r="B69" s="69"/>
      <c r="C69" s="64"/>
      <c r="D69" s="54"/>
      <c r="E69" s="54"/>
      <c r="F69" s="54"/>
      <c r="G69" s="54"/>
      <c r="H69" s="54"/>
      <c r="I69" s="54"/>
      <c r="J69" s="54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AA69" s="54"/>
      <c r="AB69" s="66"/>
      <c r="AC69" s="63"/>
      <c r="AD69" s="73"/>
      <c r="AE69" s="73"/>
      <c r="AF69" s="73"/>
      <c r="AG69" s="73"/>
      <c r="AH69" s="73"/>
      <c r="AI69" s="73"/>
      <c r="AJ69" s="73"/>
      <c r="AK69" s="67"/>
      <c r="AL69" s="67"/>
    </row>
    <row r="70" spans="1:38" ht="15.75" customHeight="1">
      <c r="A70" s="69"/>
      <c r="B70" s="69"/>
      <c r="C70" s="64"/>
      <c r="D70" s="54"/>
      <c r="E70" s="54"/>
      <c r="F70" s="54"/>
      <c r="G70" s="54"/>
      <c r="H70" s="54"/>
      <c r="I70" s="54"/>
      <c r="J70" s="54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AA70" s="54"/>
      <c r="AB70" s="66"/>
      <c r="AC70" s="63"/>
      <c r="AD70" s="73"/>
      <c r="AE70" s="73"/>
      <c r="AF70" s="73"/>
      <c r="AG70" s="73"/>
      <c r="AH70" s="73"/>
      <c r="AI70" s="73"/>
      <c r="AJ70" s="73"/>
      <c r="AK70" s="67"/>
      <c r="AL70" s="67"/>
    </row>
    <row r="71" spans="1:38" ht="15.75" customHeight="1">
      <c r="A71" s="69"/>
      <c r="B71" s="69"/>
      <c r="C71" s="64"/>
      <c r="D71" s="54"/>
      <c r="E71" s="54"/>
      <c r="F71" s="54"/>
      <c r="G71" s="54"/>
      <c r="H71" s="54"/>
      <c r="I71" s="54"/>
      <c r="J71" s="54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AA71" s="65"/>
      <c r="AB71" s="66"/>
      <c r="AC71" s="63"/>
      <c r="AD71" s="73"/>
      <c r="AE71" s="73"/>
      <c r="AF71" s="73"/>
      <c r="AG71" s="73"/>
      <c r="AH71" s="73"/>
      <c r="AI71" s="73"/>
      <c r="AJ71" s="73"/>
      <c r="AK71" s="67"/>
      <c r="AL71" s="67"/>
    </row>
    <row r="72" spans="1:38" ht="15.75" customHeight="1">
      <c r="A72" s="69"/>
      <c r="B72" s="69"/>
      <c r="C72" s="64"/>
      <c r="D72" s="54"/>
      <c r="E72" s="54"/>
      <c r="F72" s="54"/>
      <c r="G72" s="54"/>
      <c r="H72" s="54"/>
      <c r="I72" s="54"/>
      <c r="J72" s="54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AA72" s="65"/>
      <c r="AB72" s="66"/>
      <c r="AC72" s="63"/>
      <c r="AD72" s="73"/>
      <c r="AE72" s="73"/>
      <c r="AF72" s="73"/>
      <c r="AG72" s="73"/>
      <c r="AH72" s="73"/>
      <c r="AI72" s="73"/>
      <c r="AJ72" s="73"/>
      <c r="AK72" s="67"/>
      <c r="AL72" s="67"/>
    </row>
    <row r="73" spans="1:38" ht="15.75" customHeight="1">
      <c r="A73" s="54"/>
      <c r="B73" s="69"/>
      <c r="C73" s="206"/>
      <c r="D73" s="54"/>
      <c r="E73" s="69"/>
      <c r="F73" s="207"/>
      <c r="G73" s="54"/>
      <c r="H73" s="54"/>
      <c r="I73" s="54"/>
      <c r="J73" s="54"/>
      <c r="AA73" s="54"/>
      <c r="AB73" s="66"/>
      <c r="AC73" s="63"/>
      <c r="AD73" s="73"/>
      <c r="AE73" s="73"/>
      <c r="AF73" s="73"/>
      <c r="AG73" s="73"/>
      <c r="AH73" s="73"/>
      <c r="AI73" s="73"/>
      <c r="AJ73" s="73"/>
      <c r="AK73" s="67"/>
      <c r="AL73" s="67"/>
    </row>
    <row r="74" spans="1:38" ht="15.75" customHeight="1">
      <c r="A74" s="186"/>
      <c r="B74" s="208"/>
      <c r="C74" s="209"/>
      <c r="D74" s="208"/>
      <c r="E74" s="73"/>
      <c r="F74" s="73"/>
      <c r="G74" s="73"/>
      <c r="H74" s="73"/>
      <c r="I74" s="73"/>
      <c r="J74" s="73"/>
      <c r="AA74" s="54"/>
      <c r="AB74" s="66"/>
      <c r="AC74" s="63"/>
      <c r="AD74" s="73"/>
      <c r="AE74" s="73"/>
      <c r="AF74" s="73"/>
      <c r="AG74" s="73"/>
      <c r="AH74" s="73"/>
      <c r="AI74" s="73"/>
      <c r="AJ74" s="73"/>
      <c r="AK74" s="67"/>
      <c r="AL74" s="67"/>
    </row>
    <row r="75" spans="1:38" ht="15.75" customHeight="1">
      <c r="A75" s="186"/>
      <c r="B75" s="208"/>
      <c r="C75" s="209"/>
      <c r="D75" s="208"/>
      <c r="E75" s="73"/>
      <c r="F75" s="73"/>
      <c r="G75" s="73"/>
      <c r="H75" s="73"/>
      <c r="I75" s="73"/>
      <c r="J75" s="73"/>
      <c r="AA75" s="54"/>
      <c r="AB75" s="66"/>
      <c r="AC75" s="63"/>
      <c r="AD75" s="73"/>
      <c r="AE75" s="73"/>
      <c r="AF75" s="73"/>
      <c r="AG75" s="73"/>
      <c r="AH75" s="73"/>
      <c r="AI75" s="73"/>
      <c r="AJ75" s="73"/>
      <c r="AK75" s="67"/>
      <c r="AL75" s="67"/>
    </row>
    <row r="76" spans="1:38" ht="15.75" customHeight="1">
      <c r="A76" s="202"/>
      <c r="B76" s="208"/>
      <c r="C76" s="209"/>
      <c r="D76" s="208"/>
      <c r="E76" s="73"/>
      <c r="F76" s="73"/>
      <c r="G76" s="73"/>
      <c r="H76" s="73"/>
      <c r="I76" s="73"/>
      <c r="J76" s="73"/>
      <c r="AA76" s="54"/>
      <c r="AB76" s="66"/>
      <c r="AC76" s="63"/>
      <c r="AD76" s="73"/>
      <c r="AE76" s="73"/>
      <c r="AF76" s="73"/>
      <c r="AG76" s="73"/>
      <c r="AH76" s="73"/>
      <c r="AI76" s="73"/>
      <c r="AJ76" s="73"/>
      <c r="AK76" s="67"/>
      <c r="AL76" s="67"/>
    </row>
    <row r="77" spans="1:38" ht="15.75" customHeight="1">
      <c r="A77" s="210"/>
      <c r="B77" s="210"/>
      <c r="C77" s="210"/>
      <c r="D77" s="211"/>
      <c r="E77" s="212"/>
      <c r="F77" s="73"/>
      <c r="G77" s="73"/>
      <c r="H77" s="73"/>
      <c r="I77" s="73"/>
      <c r="J77" s="213"/>
      <c r="AA77" s="54"/>
      <c r="AB77" s="66"/>
      <c r="AC77" s="53"/>
      <c r="AD77" s="73"/>
      <c r="AE77" s="73"/>
      <c r="AF77" s="73"/>
      <c r="AG77" s="73"/>
      <c r="AH77" s="73"/>
      <c r="AI77" s="73"/>
      <c r="AJ77" s="73"/>
      <c r="AK77" s="67"/>
      <c r="AL77" s="67"/>
    </row>
    <row r="78" spans="1:38" ht="15.75" customHeight="1">
      <c r="A78" s="210"/>
      <c r="B78" s="210"/>
      <c r="C78" s="210"/>
      <c r="D78" s="211"/>
      <c r="E78" s="212"/>
      <c r="F78" s="73"/>
      <c r="G78" s="73"/>
      <c r="H78" s="73"/>
      <c r="I78" s="73"/>
      <c r="J78" s="213"/>
      <c r="AA78" s="54"/>
      <c r="AB78" s="66"/>
      <c r="AC78" s="53"/>
      <c r="AD78" s="73"/>
      <c r="AE78" s="73"/>
      <c r="AF78" s="73"/>
      <c r="AG78" s="73"/>
      <c r="AH78" s="73"/>
      <c r="AI78" s="73"/>
      <c r="AJ78" s="73"/>
      <c r="AK78" s="67"/>
      <c r="AL78" s="67"/>
    </row>
    <row r="79" spans="1:38" ht="15.75" customHeight="1">
      <c r="A79" s="211"/>
      <c r="B79" s="214"/>
      <c r="C79" s="215"/>
      <c r="D79" s="208"/>
      <c r="E79" s="73"/>
      <c r="F79" s="73"/>
      <c r="G79" s="73"/>
      <c r="H79" s="73"/>
      <c r="I79" s="73"/>
      <c r="J79" s="73"/>
      <c r="AA79" s="54"/>
      <c r="AB79" s="66"/>
      <c r="AC79" s="53"/>
      <c r="AD79" s="73"/>
      <c r="AE79" s="73"/>
      <c r="AF79" s="73"/>
      <c r="AG79" s="73"/>
      <c r="AH79" s="73"/>
      <c r="AI79" s="73"/>
      <c r="AJ79" s="73"/>
      <c r="AK79" s="67"/>
      <c r="AL79" s="67"/>
    </row>
    <row r="80" spans="1:38" ht="15.75" customHeight="1">
      <c r="A80" s="211"/>
      <c r="B80" s="216"/>
      <c r="C80" s="215"/>
      <c r="D80" s="208"/>
      <c r="E80" s="73"/>
      <c r="F80" s="73"/>
      <c r="G80" s="73"/>
      <c r="H80" s="73"/>
      <c r="I80" s="73"/>
      <c r="J80" s="73"/>
      <c r="AA80" s="54"/>
      <c r="AB80" s="66"/>
      <c r="AC80" s="53"/>
      <c r="AD80" s="73"/>
      <c r="AE80" s="73"/>
      <c r="AF80" s="73"/>
      <c r="AG80" s="73"/>
      <c r="AH80" s="73"/>
      <c r="AI80" s="73"/>
      <c r="AJ80" s="73"/>
      <c r="AK80" s="67"/>
      <c r="AL80" s="67"/>
    </row>
    <row r="81" spans="1:38" ht="15.75" customHeight="1">
      <c r="A81" s="202"/>
      <c r="B81" s="216"/>
      <c r="C81" s="215"/>
      <c r="D81" s="208"/>
      <c r="E81" s="73"/>
      <c r="F81" s="73"/>
      <c r="G81" s="73"/>
      <c r="H81" s="73"/>
      <c r="I81" s="73"/>
      <c r="J81" s="73"/>
      <c r="AA81" s="65"/>
      <c r="AB81" s="67"/>
      <c r="AC81" s="53"/>
      <c r="AD81" s="73"/>
      <c r="AE81" s="73"/>
      <c r="AF81" s="73"/>
      <c r="AG81" s="73"/>
      <c r="AH81" s="73"/>
      <c r="AI81" s="73"/>
      <c r="AJ81" s="73"/>
      <c r="AK81" s="67"/>
      <c r="AL81" s="67"/>
    </row>
    <row r="82" spans="1:38" ht="15.75" customHeight="1">
      <c r="A82" s="69"/>
      <c r="B82" s="64"/>
      <c r="C82" s="64"/>
      <c r="D82" s="54"/>
      <c r="E82" s="54"/>
      <c r="F82" s="69"/>
      <c r="G82" s="69"/>
      <c r="H82" s="217"/>
      <c r="I82" s="217"/>
      <c r="J82" s="217"/>
      <c r="AA82" s="65"/>
      <c r="AB82" s="67"/>
      <c r="AC82" s="53"/>
      <c r="AD82" s="73"/>
      <c r="AE82" s="73"/>
      <c r="AF82" s="73"/>
      <c r="AG82" s="73"/>
      <c r="AH82" s="73"/>
      <c r="AI82" s="73"/>
      <c r="AJ82" s="73"/>
      <c r="AK82" s="67"/>
      <c r="AL82" s="67"/>
    </row>
    <row r="83" spans="1:38" ht="15.75" customHeight="1">
      <c r="A83" s="69"/>
      <c r="B83" s="64"/>
      <c r="C83" s="64"/>
      <c r="D83" s="54"/>
      <c r="E83" s="54"/>
      <c r="F83" s="54"/>
      <c r="G83" s="54"/>
      <c r="H83" s="54"/>
      <c r="I83" s="54"/>
      <c r="J83" s="54"/>
      <c r="AA83" s="65"/>
      <c r="AB83" s="67"/>
      <c r="AC83" s="53"/>
      <c r="AD83" s="73"/>
      <c r="AE83" s="73"/>
      <c r="AF83" s="73"/>
      <c r="AG83" s="73"/>
      <c r="AH83" s="73"/>
      <c r="AI83" s="73"/>
      <c r="AJ83" s="73"/>
      <c r="AK83" s="67"/>
      <c r="AL83" s="67"/>
    </row>
    <row r="84" spans="1:38" ht="15.75" customHeight="1">
      <c r="A84" s="243"/>
      <c r="B84" s="231"/>
      <c r="C84" s="54"/>
      <c r="D84" s="54"/>
      <c r="E84" s="73"/>
      <c r="F84" s="69"/>
      <c r="G84" s="54"/>
      <c r="H84" s="243"/>
      <c r="I84" s="243"/>
      <c r="J84" s="69"/>
      <c r="AA84" s="65"/>
      <c r="AB84" s="67"/>
      <c r="AC84" s="53"/>
      <c r="AD84" s="73"/>
      <c r="AE84" s="73"/>
      <c r="AF84" s="73"/>
      <c r="AG84" s="73"/>
      <c r="AH84" s="73"/>
      <c r="AI84" s="73"/>
      <c r="AJ84" s="73"/>
      <c r="AK84" s="67"/>
      <c r="AL84" s="67"/>
    </row>
    <row r="85" spans="1:38" ht="15.75" customHeight="1">
      <c r="A85" s="243"/>
      <c r="B85" s="231"/>
      <c r="C85" s="54"/>
      <c r="D85" s="54"/>
      <c r="E85" s="54"/>
      <c r="F85" s="64"/>
      <c r="G85" s="54"/>
      <c r="H85" s="243"/>
      <c r="I85" s="243"/>
      <c r="J85" s="69"/>
      <c r="L85" s="69"/>
      <c r="M85" s="69"/>
      <c r="N85" s="218"/>
      <c r="O85" s="54"/>
      <c r="P85" s="173"/>
      <c r="Q85" s="173"/>
      <c r="R85" s="149"/>
      <c r="S85" s="54"/>
      <c r="AA85" s="65"/>
      <c r="AB85" s="67"/>
      <c r="AC85" s="53"/>
      <c r="AD85" s="73"/>
      <c r="AE85" s="73"/>
      <c r="AF85" s="73"/>
      <c r="AG85" s="73"/>
      <c r="AH85" s="73"/>
      <c r="AI85" s="73"/>
      <c r="AJ85" s="73"/>
      <c r="AK85" s="67"/>
      <c r="AL85" s="67"/>
    </row>
    <row r="86" spans="1:38" ht="15.75" customHeight="1">
      <c r="A86" s="69"/>
      <c r="B86" s="54"/>
      <c r="C86" s="54"/>
      <c r="D86" s="54"/>
      <c r="E86" s="54"/>
      <c r="F86" s="219"/>
      <c r="G86" s="186"/>
      <c r="H86" s="54"/>
      <c r="I86" s="54"/>
      <c r="J86" s="54"/>
      <c r="L86" s="69"/>
      <c r="M86" s="69"/>
      <c r="N86" s="173"/>
      <c r="O86" s="54"/>
      <c r="P86" s="173"/>
      <c r="Q86" s="173"/>
      <c r="R86" s="149"/>
      <c r="S86" s="54"/>
      <c r="AA86" s="65"/>
      <c r="AB86" s="67"/>
      <c r="AC86" s="53"/>
      <c r="AD86" s="73"/>
      <c r="AE86" s="73"/>
      <c r="AF86" s="73"/>
      <c r="AG86" s="73"/>
      <c r="AH86" s="73"/>
      <c r="AI86" s="73"/>
      <c r="AJ86" s="73"/>
      <c r="AK86" s="67"/>
      <c r="AL86" s="67"/>
    </row>
    <row r="87" spans="1:19" ht="15.75" customHeight="1">
      <c r="A87" s="69"/>
      <c r="B87" s="69"/>
      <c r="C87" s="69"/>
      <c r="D87" s="54"/>
      <c r="E87" s="54"/>
      <c r="F87" s="245"/>
      <c r="G87" s="245"/>
      <c r="H87" s="221"/>
      <c r="I87" s="221"/>
      <c r="J87" s="221"/>
      <c r="L87" s="69"/>
      <c r="M87" s="69"/>
      <c r="N87" s="173"/>
      <c r="O87" s="149"/>
      <c r="P87" s="173"/>
      <c r="Q87" s="173"/>
      <c r="R87" s="149"/>
      <c r="S87" s="54"/>
    </row>
    <row r="88" spans="1:19" ht="15.75" customHeight="1">
      <c r="A88" s="69"/>
      <c r="B88" s="69"/>
      <c r="C88" s="69"/>
      <c r="D88" s="54"/>
      <c r="E88" s="54"/>
      <c r="F88" s="219"/>
      <c r="G88" s="186"/>
      <c r="H88" s="54"/>
      <c r="I88" s="54"/>
      <c r="J88" s="54"/>
      <c r="L88" s="69"/>
      <c r="M88" s="69"/>
      <c r="N88" s="173"/>
      <c r="O88" s="54"/>
      <c r="P88" s="173"/>
      <c r="Q88" s="173"/>
      <c r="R88" s="149"/>
      <c r="S88" s="54"/>
    </row>
    <row r="89" spans="1:19" ht="15.75" customHeight="1">
      <c r="A89" s="69"/>
      <c r="B89" s="64"/>
      <c r="C89" s="64"/>
      <c r="D89" s="54"/>
      <c r="E89" s="54"/>
      <c r="F89" s="54"/>
      <c r="G89" s="222"/>
      <c r="H89" s="54"/>
      <c r="I89" s="54"/>
      <c r="J89" s="54"/>
      <c r="L89" s="69"/>
      <c r="M89" s="69"/>
      <c r="N89" s="173"/>
      <c r="O89" s="54"/>
      <c r="P89" s="173"/>
      <c r="Q89" s="173"/>
      <c r="R89" s="180"/>
      <c r="S89" s="54"/>
    </row>
    <row r="90" spans="1:19" ht="15.75" customHeight="1">
      <c r="A90" s="69"/>
      <c r="B90" s="64"/>
      <c r="C90" s="64"/>
      <c r="D90" s="54"/>
      <c r="E90" s="54"/>
      <c r="F90" s="54"/>
      <c r="G90" s="54"/>
      <c r="H90" s="54"/>
      <c r="I90" s="54"/>
      <c r="J90" s="54"/>
      <c r="L90" s="69"/>
      <c r="M90" s="69"/>
      <c r="N90" s="173"/>
      <c r="O90" s="54"/>
      <c r="P90" s="173"/>
      <c r="Q90" s="173"/>
      <c r="R90" s="149"/>
      <c r="S90" s="149"/>
    </row>
    <row r="91" spans="1:19" ht="15.75" customHeight="1">
      <c r="A91" s="223"/>
      <c r="B91" s="64"/>
      <c r="C91" s="64"/>
      <c r="D91" s="54"/>
      <c r="E91" s="54"/>
      <c r="F91" s="54"/>
      <c r="G91" s="54"/>
      <c r="H91" s="54"/>
      <c r="I91" s="54"/>
      <c r="J91" s="54"/>
      <c r="L91" s="69"/>
      <c r="M91" s="69"/>
      <c r="N91" s="173"/>
      <c r="O91" s="54"/>
      <c r="P91" s="69"/>
      <c r="Q91" s="69"/>
      <c r="R91" s="173"/>
      <c r="S91" s="54"/>
    </row>
    <row r="92" spans="1:19" ht="15.75" customHeight="1">
      <c r="A92" s="223"/>
      <c r="B92" s="64"/>
      <c r="C92" s="64"/>
      <c r="D92" s="54"/>
      <c r="E92" s="54"/>
      <c r="F92" s="54"/>
      <c r="G92" s="54"/>
      <c r="H92" s="54"/>
      <c r="I92" s="54"/>
      <c r="J92" s="54"/>
      <c r="L92" s="69"/>
      <c r="M92" s="69"/>
      <c r="N92" s="173"/>
      <c r="O92" s="54"/>
      <c r="P92" s="54"/>
      <c r="Q92" s="149"/>
      <c r="R92" s="149"/>
      <c r="S92" s="149"/>
    </row>
    <row r="93" spans="1:19" ht="15.75" customHeight="1">
      <c r="A93" s="54"/>
      <c r="B93" s="54"/>
      <c r="C93" s="223"/>
      <c r="D93" s="69"/>
      <c r="E93" s="64"/>
      <c r="F93" s="54"/>
      <c r="G93" s="224"/>
      <c r="H93" s="54"/>
      <c r="I93" s="54"/>
      <c r="J93" s="213"/>
      <c r="L93" s="69"/>
      <c r="M93" s="69"/>
      <c r="N93" s="69"/>
      <c r="O93" s="54"/>
      <c r="P93" s="69"/>
      <c r="Q93" s="69"/>
      <c r="R93" s="69"/>
      <c r="S93" s="54"/>
    </row>
    <row r="94" spans="1:10" ht="15.75" customHeight="1">
      <c r="A94" s="69"/>
      <c r="B94" s="64"/>
      <c r="C94" s="64"/>
      <c r="D94" s="54"/>
      <c r="E94" s="54"/>
      <c r="F94" s="54"/>
      <c r="G94" s="54"/>
      <c r="H94" s="54"/>
      <c r="I94" s="54"/>
      <c r="J94" s="54"/>
    </row>
    <row r="95" spans="1:10" ht="15.75" customHeight="1">
      <c r="A95" s="69"/>
      <c r="B95" s="64"/>
      <c r="C95" s="64"/>
      <c r="D95" s="54"/>
      <c r="E95" s="225"/>
      <c r="F95" s="225"/>
      <c r="G95" s="225"/>
      <c r="H95" s="54"/>
      <c r="I95" s="54"/>
      <c r="J95" s="54"/>
    </row>
    <row r="96" spans="1:19" ht="15.75" customHeight="1">
      <c r="A96" s="69"/>
      <c r="B96" s="64"/>
      <c r="C96" s="64"/>
      <c r="D96" s="54"/>
      <c r="E96" s="54"/>
      <c r="F96" s="54"/>
      <c r="G96" s="54"/>
      <c r="H96" s="54"/>
      <c r="I96" s="54"/>
      <c r="J96" s="54"/>
      <c r="L96" s="69"/>
      <c r="M96" s="69"/>
      <c r="N96" s="218"/>
      <c r="O96" s="54"/>
      <c r="P96" s="173"/>
      <c r="Q96" s="173"/>
      <c r="R96" s="149"/>
      <c r="S96" s="54"/>
    </row>
    <row r="97" spans="1:19" ht="15.75" customHeight="1">
      <c r="A97" s="226"/>
      <c r="B97" s="54"/>
      <c r="C97" s="54"/>
      <c r="D97" s="54"/>
      <c r="E97" s="69"/>
      <c r="F97" s="64"/>
      <c r="G97" s="54"/>
      <c r="H97" s="227"/>
      <c r="I97" s="227"/>
      <c r="J97" s="227"/>
      <c r="L97" s="69"/>
      <c r="M97" s="69"/>
      <c r="N97" s="173"/>
      <c r="O97" s="54"/>
      <c r="P97" s="173"/>
      <c r="Q97" s="173"/>
      <c r="R97" s="149"/>
      <c r="S97" s="54"/>
    </row>
    <row r="98" spans="1:19" ht="15.75" customHeight="1">
      <c r="A98" s="54"/>
      <c r="B98" s="54"/>
      <c r="C98" s="54"/>
      <c r="D98" s="54"/>
      <c r="E98" s="69"/>
      <c r="F98" s="228"/>
      <c r="G98" s="64"/>
      <c r="H98" s="163"/>
      <c r="I98" s="203"/>
      <c r="J98" s="69"/>
      <c r="L98" s="69"/>
      <c r="M98" s="69"/>
      <c r="N98" s="173"/>
      <c r="O98" s="149"/>
      <c r="P98" s="173"/>
      <c r="Q98" s="173"/>
      <c r="R98" s="149"/>
      <c r="S98" s="54"/>
    </row>
    <row r="99" spans="1:19" ht="15.7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L99" s="69"/>
      <c r="M99" s="69"/>
      <c r="N99" s="173"/>
      <c r="O99" s="54"/>
      <c r="P99" s="173"/>
      <c r="Q99" s="173"/>
      <c r="R99" s="149"/>
      <c r="S99" s="54"/>
    </row>
    <row r="100" spans="1:19" ht="15.7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L100" s="69"/>
      <c r="M100" s="69"/>
      <c r="N100" s="173"/>
      <c r="O100" s="54"/>
      <c r="P100" s="173"/>
      <c r="Q100" s="173"/>
      <c r="R100" s="180"/>
      <c r="S100" s="54"/>
    </row>
    <row r="101" spans="1:19" ht="15.7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L101" s="69"/>
      <c r="M101" s="69"/>
      <c r="N101" s="173"/>
      <c r="O101" s="54"/>
      <c r="P101" s="173"/>
      <c r="Q101" s="173"/>
      <c r="R101" s="149"/>
      <c r="S101" s="149"/>
    </row>
    <row r="102" spans="1:19" ht="15.7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L102" s="69"/>
      <c r="M102" s="69"/>
      <c r="N102" s="173"/>
      <c r="O102" s="54"/>
      <c r="P102" s="69"/>
      <c r="Q102" s="69"/>
      <c r="R102" s="173"/>
      <c r="S102" s="54"/>
    </row>
    <row r="103" spans="1:19" ht="15.7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L103" s="69"/>
      <c r="M103" s="69"/>
      <c r="N103" s="173"/>
      <c r="O103" s="54"/>
      <c r="P103" s="54"/>
      <c r="Q103" s="149"/>
      <c r="R103" s="149"/>
      <c r="S103" s="149"/>
    </row>
    <row r="104" spans="1:19" ht="15.7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L104" s="69"/>
      <c r="M104" s="69"/>
      <c r="N104" s="69"/>
      <c r="O104" s="54"/>
      <c r="P104" s="69"/>
      <c r="Q104" s="69"/>
      <c r="R104" s="69"/>
      <c r="S104" s="54"/>
    </row>
    <row r="105" spans="1:10" ht="15.7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1:10" ht="15.7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1:10" ht="15.7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ht="1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1:10" ht="1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 ht="1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0" ht="1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 ht="12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</row>
    <row r="113" spans="1:10" ht="12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</row>
    <row r="114" spans="1:10" ht="12.75">
      <c r="A114" s="73"/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ht="12.75">
      <c r="A115" s="73"/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ht="12.75">
      <c r="A116" s="73"/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73"/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12.75">
      <c r="A118" s="73"/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ht="12.75">
      <c r="A119" s="73"/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ht="12.75">
      <c r="A120" s="73"/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</row>
    <row r="123" spans="1:10" ht="12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 ht="12.75">
      <c r="A124" s="73"/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" ht="12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</row>
    <row r="126" spans="1:10" ht="12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0" ht="12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</row>
    <row r="128" spans="1:10" ht="12.75">
      <c r="A128" s="73"/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ht="12.75">
      <c r="A129" s="73"/>
      <c r="B129" s="73"/>
      <c r="C129" s="73"/>
      <c r="D129" s="73"/>
      <c r="E129" s="73"/>
      <c r="F129" s="73"/>
      <c r="G129" s="73"/>
      <c r="H129" s="73"/>
      <c r="I129" s="73"/>
      <c r="J129" s="73"/>
    </row>
    <row r="130" spans="1:10" ht="12.75">
      <c r="A130" s="73"/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ht="12.75">
      <c r="A131" s="73"/>
      <c r="B131" s="73"/>
      <c r="C131" s="73"/>
      <c r="D131" s="73"/>
      <c r="E131" s="73"/>
      <c r="F131" s="73"/>
      <c r="G131" s="73"/>
      <c r="H131" s="73"/>
      <c r="I131" s="73"/>
      <c r="J131" s="73"/>
    </row>
    <row r="132" spans="1:10" ht="12.75">
      <c r="A132" s="73"/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 ht="12.75">
      <c r="A133" s="73"/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1:10" ht="12.75">
      <c r="A134" s="73"/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ht="12.75">
      <c r="A135" s="73"/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 ht="12.75">
      <c r="A136" s="73"/>
      <c r="B136" s="73"/>
      <c r="C136" s="73"/>
      <c r="D136" s="73"/>
      <c r="E136" s="73"/>
      <c r="F136" s="73"/>
      <c r="G136" s="73"/>
      <c r="H136" s="73"/>
      <c r="I136" s="73"/>
      <c r="J136" s="73"/>
    </row>
  </sheetData>
  <sheetProtection password="D98F" sheet="1" objects="1" scenarios="1"/>
  <mergeCells count="13">
    <mergeCell ref="A44:A45"/>
    <mergeCell ref="B44:B45"/>
    <mergeCell ref="H44:H45"/>
    <mergeCell ref="I44:I45"/>
    <mergeCell ref="D1:G1"/>
    <mergeCell ref="H1:I2"/>
    <mergeCell ref="D2:G2"/>
    <mergeCell ref="H84:H85"/>
    <mergeCell ref="I84:I85"/>
    <mergeCell ref="A84:A85"/>
    <mergeCell ref="B84:B85"/>
    <mergeCell ref="F47:G47"/>
    <mergeCell ref="F87:G87"/>
  </mergeCells>
  <conditionalFormatting sqref="G49 G52 G57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B40 E38:E39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1" operator="equal" stopIfTrue="1">
      <formula>"Slender"</formula>
    </cfRule>
  </conditionalFormatting>
  <dataValidations count="5">
    <dataValidation type="list" allowBlank="1" showInputMessage="1" showErrorMessage="1" sqref="E10">
      <formula1>$K$19:$K$20</formula1>
    </dataValidation>
    <dataValidation type="list" allowBlank="1" showInputMessage="1" showErrorMessage="1" sqref="H87">
      <formula1>$K$23:$K$24</formula1>
    </dataValidation>
    <dataValidation type="list" allowBlank="1" showInputMessage="1" showErrorMessage="1" sqref="C56">
      <formula1>$L$55:$L$56</formula1>
    </dataValidation>
    <dataValidation type="list" allowBlank="1" showInputMessage="1" showErrorMessage="1" sqref="G6">
      <formula1>$M$19:$M$21</formula1>
    </dataValidation>
    <dataValidation type="list" allowBlank="1" showInputMessage="1" showErrorMessage="1" sqref="G16">
      <formula1>$N$22:$N$23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71" r:id="rId2"/>
  <rowBreaks count="1" manualBreakCount="1">
    <brk id="58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2009-02-26T12:55:19Z</cp:lastPrinted>
  <dcterms:created xsi:type="dcterms:W3CDTF">1997-10-17T07:03:38Z</dcterms:created>
  <dcterms:modified xsi:type="dcterms:W3CDTF">2010-07-06T08:39:48Z</dcterms:modified>
  <cp:category/>
  <cp:version/>
  <cp:contentType/>
  <cp:contentStatus/>
</cp:coreProperties>
</file>