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030" windowHeight="7875" activeTab="0"/>
  </bookViews>
  <sheets>
    <sheet name="After Develop (THI. Version)" sheetId="1" r:id="rId1"/>
    <sheet name="After Develop (ENG. Version)" sheetId="2" r:id="rId2"/>
    <sheet name="Before Develop. " sheetId="3" r:id="rId3"/>
  </sheets>
  <definedNames/>
  <calcPr fullCalcOnLoad="1"/>
</workbook>
</file>

<file path=xl/sharedStrings.xml><?xml version="1.0" encoding="utf-8"?>
<sst xmlns="http://schemas.openxmlformats.org/spreadsheetml/2006/main" count="678" uniqueCount="187">
  <si>
    <t>m</t>
  </si>
  <si>
    <t>=</t>
  </si>
  <si>
    <t>Dead Load</t>
  </si>
  <si>
    <t>Finishing Load</t>
  </si>
  <si>
    <t>Live Load</t>
  </si>
  <si>
    <t>Super Imposed</t>
  </si>
  <si>
    <t>cm</t>
  </si>
  <si>
    <t>fc'</t>
  </si>
  <si>
    <t>fy</t>
  </si>
  <si>
    <t>k</t>
  </si>
  <si>
    <t>j</t>
  </si>
  <si>
    <t>fc</t>
  </si>
  <si>
    <t>fs</t>
  </si>
  <si>
    <t>ksc</t>
  </si>
  <si>
    <t>n</t>
  </si>
  <si>
    <t>Ec</t>
  </si>
  <si>
    <t>Es</t>
  </si>
  <si>
    <t>R</t>
  </si>
  <si>
    <t>covering</t>
  </si>
  <si>
    <t>Case</t>
  </si>
  <si>
    <t>M-(cont.)</t>
  </si>
  <si>
    <t>M-(disc.)</t>
  </si>
  <si>
    <t>M+(span)</t>
  </si>
  <si>
    <t>5.Shear Capacity</t>
  </si>
  <si>
    <t>Vc</t>
  </si>
  <si>
    <t>V</t>
  </si>
  <si>
    <t>mm</t>
  </si>
  <si>
    <t>Project :</t>
  </si>
  <si>
    <t>Engineer :</t>
  </si>
  <si>
    <t>Date :</t>
  </si>
  <si>
    <t>5.Flexural Reinforcement</t>
  </si>
  <si>
    <t>kg-m</t>
  </si>
  <si>
    <t>3.Loadind Data</t>
  </si>
  <si>
    <t>4.Parameters</t>
  </si>
  <si>
    <t>Concrete Factor</t>
  </si>
  <si>
    <t>Total Load (w)</t>
  </si>
  <si>
    <t>โมเมนต์</t>
  </si>
  <si>
    <t>ช่วงสั้น</t>
  </si>
  <si>
    <t>ค่าต่าง ๆ ของ m</t>
  </si>
  <si>
    <t>0.5 และต่ำกว่า</t>
  </si>
  <si>
    <t>ช่วงยาวสำหรับ m ทุกค่า</t>
  </si>
  <si>
    <t>กรณีที่ 1  ช่วงพื้นภายใน</t>
  </si>
  <si>
    <t>โมเมนต์บวกที่กึ่งกลางช่วง</t>
  </si>
  <si>
    <t>กรณีที่ 2  ไม่ต่อเนื่องกันด้านเดียว</t>
  </si>
  <si>
    <t>กรณีที่ 3  ไม่ต่อเนื่องกันสองด้าน</t>
  </si>
  <si>
    <t>กรณีที่ 4  ไม่ต่อเนื่องกันสามด้าน</t>
  </si>
  <si>
    <t>โมเมนต์ลบ  -  ที่ด้านซึ่งต่อเนื่องกัน</t>
  </si>
  <si>
    <t xml:space="preserve">                     -  ที่ด้านซึ่งไม่ต่อเนื่องกัน</t>
  </si>
  <si>
    <t>-</t>
  </si>
  <si>
    <t>Slab Number :</t>
  </si>
  <si>
    <t>1.Material Properties</t>
  </si>
  <si>
    <t>Steel Grade</t>
  </si>
  <si>
    <t>2.Slab Data</t>
  </si>
  <si>
    <t>Bar size</t>
  </si>
  <si>
    <t>Total Dead Load</t>
  </si>
  <si>
    <t>Thickness of slab</t>
  </si>
  <si>
    <t>CASE1</t>
  </si>
  <si>
    <t>CASE2</t>
  </si>
  <si>
    <t>CASE3</t>
  </si>
  <si>
    <t>CASE4</t>
  </si>
  <si>
    <t>CASE5</t>
  </si>
  <si>
    <t>กรณีที่ 5 ไม่ต่อเนื่องกันทั้งสี่ด้าน</t>
  </si>
  <si>
    <t>Design Two-way Slabs (Method 2 of A.C.I 318-63)</t>
  </si>
  <si>
    <t>short span "S"</t>
  </si>
  <si>
    <t>long span "L"</t>
  </si>
  <si>
    <t>m = S/L</t>
  </si>
  <si>
    <t>Coefficient Mo.</t>
  </si>
  <si>
    <t xml:space="preserve">M max.  </t>
  </si>
  <si>
    <t>ksc.</t>
  </si>
  <si>
    <t>cm.</t>
  </si>
  <si>
    <t>Requirment effective depth</t>
  </si>
  <si>
    <t>Use depth</t>
  </si>
  <si>
    <t>Short span</t>
  </si>
  <si>
    <t>Long span</t>
  </si>
  <si>
    <t>Actual depth</t>
  </si>
  <si>
    <t>Depth Long</t>
  </si>
  <si>
    <t>Use DB/RB</t>
  </si>
  <si>
    <t>Triall &amp; Error Rebar</t>
  </si>
  <si>
    <t>Req. minimum Thickness</t>
  </si>
  <si>
    <t>There fore Depth short</t>
  </si>
  <si>
    <t>Short</t>
  </si>
  <si>
    <t>Short/Parallel span</t>
  </si>
  <si>
    <t>Long/Parallel span</t>
  </si>
  <si>
    <r>
      <t>As Mid./strip (cm</t>
    </r>
    <r>
      <rPr>
        <vertAlign val="superscript"/>
        <sz val="14"/>
        <color indexed="10"/>
        <rFont val="Angsana New"/>
        <family val="0"/>
      </rPr>
      <t>2</t>
    </r>
    <r>
      <rPr>
        <sz val="14"/>
        <color indexed="10"/>
        <rFont val="Angsana New"/>
        <family val="0"/>
      </rPr>
      <t>)</t>
    </r>
  </si>
  <si>
    <r>
      <t>As Half col /strip (cm</t>
    </r>
    <r>
      <rPr>
        <vertAlign val="superscript"/>
        <sz val="14"/>
        <color indexed="10"/>
        <rFont val="Angsana New"/>
        <family val="0"/>
      </rPr>
      <t>2</t>
    </r>
    <r>
      <rPr>
        <sz val="14"/>
        <color indexed="10"/>
        <rFont val="Angsana New"/>
        <family val="0"/>
      </rPr>
      <t>)</t>
    </r>
  </si>
  <si>
    <t>USE=&gt;RB-9 (Ea.)</t>
  </si>
  <si>
    <t>USE=&gt;DB-10 (Ea.)</t>
  </si>
  <si>
    <t>USE=&gt;RB,DB-12 (Ea.)</t>
  </si>
  <si>
    <t>USE=&gt;RB-15 (Ea.)</t>
  </si>
  <si>
    <t>USE=&gt;DB-16 (Ea.)</t>
  </si>
  <si>
    <t>USE=&gt;RB-19 (Ea.)</t>
  </si>
  <si>
    <t>USE=&gt;DB-20 (Ea.)</t>
  </si>
  <si>
    <t>USE=&gt;RB,DB-25 (Ea.)</t>
  </si>
  <si>
    <t>Quantity of  rebar</t>
  </si>
  <si>
    <r>
      <t>kg/m</t>
    </r>
    <r>
      <rPr>
        <vertAlign val="superscript"/>
        <sz val="14"/>
        <rFont val="Angsana New"/>
        <family val="1"/>
      </rPr>
      <t>2</t>
    </r>
  </si>
  <si>
    <t>V(avg.)</t>
  </si>
  <si>
    <t>SD-30</t>
  </si>
  <si>
    <t>kg/m.</t>
  </si>
  <si>
    <t>parallel</t>
  </si>
  <si>
    <t>Long parallel</t>
  </si>
  <si>
    <t>Long     =</t>
  </si>
  <si>
    <t>m.</t>
  </si>
  <si>
    <t xml:space="preserve">             @</t>
  </si>
  <si>
    <t xml:space="preserve">            @</t>
  </si>
  <si>
    <t xml:space="preserve">               @</t>
  </si>
  <si>
    <t xml:space="preserve">              @</t>
  </si>
  <si>
    <t>PLAN OF  REINFORCEMENT</t>
  </si>
  <si>
    <r>
      <t>At =&gt; As</t>
    </r>
    <r>
      <rPr>
        <b/>
        <i/>
        <sz val="14"/>
        <color indexed="10"/>
        <rFont val="Angsana New"/>
        <family val="1"/>
      </rPr>
      <t xml:space="preserve"> Half col</t>
    </r>
    <r>
      <rPr>
        <b/>
        <sz val="14"/>
        <color indexed="10"/>
        <rFont val="Angsana New"/>
        <family val="1"/>
      </rPr>
      <t>.</t>
    </r>
    <r>
      <rPr>
        <sz val="14"/>
        <color indexed="10"/>
        <rFont val="Angsana New"/>
        <family val="1"/>
      </rPr>
      <t>/ strip</t>
    </r>
  </si>
  <si>
    <t xml:space="preserve">Table of Interpolate </t>
  </si>
  <si>
    <r>
      <t>Positive</t>
    </r>
    <r>
      <rPr>
        <sz val="16"/>
        <rFont val="Angsana New"/>
        <family val="1"/>
      </rPr>
      <t xml:space="preserve"> Moment Coefficient for</t>
    </r>
    <r>
      <rPr>
        <sz val="16"/>
        <color indexed="10"/>
        <rFont val="Angsana New"/>
        <family val="0"/>
      </rPr>
      <t xml:space="preserve"> </t>
    </r>
    <r>
      <rPr>
        <sz val="16"/>
        <color indexed="16"/>
        <rFont val="Angsana New"/>
        <family val="0"/>
      </rPr>
      <t>Middle</t>
    </r>
    <r>
      <rPr>
        <sz val="16"/>
        <color indexed="51"/>
        <rFont val="Angsana New"/>
        <family val="0"/>
      </rPr>
      <t xml:space="preserve"> </t>
    </r>
    <r>
      <rPr>
        <sz val="16"/>
        <rFont val="Angsana New"/>
        <family val="1"/>
      </rPr>
      <t>Span at Short Side</t>
    </r>
  </si>
  <si>
    <r>
      <t>Negative Moment Coefficient for</t>
    </r>
    <r>
      <rPr>
        <u val="single"/>
        <sz val="16"/>
        <color indexed="10"/>
        <rFont val="Angsana New"/>
        <family val="1"/>
      </rPr>
      <t xml:space="preserve"> </t>
    </r>
    <r>
      <rPr>
        <b/>
        <u val="single"/>
        <sz val="16"/>
        <color indexed="10"/>
        <rFont val="Angsana New"/>
        <family val="1"/>
      </rPr>
      <t>Discontinuous</t>
    </r>
    <r>
      <rPr>
        <sz val="16"/>
        <color indexed="10"/>
        <rFont val="Angsana New"/>
        <family val="0"/>
      </rPr>
      <t xml:space="preserve"> </t>
    </r>
    <r>
      <rPr>
        <sz val="16"/>
        <rFont val="Angsana New"/>
        <family val="1"/>
      </rPr>
      <t>Side at Short Side</t>
    </r>
  </si>
  <si>
    <r>
      <t>Negative Moment Coefficient for</t>
    </r>
    <r>
      <rPr>
        <sz val="16"/>
        <color indexed="10"/>
        <rFont val="Angsana New"/>
        <family val="0"/>
      </rPr>
      <t xml:space="preserve"> </t>
    </r>
    <r>
      <rPr>
        <b/>
        <i/>
        <u val="single"/>
        <sz val="16"/>
        <color indexed="10"/>
        <rFont val="Angsana New"/>
        <family val="1"/>
      </rPr>
      <t>Continuous</t>
    </r>
    <r>
      <rPr>
        <b/>
        <u val="single"/>
        <sz val="16"/>
        <color indexed="10"/>
        <rFont val="Angsana New"/>
        <family val="1"/>
      </rPr>
      <t xml:space="preserve"> </t>
    </r>
    <r>
      <rPr>
        <sz val="16"/>
        <rFont val="Angsana New"/>
        <family val="1"/>
      </rPr>
      <t>Side at Short Side</t>
    </r>
  </si>
  <si>
    <t>Moment (kg-m/m.)</t>
  </si>
  <si>
    <r>
      <t>As(cm</t>
    </r>
    <r>
      <rPr>
        <vertAlign val="superscript"/>
        <sz val="14"/>
        <rFont val="Angsana New"/>
        <family val="1"/>
      </rPr>
      <t>2</t>
    </r>
    <r>
      <rPr>
        <sz val="14"/>
        <rFont val="Angsana New"/>
        <family val="1"/>
      </rPr>
      <t>/m.)</t>
    </r>
    <r>
      <rPr>
        <sz val="14"/>
        <rFont val="Angsana New"/>
        <family val="0"/>
      </rPr>
      <t>-Temperature Bar</t>
    </r>
  </si>
  <si>
    <r>
      <t>As=M/Fs*j*d  (cm</t>
    </r>
    <r>
      <rPr>
        <vertAlign val="superscript"/>
        <sz val="14"/>
        <color indexed="10"/>
        <rFont val="Angsana New"/>
        <family val="0"/>
      </rPr>
      <t>2</t>
    </r>
    <r>
      <rPr>
        <sz val="14"/>
        <color indexed="10"/>
        <rFont val="Angsana New"/>
        <family val="0"/>
      </rPr>
      <t>/m).-Main</t>
    </r>
  </si>
  <si>
    <r>
      <t>At =&gt; As</t>
    </r>
    <r>
      <rPr>
        <b/>
        <sz val="14"/>
        <color indexed="10"/>
        <rFont val="Angsana New"/>
        <family val="1"/>
      </rPr>
      <t xml:space="preserve"> </t>
    </r>
    <r>
      <rPr>
        <b/>
        <i/>
        <u val="single"/>
        <sz val="14"/>
        <color indexed="10"/>
        <rFont val="Angsana New"/>
        <family val="1"/>
      </rPr>
      <t>Middle</t>
    </r>
    <r>
      <rPr>
        <b/>
        <sz val="14"/>
        <color indexed="10"/>
        <rFont val="Angsana New"/>
        <family val="1"/>
      </rPr>
      <t>./ strip</t>
    </r>
  </si>
  <si>
    <t>ค่าต่าง ๆ ของอัตราส่วน m</t>
  </si>
  <si>
    <t>S1</t>
  </si>
  <si>
    <t>Coefficient Moment</t>
  </si>
  <si>
    <t>Case slab</t>
  </si>
  <si>
    <t>Use thickness of slab</t>
  </si>
  <si>
    <t>Dead Load of slab</t>
  </si>
  <si>
    <t xml:space="preserve">W </t>
  </si>
  <si>
    <t>USE</t>
  </si>
  <si>
    <r>
      <t>As Mid./strip (cm</t>
    </r>
    <r>
      <rPr>
        <vertAlign val="superscript"/>
        <sz val="14"/>
        <color indexed="10"/>
        <rFont val="Angsana New"/>
        <family val="0"/>
      </rPr>
      <t>2</t>
    </r>
    <r>
      <rPr>
        <sz val="14"/>
        <color indexed="10"/>
        <rFont val="Angsana New"/>
        <family val="0"/>
      </rPr>
      <t>)  Requir</t>
    </r>
  </si>
  <si>
    <r>
      <rPr>
        <b/>
        <u val="single"/>
        <sz val="16"/>
        <color indexed="30"/>
        <rFont val="Angsana New"/>
        <family val="1"/>
      </rPr>
      <t xml:space="preserve">Engineer </t>
    </r>
    <r>
      <rPr>
        <b/>
        <u val="single"/>
        <sz val="16"/>
        <color indexed="12"/>
        <rFont val="Angsana New"/>
        <family val="1"/>
      </rPr>
      <t>:</t>
    </r>
  </si>
  <si>
    <t>ชั้นคุณภาพ</t>
  </si>
  <si>
    <t>ขนาดเหล็ก</t>
  </si>
  <si>
    <t>ระยะหุ้มคอนกรีต</t>
  </si>
  <si>
    <t>กรณีพื้นประเภท</t>
  </si>
  <si>
    <t>ความกว้างพื้น</t>
  </si>
  <si>
    <t>ความยาวพื้น</t>
  </si>
  <si>
    <t>ความหนาพื้นต่ำสุด</t>
  </si>
  <si>
    <t>เลือกความหนาพื้น</t>
  </si>
  <si>
    <t>น้ำหนักพื้น</t>
  </si>
  <si>
    <t>น้ำหนักวัสดุตกแต่ง</t>
  </si>
  <si>
    <t>น้ำหนักจร</t>
  </si>
  <si>
    <t>รวมน้ำหนักบรรทุกคงที่</t>
  </si>
  <si>
    <t>ตัวคูณลด</t>
  </si>
  <si>
    <t>1.คุณสมบัติทางกลของวัสดุ</t>
  </si>
  <si>
    <t>2.ข้อมูลเบื้องต้น</t>
  </si>
  <si>
    <t>3.ข้อมูลน้ำหนักบรรทุก</t>
  </si>
  <si>
    <t>โครงการ</t>
  </si>
  <si>
    <t>หมายเลขพื้น :</t>
  </si>
  <si>
    <r>
      <rPr>
        <b/>
        <u val="single"/>
        <sz val="16"/>
        <color indexed="30"/>
        <rFont val="Angsana New"/>
        <family val="1"/>
      </rPr>
      <t>วันที่</t>
    </r>
    <r>
      <rPr>
        <b/>
        <u val="single"/>
        <sz val="16"/>
        <rFont val="Angsana New"/>
        <family val="1"/>
      </rPr>
      <t xml:space="preserve"> :</t>
    </r>
  </si>
  <si>
    <r>
      <rPr>
        <b/>
        <u val="single"/>
        <sz val="16"/>
        <color indexed="30"/>
        <rFont val="Angsana New"/>
        <family val="1"/>
      </rPr>
      <t>วิศวกรโครงสร้าง</t>
    </r>
    <r>
      <rPr>
        <b/>
        <u val="single"/>
        <sz val="16"/>
        <color indexed="12"/>
        <rFont val="Angsana New"/>
        <family val="1"/>
      </rPr>
      <t xml:space="preserve"> :</t>
    </r>
  </si>
  <si>
    <t>เลือกใช้ความหนาพื้น</t>
  </si>
  <si>
    <t>ความหนาพื้นประสิทธิผล</t>
  </si>
  <si>
    <t>ความหนาพื้นจริง</t>
  </si>
  <si>
    <t>ความหนาพื้นด้านสั้น</t>
  </si>
  <si>
    <t>ความหนาพื้นด้านยาว</t>
  </si>
  <si>
    <t>ส.ป.ส. โมเมนต์ดัด</t>
  </si>
  <si>
    <t>โมเมนต์ดัด (kg-m/m.)</t>
  </si>
  <si>
    <t>5.ตรวจสอบหน่วยแรงเฉือน</t>
  </si>
  <si>
    <t>6. รายละเอียดการเสริมเหล็ก</t>
  </si>
  <si>
    <t>ขนานด้านสั้น</t>
  </si>
  <si>
    <t>ขนานด้านยาว</t>
  </si>
  <si>
    <t>ใช้</t>
  </si>
  <si>
    <t>5.ตรวจสอบหน่วยแรงดัด</t>
  </si>
  <si>
    <t>มม.</t>
  </si>
  <si>
    <r>
      <t>กก/ซม</t>
    </r>
    <r>
      <rPr>
        <vertAlign val="superscript"/>
        <sz val="14"/>
        <rFont val="Angsana New"/>
        <family val="1"/>
      </rPr>
      <t>2</t>
    </r>
  </si>
  <si>
    <t>ม.</t>
  </si>
  <si>
    <t>ซม.</t>
  </si>
  <si>
    <r>
      <t>กก/ม</t>
    </r>
    <r>
      <rPr>
        <vertAlign val="superscript"/>
        <sz val="14"/>
        <rFont val="Angsana New"/>
        <family val="1"/>
      </rPr>
      <t>2</t>
    </r>
  </si>
  <si>
    <t>กก-ม.</t>
  </si>
  <si>
    <t>กก/ม.</t>
  </si>
  <si>
    <t>ทดลองเลือกขนาดเหล็ก</t>
  </si>
  <si>
    <t>ด้านสั้น</t>
  </si>
  <si>
    <t>ใช้ DB/RB</t>
  </si>
  <si>
    <t>ด้านยาว</t>
  </si>
  <si>
    <t>ขนาน</t>
  </si>
  <si>
    <t>แปลนแสดงการเสริมเหล็กในพื้น</t>
  </si>
  <si>
    <t>ด้านยาว     =</t>
  </si>
  <si>
    <t>6. Detail Rainforcement of Long section</t>
  </si>
  <si>
    <t>อาคาร คสล. 5 ชั้น</t>
  </si>
  <si>
    <t>th 5  Building Design</t>
  </si>
  <si>
    <t>M (max.)</t>
  </si>
  <si>
    <t xml:space="preserve">M (max.)  </t>
  </si>
  <si>
    <t>วิธีที่ 2 ตาราง 9103 สัมประสิทธิ์ของโมเมนต์</t>
  </si>
  <si>
    <t>วิธีที่ 2 ตาราง 9103 ค่าสัมประสิทธิ์ของโมเมนต์ดัด : C</t>
  </si>
  <si>
    <t>สย.9095</t>
  </si>
  <si>
    <t>ออกแบบพื้นคอนกรีตเสริมเหล็กโดยวิธีหน่วยแรงใช้งาน (วิธีที่ 2 มาตรฐาน วสท. 318-63)*</t>
  </si>
  <si>
    <t>RC. Design Two-way Slabs (Method 2 of A.C.I 318-63)*</t>
  </si>
  <si>
    <t>*อ้างอิงจาก ตัวอย่างที่ 6.2 การออกแบบโครงสร้างคอนกรีตเสริมเหล็ก (โดยวิธีหน่วยแรงใช้งาน) ของ ศ.ดร. วินิต ช่อวิเชียร     พิมพ์ครั้งที่ 1 พ.ศ. 2542 หน้า 162</t>
  </si>
  <si>
    <t>No.</t>
  </si>
  <si>
    <t>Dia.</t>
  </si>
  <si>
    <t>Area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</si>
</sst>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$&quot;#,##0"/>
    <numFmt numFmtId="200" formatCode="0.000"/>
    <numFmt numFmtId="201" formatCode="0.0"/>
    <numFmt numFmtId="202" formatCode="#,##0.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#,##0.000"/>
    <numFmt numFmtId="208" formatCode="0.0000_)"/>
    <numFmt numFmtId="209" formatCode="0.0000"/>
    <numFmt numFmtId="210" formatCode="0.00000"/>
    <numFmt numFmtId="211" formatCode="0.000000"/>
    <numFmt numFmtId="212" formatCode="0.0000000"/>
    <numFmt numFmtId="213" formatCode="_(* #,##0.0_);_(* \(#,##0.0\);_(* &quot;-&quot;??_);_(@_)"/>
    <numFmt numFmtId="214" formatCode="_(* #,##0_);_(* \(#,##0\);_(* &quot;-&quot;??_);_(@_)"/>
    <numFmt numFmtId="215" formatCode="0.00000000"/>
  </numFmts>
  <fonts count="75">
    <font>
      <sz val="14"/>
      <name val="Angsana New"/>
      <family val="0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b/>
      <u val="single"/>
      <sz val="16"/>
      <color indexed="10"/>
      <name val="Angsana New"/>
      <family val="1"/>
    </font>
    <font>
      <sz val="8"/>
      <name val="Angsana New"/>
      <family val="0"/>
    </font>
    <font>
      <b/>
      <u val="single"/>
      <sz val="16"/>
      <color indexed="12"/>
      <name val="Angsana New"/>
      <family val="1"/>
    </font>
    <font>
      <sz val="8"/>
      <name val="Tms Rmn"/>
      <family val="0"/>
    </font>
    <font>
      <sz val="14"/>
      <color indexed="12"/>
      <name val="Angsana New"/>
      <family val="1"/>
    </font>
    <font>
      <sz val="14"/>
      <color indexed="10"/>
      <name val="Angsana New"/>
      <family val="1"/>
    </font>
    <font>
      <sz val="16"/>
      <color indexed="10"/>
      <name val="Angsana New"/>
      <family val="0"/>
    </font>
    <font>
      <sz val="20"/>
      <color indexed="10"/>
      <name val="Angsana New"/>
      <family val="0"/>
    </font>
    <font>
      <sz val="16"/>
      <color indexed="16"/>
      <name val="Angsana New"/>
      <family val="0"/>
    </font>
    <font>
      <sz val="16"/>
      <color indexed="51"/>
      <name val="Angsana New"/>
      <family val="0"/>
    </font>
    <font>
      <vertAlign val="superscript"/>
      <sz val="14"/>
      <name val="Angsana New"/>
      <family val="1"/>
    </font>
    <font>
      <b/>
      <sz val="16"/>
      <color indexed="10"/>
      <name val="Angsana New"/>
      <family val="1"/>
    </font>
    <font>
      <b/>
      <i/>
      <u val="single"/>
      <sz val="14"/>
      <name val="Angsana New"/>
      <family val="1"/>
    </font>
    <font>
      <vertAlign val="superscript"/>
      <sz val="14"/>
      <color indexed="10"/>
      <name val="Angsana New"/>
      <family val="0"/>
    </font>
    <font>
      <sz val="16"/>
      <name val="Angsana New"/>
      <family val="0"/>
    </font>
    <font>
      <u val="single"/>
      <sz val="14"/>
      <color indexed="10"/>
      <name val="Angsana New"/>
      <family val="0"/>
    </font>
    <font>
      <b/>
      <sz val="14"/>
      <color indexed="10"/>
      <name val="Angsana New"/>
      <family val="1"/>
    </font>
    <font>
      <b/>
      <i/>
      <u val="single"/>
      <sz val="14"/>
      <color indexed="10"/>
      <name val="Angsana New"/>
      <family val="1"/>
    </font>
    <font>
      <b/>
      <i/>
      <sz val="14"/>
      <color indexed="10"/>
      <name val="Angsana New"/>
      <family val="1"/>
    </font>
    <font>
      <u val="single"/>
      <sz val="16"/>
      <color indexed="10"/>
      <name val="Angsana New"/>
      <family val="1"/>
    </font>
    <font>
      <b/>
      <i/>
      <u val="single"/>
      <sz val="16"/>
      <color indexed="10"/>
      <name val="Angsana New"/>
      <family val="1"/>
    </font>
    <font>
      <b/>
      <u val="single"/>
      <sz val="16"/>
      <name val="Angsana New"/>
      <family val="1"/>
    </font>
    <font>
      <b/>
      <u val="single"/>
      <sz val="16"/>
      <color indexed="30"/>
      <name val="Angsana New"/>
      <family val="1"/>
    </font>
    <font>
      <u val="single"/>
      <sz val="14"/>
      <name val="Angsana New"/>
      <family val="1"/>
    </font>
    <font>
      <sz val="16"/>
      <color indexed="8"/>
      <name val="AngsanaUPC"/>
      <family val="2"/>
    </font>
    <font>
      <sz val="16"/>
      <color indexed="9"/>
      <name val="AngsanaUPC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8"/>
      <color indexed="56"/>
      <name val="Tahoma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1"/>
      <color indexed="8"/>
      <name val="Calibri"/>
      <family val="2"/>
    </font>
    <font>
      <sz val="14"/>
      <color indexed="60"/>
      <name val="Angsana New"/>
      <family val="1"/>
    </font>
    <font>
      <b/>
      <u val="single"/>
      <sz val="22"/>
      <color indexed="30"/>
      <name val="Angsana New"/>
      <family val="1"/>
    </font>
    <font>
      <b/>
      <sz val="16"/>
      <color indexed="30"/>
      <name val="Angsana New"/>
      <family val="1"/>
    </font>
    <font>
      <sz val="8"/>
      <name val="Tahoma"/>
      <family val="2"/>
    </font>
    <font>
      <sz val="11"/>
      <color indexed="8"/>
      <name val="Tahoma"/>
      <family val="0"/>
    </font>
    <font>
      <sz val="11"/>
      <color indexed="30"/>
      <name val="Tahoma"/>
      <family val="0"/>
    </font>
    <font>
      <sz val="11"/>
      <color indexed="30"/>
      <name val="Calibri"/>
      <family val="0"/>
    </font>
    <font>
      <b/>
      <u val="single"/>
      <sz val="11"/>
      <color indexed="30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1"/>
      <color rgb="FF000000"/>
      <name val="Calibri"/>
      <family val="2"/>
    </font>
    <font>
      <b/>
      <u val="single"/>
      <sz val="16"/>
      <color rgb="FF0070C0"/>
      <name val="Angsana New"/>
      <family val="1"/>
    </font>
    <font>
      <sz val="14"/>
      <color rgb="FFC00000"/>
      <name val="Angsana New"/>
      <family val="1"/>
    </font>
    <font>
      <b/>
      <u val="single"/>
      <sz val="22"/>
      <color rgb="FF0070C0"/>
      <name val="Angsana New"/>
      <family val="1"/>
    </font>
    <font>
      <b/>
      <sz val="16"/>
      <color rgb="FF0070C0"/>
      <name val="Angsana New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34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20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200" fontId="0" fillId="0" borderId="13" xfId="0" applyNumberFormat="1" applyBorder="1" applyAlignment="1">
      <alignment horizontal="center" vertical="center"/>
    </xf>
    <xf numFmtId="209" fontId="7" fillId="0" borderId="14" xfId="0" applyNumberFormat="1" applyFont="1" applyBorder="1" applyAlignment="1">
      <alignment horizontal="center" vertical="center"/>
    </xf>
    <xf numFmtId="209" fontId="0" fillId="0" borderId="15" xfId="0" applyNumberFormat="1" applyFont="1" applyBorder="1" applyAlignment="1">
      <alignment horizontal="center" vertical="center"/>
    </xf>
    <xf numFmtId="208" fontId="7" fillId="0" borderId="16" xfId="37" applyNumberFormat="1" applyFont="1" applyBorder="1" applyAlignment="1" applyProtection="1">
      <alignment horizontal="center" vertical="center"/>
      <protection locked="0"/>
    </xf>
    <xf numFmtId="208" fontId="0" fillId="0" borderId="17" xfId="37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vertical="center"/>
    </xf>
    <xf numFmtId="0" fontId="2" fillId="0" borderId="21" xfId="0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horizontal="center" vertical="center"/>
    </xf>
    <xf numFmtId="209" fontId="7" fillId="0" borderId="12" xfId="0" applyNumberFormat="1" applyFont="1" applyBorder="1" applyAlignment="1">
      <alignment horizontal="center" vertical="center"/>
    </xf>
    <xf numFmtId="209" fontId="0" fillId="0" borderId="13" xfId="0" applyNumberFormat="1" applyFont="1" applyFill="1" applyBorder="1" applyAlignment="1">
      <alignment horizontal="center" vertical="center"/>
    </xf>
    <xf numFmtId="209" fontId="0" fillId="0" borderId="13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200" fontId="0" fillId="37" borderId="13" xfId="0" applyNumberForma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200" fontId="0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201" fontId="0" fillId="0" borderId="11" xfId="0" applyNumberFormat="1" applyBorder="1" applyAlignment="1">
      <alignment horizontal="center" vertical="center"/>
    </xf>
    <xf numFmtId="2" fontId="8" fillId="38" borderId="11" xfId="0" applyNumberFormat="1" applyFont="1" applyFill="1" applyBorder="1" applyAlignment="1">
      <alignment horizontal="center" vertical="center"/>
    </xf>
    <xf numFmtId="0" fontId="0" fillId="39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9" xfId="0" applyFont="1" applyBorder="1" applyAlignment="1">
      <alignment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208" fontId="7" fillId="0" borderId="17" xfId="37" applyNumberFormat="1" applyFont="1" applyBorder="1" applyAlignment="1" applyProtection="1">
      <alignment horizontal="center" vertical="center"/>
      <protection locked="0"/>
    </xf>
    <xf numFmtId="209" fontId="7" fillId="0" borderId="13" xfId="0" applyNumberFormat="1" applyFont="1" applyBorder="1" applyAlignment="1">
      <alignment horizontal="center" vertical="center"/>
    </xf>
    <xf numFmtId="209" fontId="7" fillId="0" borderId="15" xfId="0" applyNumberFormat="1" applyFont="1" applyBorder="1" applyAlignment="1">
      <alignment horizontal="center" vertical="center"/>
    </xf>
    <xf numFmtId="208" fontId="7" fillId="0" borderId="13" xfId="37" applyNumberFormat="1" applyFont="1" applyBorder="1" applyAlignment="1" applyProtection="1">
      <alignment horizontal="center" vertical="center"/>
      <protection locked="0"/>
    </xf>
    <xf numFmtId="208" fontId="0" fillId="0" borderId="11" xfId="37" applyNumberFormat="1" applyFont="1" applyBorder="1" applyAlignment="1" applyProtection="1">
      <alignment horizontal="center" vertical="center"/>
      <protection/>
    </xf>
    <xf numFmtId="209" fontId="0" fillId="0" borderId="11" xfId="0" applyNumberFormat="1" applyFont="1" applyBorder="1" applyAlignment="1">
      <alignment horizontal="center" vertical="center"/>
    </xf>
    <xf numFmtId="209" fontId="0" fillId="0" borderId="28" xfId="0" applyNumberFormat="1" applyFont="1" applyBorder="1" applyAlignment="1">
      <alignment horizontal="center" vertical="center"/>
    </xf>
    <xf numFmtId="208" fontId="0" fillId="0" borderId="26" xfId="37" applyNumberFormat="1" applyFont="1" applyBorder="1" applyAlignment="1" applyProtection="1">
      <alignment horizontal="center" vertical="center"/>
      <protection/>
    </xf>
    <xf numFmtId="208" fontId="0" fillId="0" borderId="26" xfId="37" applyNumberFormat="1" applyFont="1" applyFill="1" applyBorder="1" applyAlignment="1" applyProtection="1">
      <alignment horizontal="center" vertical="center"/>
      <protection/>
    </xf>
    <xf numFmtId="209" fontId="0" fillId="0" borderId="11" xfId="0" applyNumberFormat="1" applyFont="1" applyFill="1" applyBorder="1" applyAlignment="1">
      <alignment horizontal="center" vertical="center"/>
    </xf>
    <xf numFmtId="209" fontId="0" fillId="0" borderId="28" xfId="0" applyNumberFormat="1" applyFont="1" applyFill="1" applyBorder="1" applyAlignment="1">
      <alignment horizontal="center" vertical="center"/>
    </xf>
    <xf numFmtId="208" fontId="0" fillId="0" borderId="11" xfId="37" applyNumberFormat="1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40" borderId="11" xfId="0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19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201" fontId="0" fillId="0" borderId="0" xfId="0" applyNumberFormat="1" applyBorder="1" applyAlignment="1">
      <alignment horizontal="center" vertical="center"/>
    </xf>
    <xf numFmtId="201" fontId="0" fillId="0" borderId="0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2" fontId="0" fillId="0" borderId="0" xfId="0" applyNumberFormat="1" applyAlignment="1">
      <alignment vertical="center"/>
    </xf>
    <xf numFmtId="2" fontId="8" fillId="43" borderId="11" xfId="0" applyNumberFormat="1" applyFont="1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2" fontId="8" fillId="43" borderId="25" xfId="0" applyNumberFormat="1" applyFont="1" applyFill="1" applyBorder="1" applyAlignment="1">
      <alignment horizontal="center" vertical="center"/>
    </xf>
    <xf numFmtId="0" fontId="0" fillId="44" borderId="11" xfId="0" applyFill="1" applyBorder="1" applyAlignment="1">
      <alignment horizontal="center" vertical="center"/>
    </xf>
    <xf numFmtId="0" fontId="0" fillId="45" borderId="11" xfId="0" applyFill="1" applyBorder="1" applyAlignment="1">
      <alignment horizontal="center" vertical="center"/>
    </xf>
    <xf numFmtId="2" fontId="8" fillId="45" borderId="11" xfId="0" applyNumberFormat="1" applyFont="1" applyFill="1" applyBorder="1" applyAlignment="1">
      <alignment horizontal="center" vertical="center"/>
    </xf>
    <xf numFmtId="2" fontId="8" fillId="45" borderId="25" xfId="0" applyNumberFormat="1" applyFont="1" applyFill="1" applyBorder="1" applyAlignment="1">
      <alignment horizontal="center" vertical="center"/>
    </xf>
    <xf numFmtId="2" fontId="8" fillId="44" borderId="11" xfId="0" applyNumberFormat="1" applyFont="1" applyFill="1" applyBorder="1" applyAlignment="1">
      <alignment horizontal="center" vertical="center"/>
    </xf>
    <xf numFmtId="2" fontId="8" fillId="44" borderId="25" xfId="0" applyNumberFormat="1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70" fillId="0" borderId="0" xfId="0" applyFont="1" applyAlignment="1">
      <alignment/>
    </xf>
    <xf numFmtId="2" fontId="0" fillId="0" borderId="11" xfId="0" applyNumberFormat="1" applyBorder="1" applyAlignment="1">
      <alignment vertical="center"/>
    </xf>
    <xf numFmtId="200" fontId="0" fillId="46" borderId="11" xfId="0" applyNumberFormat="1" applyFill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2" fontId="0" fillId="47" borderId="29" xfId="0" applyNumberFormat="1" applyFill="1" applyBorder="1" applyAlignment="1">
      <alignment horizontal="left" vertical="center"/>
    </xf>
    <xf numFmtId="2" fontId="0" fillId="47" borderId="0" xfId="0" applyNumberFormat="1" applyFill="1" applyBorder="1" applyAlignment="1">
      <alignment horizontal="left" vertical="center"/>
    </xf>
    <xf numFmtId="2" fontId="0" fillId="46" borderId="29" xfId="0" applyNumberFormat="1" applyFill="1" applyBorder="1" applyAlignment="1">
      <alignment horizontal="left" vertical="center"/>
    </xf>
    <xf numFmtId="2" fontId="0" fillId="46" borderId="0" xfId="0" applyNumberFormat="1" applyFill="1" applyBorder="1" applyAlignment="1">
      <alignment horizontal="left" vertical="center"/>
    </xf>
    <xf numFmtId="0" fontId="0" fillId="46" borderId="0" xfId="0" applyFill="1" applyBorder="1" applyAlignment="1">
      <alignment horizontal="center" vertical="center"/>
    </xf>
    <xf numFmtId="201" fontId="0" fillId="46" borderId="11" xfId="0" applyNumberFormat="1" applyFill="1" applyBorder="1" applyAlignment="1">
      <alignment horizontal="center" vertical="center"/>
    </xf>
    <xf numFmtId="201" fontId="0" fillId="47" borderId="11" xfId="0" applyNumberFormat="1" applyFill="1" applyBorder="1" applyAlignment="1">
      <alignment horizontal="center" vertical="center"/>
    </xf>
    <xf numFmtId="0" fontId="0" fillId="47" borderId="16" xfId="0" applyFill="1" applyBorder="1" applyAlignment="1">
      <alignment vertical="center"/>
    </xf>
    <xf numFmtId="0" fontId="0" fillId="46" borderId="29" xfId="0" applyFill="1" applyBorder="1" applyAlignment="1">
      <alignment horizontal="center" vertical="center"/>
    </xf>
    <xf numFmtId="0" fontId="0" fillId="46" borderId="0" xfId="0" applyFill="1" applyBorder="1" applyAlignment="1">
      <alignment vertical="center"/>
    </xf>
    <xf numFmtId="0" fontId="0" fillId="46" borderId="16" xfId="0" applyFill="1" applyBorder="1" applyAlignment="1">
      <alignment vertical="center"/>
    </xf>
    <xf numFmtId="0" fontId="0" fillId="46" borderId="14" xfId="0" applyFill="1" applyBorder="1" applyAlignment="1">
      <alignment vertical="center"/>
    </xf>
    <xf numFmtId="2" fontId="0" fillId="46" borderId="16" xfId="0" applyNumberFormat="1" applyFill="1" applyBorder="1" applyAlignment="1">
      <alignment horizontal="center" vertical="center"/>
    </xf>
    <xf numFmtId="0" fontId="0" fillId="46" borderId="0" xfId="0" applyFill="1" applyAlignment="1">
      <alignment vertical="center"/>
    </xf>
    <xf numFmtId="2" fontId="0" fillId="46" borderId="14" xfId="0" applyNumberFormat="1" applyFill="1" applyBorder="1" applyAlignment="1">
      <alignment horizontal="center" vertical="center"/>
    </xf>
    <xf numFmtId="2" fontId="0" fillId="46" borderId="16" xfId="0" applyNumberFormat="1" applyFill="1" applyBorder="1" applyAlignment="1">
      <alignment vertical="center"/>
    </xf>
    <xf numFmtId="2" fontId="0" fillId="47" borderId="30" xfId="0" applyNumberFormat="1" applyFill="1" applyBorder="1" applyAlignment="1">
      <alignment horizontal="center" vertical="center"/>
    </xf>
    <xf numFmtId="0" fontId="0" fillId="47" borderId="29" xfId="0" applyFill="1" applyBorder="1" applyAlignment="1">
      <alignment vertical="center"/>
    </xf>
    <xf numFmtId="2" fontId="0" fillId="47" borderId="31" xfId="0" applyNumberFormat="1" applyFill="1" applyBorder="1" applyAlignment="1">
      <alignment horizontal="center" vertical="center"/>
    </xf>
    <xf numFmtId="0" fontId="0" fillId="47" borderId="0" xfId="0" applyFill="1" applyBorder="1" applyAlignment="1">
      <alignment vertical="center"/>
    </xf>
    <xf numFmtId="0" fontId="0" fillId="47" borderId="14" xfId="0" applyFill="1" applyBorder="1" applyAlignment="1">
      <alignment vertical="center"/>
    </xf>
    <xf numFmtId="2" fontId="8" fillId="0" borderId="25" xfId="0" applyNumberFormat="1" applyFont="1" applyFill="1" applyBorder="1" applyAlignment="1">
      <alignment horizontal="center" vertical="center"/>
    </xf>
    <xf numFmtId="0" fontId="0" fillId="47" borderId="31" xfId="0" applyFill="1" applyBorder="1" applyAlignment="1">
      <alignment horizontal="center" vertical="center"/>
    </xf>
    <xf numFmtId="0" fontId="0" fillId="47" borderId="14" xfId="0" applyFill="1" applyBorder="1" applyAlignment="1">
      <alignment horizontal="center" vertical="center"/>
    </xf>
    <xf numFmtId="3" fontId="0" fillId="47" borderId="14" xfId="0" applyNumberFormat="1" applyFill="1" applyBorder="1" applyAlignment="1">
      <alignment horizontal="center" vertical="center"/>
    </xf>
    <xf numFmtId="3" fontId="0" fillId="47" borderId="14" xfId="0" applyNumberFormat="1" applyFont="1" applyFill="1" applyBorder="1" applyAlignment="1">
      <alignment horizontal="center" vertical="center"/>
    </xf>
    <xf numFmtId="200" fontId="1" fillId="47" borderId="15" xfId="0" applyNumberFormat="1" applyFont="1" applyFill="1" applyBorder="1" applyAlignment="1">
      <alignment horizontal="center" vertical="center"/>
    </xf>
    <xf numFmtId="2" fontId="0" fillId="47" borderId="16" xfId="0" applyNumberFormat="1" applyFill="1" applyBorder="1" applyAlignment="1">
      <alignment horizontal="center" vertical="center"/>
    </xf>
    <xf numFmtId="0" fontId="0" fillId="47" borderId="0" xfId="0" applyFill="1" applyAlignment="1">
      <alignment vertical="center"/>
    </xf>
    <xf numFmtId="2" fontId="0" fillId="47" borderId="14" xfId="0" applyNumberFormat="1" applyFill="1" applyBorder="1" applyAlignment="1">
      <alignment horizontal="center" vertical="center"/>
    </xf>
    <xf numFmtId="0" fontId="0" fillId="47" borderId="17" xfId="0" applyFill="1" applyBorder="1" applyAlignment="1">
      <alignment vertical="center"/>
    </xf>
    <xf numFmtId="0" fontId="0" fillId="47" borderId="32" xfId="0" applyFill="1" applyBorder="1" applyAlignment="1">
      <alignment vertical="center"/>
    </xf>
    <xf numFmtId="0" fontId="0" fillId="47" borderId="15" xfId="0" applyFill="1" applyBorder="1" applyAlignment="1">
      <alignment vertical="center"/>
    </xf>
    <xf numFmtId="1" fontId="17" fillId="47" borderId="11" xfId="0" applyNumberFormat="1" applyFont="1" applyFill="1" applyBorder="1" applyAlignment="1">
      <alignment horizontal="center" vertical="center"/>
    </xf>
    <xf numFmtId="1" fontId="0" fillId="47" borderId="11" xfId="0" applyNumberFormat="1" applyFill="1" applyBorder="1" applyAlignment="1">
      <alignment horizontal="center" vertical="center"/>
    </xf>
    <xf numFmtId="0" fontId="0" fillId="48" borderId="29" xfId="0" applyFill="1" applyBorder="1" applyAlignment="1">
      <alignment horizontal="center" vertical="center"/>
    </xf>
    <xf numFmtId="2" fontId="0" fillId="48" borderId="29" xfId="0" applyNumberFormat="1" applyFill="1" applyBorder="1" applyAlignment="1">
      <alignment horizontal="left" vertical="center"/>
    </xf>
    <xf numFmtId="0" fontId="0" fillId="48" borderId="0" xfId="0" applyFill="1" applyBorder="1" applyAlignment="1">
      <alignment vertical="center"/>
    </xf>
    <xf numFmtId="2" fontId="0" fillId="48" borderId="0" xfId="0" applyNumberFormat="1" applyFill="1" applyBorder="1" applyAlignment="1">
      <alignment horizontal="left" vertical="center"/>
    </xf>
    <xf numFmtId="0" fontId="0" fillId="48" borderId="0" xfId="0" applyFill="1" applyBorder="1" applyAlignment="1">
      <alignment horizontal="center" vertical="center"/>
    </xf>
    <xf numFmtId="1" fontId="0" fillId="46" borderId="11" xfId="0" applyNumberFormat="1" applyFill="1" applyBorder="1" applyAlignment="1">
      <alignment horizontal="center" vertical="center"/>
    </xf>
    <xf numFmtId="0" fontId="0" fillId="46" borderId="31" xfId="0" applyFill="1" applyBorder="1" applyAlignment="1">
      <alignment horizontal="center" vertical="center"/>
    </xf>
    <xf numFmtId="0" fontId="0" fillId="46" borderId="14" xfId="0" applyFill="1" applyBorder="1" applyAlignment="1">
      <alignment horizontal="center" vertical="center"/>
    </xf>
    <xf numFmtId="3" fontId="0" fillId="46" borderId="14" xfId="0" applyNumberFormat="1" applyFill="1" applyBorder="1" applyAlignment="1">
      <alignment horizontal="center" vertical="center"/>
    </xf>
    <xf numFmtId="3" fontId="0" fillId="46" borderId="14" xfId="0" applyNumberFormat="1" applyFont="1" applyFill="1" applyBorder="1" applyAlignment="1">
      <alignment horizontal="center" vertical="center"/>
    </xf>
    <xf numFmtId="200" fontId="1" fillId="46" borderId="15" xfId="0" applyNumberFormat="1" applyFont="1" applyFill="1" applyBorder="1" applyAlignment="1">
      <alignment horizontal="center" vertical="center"/>
    </xf>
    <xf numFmtId="2" fontId="0" fillId="46" borderId="30" xfId="0" applyNumberFormat="1" applyFill="1" applyBorder="1" applyAlignment="1">
      <alignment horizontal="center" vertical="center"/>
    </xf>
    <xf numFmtId="0" fontId="0" fillId="46" borderId="29" xfId="0" applyFill="1" applyBorder="1" applyAlignment="1">
      <alignment vertical="center"/>
    </xf>
    <xf numFmtId="2" fontId="0" fillId="46" borderId="31" xfId="0" applyNumberFormat="1" applyFill="1" applyBorder="1" applyAlignment="1">
      <alignment horizontal="center" vertical="center"/>
    </xf>
    <xf numFmtId="0" fontId="0" fillId="46" borderId="17" xfId="0" applyFill="1" applyBorder="1" applyAlignment="1">
      <alignment vertical="center"/>
    </xf>
    <xf numFmtId="0" fontId="0" fillId="46" borderId="32" xfId="0" applyFill="1" applyBorder="1" applyAlignment="1">
      <alignment vertical="center"/>
    </xf>
    <xf numFmtId="0" fontId="0" fillId="46" borderId="15" xfId="0" applyFill="1" applyBorder="1" applyAlignment="1">
      <alignment vertical="center"/>
    </xf>
    <xf numFmtId="0" fontId="0" fillId="48" borderId="16" xfId="0" applyFill="1" applyBorder="1" applyAlignment="1">
      <alignment vertical="center"/>
    </xf>
    <xf numFmtId="0" fontId="0" fillId="48" borderId="14" xfId="0" applyFill="1" applyBorder="1" applyAlignment="1">
      <alignment vertical="center"/>
    </xf>
    <xf numFmtId="2" fontId="0" fillId="48" borderId="16" xfId="0" applyNumberFormat="1" applyFill="1" applyBorder="1" applyAlignment="1">
      <alignment horizontal="center" vertical="center"/>
    </xf>
    <xf numFmtId="0" fontId="0" fillId="48" borderId="0" xfId="0" applyFill="1" applyAlignment="1">
      <alignment vertical="center"/>
    </xf>
    <xf numFmtId="2" fontId="0" fillId="48" borderId="14" xfId="0" applyNumberFormat="1" applyFill="1" applyBorder="1" applyAlignment="1">
      <alignment horizontal="center" vertical="center"/>
    </xf>
    <xf numFmtId="2" fontId="0" fillId="48" borderId="16" xfId="0" applyNumberFormat="1" applyFill="1" applyBorder="1" applyAlignment="1">
      <alignment vertical="center"/>
    </xf>
    <xf numFmtId="0" fontId="71" fillId="33" borderId="18" xfId="0" applyFont="1" applyFill="1" applyBorder="1" applyAlignment="1">
      <alignment horizontal="left" vertical="center"/>
    </xf>
    <xf numFmtId="0" fontId="71" fillId="33" borderId="10" xfId="0" applyFont="1" applyFill="1" applyBorder="1" applyAlignment="1">
      <alignment horizontal="left" vertical="center"/>
    </xf>
    <xf numFmtId="0" fontId="72" fillId="10" borderId="11" xfId="0" applyFont="1" applyFill="1" applyBorder="1" applyAlignment="1">
      <alignment horizontal="center" vertical="center"/>
    </xf>
    <xf numFmtId="0" fontId="72" fillId="10" borderId="11" xfId="33" applyNumberFormat="1" applyFont="1" applyFill="1" applyBorder="1" applyAlignment="1">
      <alignment horizontal="center" vertical="center"/>
    </xf>
    <xf numFmtId="1" fontId="72" fillId="10" borderId="11" xfId="0" applyNumberFormat="1" applyFont="1" applyFill="1" applyBorder="1" applyAlignment="1">
      <alignment horizontal="center" vertical="center"/>
    </xf>
    <xf numFmtId="3" fontId="72" fillId="10" borderId="11" xfId="0" applyNumberFormat="1" applyFont="1" applyFill="1" applyBorder="1" applyAlignment="1">
      <alignment horizontal="center" vertical="center"/>
    </xf>
    <xf numFmtId="207" fontId="72" fillId="10" borderId="11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29" xfId="0" applyFont="1" applyBorder="1" applyAlignment="1">
      <alignment vertical="center"/>
    </xf>
    <xf numFmtId="0" fontId="26" fillId="0" borderId="0" xfId="0" applyFont="1" applyAlignment="1">
      <alignment/>
    </xf>
    <xf numFmtId="0" fontId="73" fillId="33" borderId="33" xfId="0" applyFont="1" applyFill="1" applyBorder="1" applyAlignment="1">
      <alignment horizontal="center" vertical="center"/>
    </xf>
    <xf numFmtId="0" fontId="73" fillId="33" borderId="34" xfId="0" applyFont="1" applyFill="1" applyBorder="1" applyAlignment="1">
      <alignment horizontal="center" vertical="center"/>
    </xf>
    <xf numFmtId="0" fontId="73" fillId="33" borderId="35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/>
    </xf>
    <xf numFmtId="0" fontId="5" fillId="33" borderId="37" xfId="0" applyFont="1" applyFill="1" applyBorder="1" applyAlignment="1">
      <alignment horizontal="left" vertical="center"/>
    </xf>
    <xf numFmtId="0" fontId="71" fillId="0" borderId="36" xfId="0" applyFont="1" applyFill="1" applyBorder="1" applyAlignment="1">
      <alignment horizontal="center" vertical="center"/>
    </xf>
    <xf numFmtId="0" fontId="74" fillId="0" borderId="36" xfId="0" applyFont="1" applyFill="1" applyBorder="1" applyAlignment="1">
      <alignment horizontal="center" vertical="center"/>
    </xf>
    <xf numFmtId="0" fontId="74" fillId="0" borderId="38" xfId="0" applyFont="1" applyFill="1" applyBorder="1" applyAlignment="1">
      <alignment horizontal="center" vertical="center"/>
    </xf>
    <xf numFmtId="0" fontId="74" fillId="0" borderId="37" xfId="0" applyFont="1" applyFill="1" applyBorder="1" applyAlignment="1">
      <alignment horizontal="center" vertical="center"/>
    </xf>
    <xf numFmtId="22" fontId="74" fillId="0" borderId="36" xfId="0" applyNumberFormat="1" applyFont="1" applyFill="1" applyBorder="1" applyAlignment="1">
      <alignment horizontal="center" vertical="center"/>
    </xf>
    <xf numFmtId="0" fontId="74" fillId="0" borderId="3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7" borderId="25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49" borderId="26" xfId="0" applyFont="1" applyFill="1" applyBorder="1" applyAlignment="1">
      <alignment horizontal="center" vertical="center"/>
    </xf>
    <xf numFmtId="0" fontId="0" fillId="49" borderId="27" xfId="0" applyFill="1" applyBorder="1" applyAlignment="1">
      <alignment horizontal="center" vertical="center"/>
    </xf>
    <xf numFmtId="0" fontId="0" fillId="49" borderId="28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2" fontId="0" fillId="46" borderId="30" xfId="0" applyNumberFormat="1" applyFill="1" applyBorder="1" applyAlignment="1">
      <alignment horizontal="center" vertical="center"/>
    </xf>
    <xf numFmtId="2" fontId="0" fillId="46" borderId="16" xfId="0" applyNumberFormat="1" applyFill="1" applyBorder="1" applyAlignment="1">
      <alignment horizontal="center" vertical="center"/>
    </xf>
    <xf numFmtId="0" fontId="0" fillId="48" borderId="0" xfId="0" applyFill="1" applyBorder="1" applyAlignment="1">
      <alignment horizontal="center" vertical="center"/>
    </xf>
    <xf numFmtId="2" fontId="0" fillId="48" borderId="0" xfId="0" applyNumberFormat="1" applyFill="1" applyBorder="1" applyAlignment="1">
      <alignment horizontal="left" vertical="center"/>
    </xf>
    <xf numFmtId="2" fontId="0" fillId="46" borderId="17" xfId="0" applyNumberFormat="1" applyFill="1" applyBorder="1" applyAlignment="1">
      <alignment horizontal="center" vertical="center"/>
    </xf>
    <xf numFmtId="0" fontId="0" fillId="48" borderId="32" xfId="0" applyFill="1" applyBorder="1" applyAlignment="1">
      <alignment horizontal="center" vertical="center"/>
    </xf>
    <xf numFmtId="2" fontId="0" fillId="48" borderId="32" xfId="0" applyNumberFormat="1" applyFill="1" applyBorder="1" applyAlignment="1">
      <alignment horizontal="left" vertical="center"/>
    </xf>
    <xf numFmtId="2" fontId="8" fillId="0" borderId="0" xfId="0" applyNumberFormat="1" applyFont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0" fillId="48" borderId="0" xfId="0" applyNumberForma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0" fillId="49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71" fillId="33" borderId="36" xfId="0" applyFont="1" applyFill="1" applyBorder="1" applyAlignment="1">
      <alignment horizontal="left" vertical="center"/>
    </xf>
    <xf numFmtId="0" fontId="71" fillId="33" borderId="37" xfId="0" applyFont="1" applyFill="1" applyBorder="1" applyAlignment="1">
      <alignment horizontal="left" vertical="center"/>
    </xf>
    <xf numFmtId="0" fontId="17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22" fontId="14" fillId="0" borderId="36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2" fontId="0" fillId="46" borderId="0" xfId="0" applyNumberFormat="1" applyFill="1" applyBorder="1" applyAlignment="1">
      <alignment horizontal="left" vertical="center"/>
    </xf>
    <xf numFmtId="2" fontId="0" fillId="46" borderId="32" xfId="0" applyNumberFormat="1" applyFill="1" applyBorder="1" applyAlignment="1">
      <alignment horizontal="left" vertical="center"/>
    </xf>
    <xf numFmtId="0" fontId="0" fillId="46" borderId="0" xfId="0" applyFill="1" applyBorder="1" applyAlignment="1">
      <alignment horizontal="center" vertical="center"/>
    </xf>
    <xf numFmtId="2" fontId="0" fillId="47" borderId="16" xfId="0" applyNumberForma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2" fontId="0" fillId="47" borderId="30" xfId="0" applyNumberFormat="1" applyFill="1" applyBorder="1" applyAlignment="1">
      <alignment horizontal="center" vertical="center"/>
    </xf>
    <xf numFmtId="2" fontId="0" fillId="47" borderId="17" xfId="0" applyNumberFormat="1" applyFill="1" applyBorder="1" applyAlignment="1">
      <alignment horizontal="center" vertical="center"/>
    </xf>
    <xf numFmtId="2" fontId="0" fillId="46" borderId="0" xfId="0" applyNumberFormat="1" applyFill="1" applyBorder="1" applyAlignment="1">
      <alignment horizontal="center" vertical="center"/>
    </xf>
    <xf numFmtId="0" fontId="0" fillId="46" borderId="32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_Twoway-3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48</xdr:row>
      <xdr:rowOff>95250</xdr:rowOff>
    </xdr:from>
    <xdr:to>
      <xdr:col>2</xdr:col>
      <xdr:colOff>0</xdr:colOff>
      <xdr:row>48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0" y="114966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104775</xdr:rowOff>
    </xdr:from>
    <xdr:to>
      <xdr:col>4</xdr:col>
      <xdr:colOff>0</xdr:colOff>
      <xdr:row>48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143000" y="11506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495300</xdr:colOff>
      <xdr:row>48</xdr:row>
      <xdr:rowOff>114300</xdr:rowOff>
    </xdr:from>
    <xdr:to>
      <xdr:col>5</xdr:col>
      <xdr:colOff>9525</xdr:colOff>
      <xdr:row>48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86000" y="11515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161925</xdr:colOff>
      <xdr:row>55</xdr:row>
      <xdr:rowOff>0</xdr:rowOff>
    </xdr:from>
    <xdr:to>
      <xdr:col>5</xdr:col>
      <xdr:colOff>161925</xdr:colOff>
      <xdr:row>57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000375" y="12744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161925</xdr:colOff>
      <xdr:row>51</xdr:row>
      <xdr:rowOff>9525</xdr:rowOff>
    </xdr:from>
    <xdr:to>
      <xdr:col>5</xdr:col>
      <xdr:colOff>161925</xdr:colOff>
      <xdr:row>54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3000375" y="119824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161925</xdr:colOff>
      <xdr:row>49</xdr:row>
      <xdr:rowOff>0</xdr:rowOff>
    </xdr:from>
    <xdr:to>
      <xdr:col>5</xdr:col>
      <xdr:colOff>161925</xdr:colOff>
      <xdr:row>51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3000375" y="115919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142875</xdr:rowOff>
    </xdr:to>
    <xdr:sp>
      <xdr:nvSpPr>
        <xdr:cNvPr id="7" name="Line 7"/>
        <xdr:cNvSpPr>
          <a:spLocks/>
        </xdr:cNvSpPr>
      </xdr:nvSpPr>
      <xdr:spPr>
        <a:xfrm flipV="1">
          <a:off x="514350" y="114014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152400</xdr:rowOff>
    </xdr:to>
    <xdr:sp>
      <xdr:nvSpPr>
        <xdr:cNvPr id="8" name="Line 8"/>
        <xdr:cNvSpPr>
          <a:spLocks/>
        </xdr:cNvSpPr>
      </xdr:nvSpPr>
      <xdr:spPr>
        <a:xfrm flipV="1">
          <a:off x="1143000" y="114014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47</xdr:row>
      <xdr:rowOff>180975</xdr:rowOff>
    </xdr:from>
    <xdr:to>
      <xdr:col>4</xdr:col>
      <xdr:colOff>9525</xdr:colOff>
      <xdr:row>48</xdr:row>
      <xdr:rowOff>161925</xdr:rowOff>
    </xdr:to>
    <xdr:sp>
      <xdr:nvSpPr>
        <xdr:cNvPr id="9" name="Line 9"/>
        <xdr:cNvSpPr>
          <a:spLocks/>
        </xdr:cNvSpPr>
      </xdr:nvSpPr>
      <xdr:spPr>
        <a:xfrm flipV="1">
          <a:off x="2305050" y="11391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152400</xdr:rowOff>
    </xdr:to>
    <xdr:sp>
      <xdr:nvSpPr>
        <xdr:cNvPr id="10" name="Line 10"/>
        <xdr:cNvSpPr>
          <a:spLocks/>
        </xdr:cNvSpPr>
      </xdr:nvSpPr>
      <xdr:spPr>
        <a:xfrm flipV="1">
          <a:off x="2838450" y="11420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76200</xdr:colOff>
      <xdr:row>57</xdr:row>
      <xdr:rowOff>0</xdr:rowOff>
    </xdr:from>
    <xdr:to>
      <xdr:col>5</xdr:col>
      <xdr:colOff>266700</xdr:colOff>
      <xdr:row>57</xdr:row>
      <xdr:rowOff>0</xdr:rowOff>
    </xdr:to>
    <xdr:sp>
      <xdr:nvSpPr>
        <xdr:cNvPr id="11" name="Line 11"/>
        <xdr:cNvSpPr>
          <a:spLocks/>
        </xdr:cNvSpPr>
      </xdr:nvSpPr>
      <xdr:spPr>
        <a:xfrm>
          <a:off x="2914650" y="13125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95250</xdr:colOff>
      <xdr:row>51</xdr:row>
      <xdr:rowOff>0</xdr:rowOff>
    </xdr:from>
    <xdr:to>
      <xdr:col>5</xdr:col>
      <xdr:colOff>247650</xdr:colOff>
      <xdr:row>51</xdr:row>
      <xdr:rowOff>0</xdr:rowOff>
    </xdr:to>
    <xdr:sp>
      <xdr:nvSpPr>
        <xdr:cNvPr id="12" name="Line 12"/>
        <xdr:cNvSpPr>
          <a:spLocks/>
        </xdr:cNvSpPr>
      </xdr:nvSpPr>
      <xdr:spPr>
        <a:xfrm>
          <a:off x="2933700" y="11972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76200</xdr:colOff>
      <xdr:row>49</xdr:row>
      <xdr:rowOff>0</xdr:rowOff>
    </xdr:from>
    <xdr:to>
      <xdr:col>5</xdr:col>
      <xdr:colOff>238125</xdr:colOff>
      <xdr:row>49</xdr:row>
      <xdr:rowOff>0</xdr:rowOff>
    </xdr:to>
    <xdr:sp>
      <xdr:nvSpPr>
        <xdr:cNvPr id="13" name="Line 13"/>
        <xdr:cNvSpPr>
          <a:spLocks/>
        </xdr:cNvSpPr>
      </xdr:nvSpPr>
      <xdr:spPr>
        <a:xfrm>
          <a:off x="2914650" y="115919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76200</xdr:colOff>
      <xdr:row>54</xdr:row>
      <xdr:rowOff>180975</xdr:rowOff>
    </xdr:from>
    <xdr:to>
      <xdr:col>5</xdr:col>
      <xdr:colOff>276225</xdr:colOff>
      <xdr:row>55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914650" y="12725400"/>
          <a:ext cx="200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123825</xdr:colOff>
      <xdr:row>50</xdr:row>
      <xdr:rowOff>0</xdr:rowOff>
    </xdr:from>
    <xdr:to>
      <xdr:col>1</xdr:col>
      <xdr:colOff>447675</xdr:colOff>
      <xdr:row>50</xdr:row>
      <xdr:rowOff>0</xdr:rowOff>
    </xdr:to>
    <xdr:sp>
      <xdr:nvSpPr>
        <xdr:cNvPr id="15" name="Line 18"/>
        <xdr:cNvSpPr>
          <a:spLocks/>
        </xdr:cNvSpPr>
      </xdr:nvSpPr>
      <xdr:spPr>
        <a:xfrm>
          <a:off x="638175" y="117824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133350</xdr:colOff>
      <xdr:row>53</xdr:row>
      <xdr:rowOff>0</xdr:rowOff>
    </xdr:from>
    <xdr:to>
      <xdr:col>1</xdr:col>
      <xdr:colOff>447675</xdr:colOff>
      <xdr:row>53</xdr:row>
      <xdr:rowOff>0</xdr:rowOff>
    </xdr:to>
    <xdr:sp>
      <xdr:nvSpPr>
        <xdr:cNvPr id="16" name="Line 19"/>
        <xdr:cNvSpPr>
          <a:spLocks/>
        </xdr:cNvSpPr>
      </xdr:nvSpPr>
      <xdr:spPr>
        <a:xfrm>
          <a:off x="647700" y="12353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104775</xdr:colOff>
      <xdr:row>50</xdr:row>
      <xdr:rowOff>0</xdr:rowOff>
    </xdr:from>
    <xdr:to>
      <xdr:col>4</xdr:col>
      <xdr:colOff>419100</xdr:colOff>
      <xdr:row>50</xdr:row>
      <xdr:rowOff>0</xdr:rowOff>
    </xdr:to>
    <xdr:sp>
      <xdr:nvSpPr>
        <xdr:cNvPr id="17" name="Line 20"/>
        <xdr:cNvSpPr>
          <a:spLocks/>
        </xdr:cNvSpPr>
      </xdr:nvSpPr>
      <xdr:spPr>
        <a:xfrm>
          <a:off x="2400300" y="11782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133350</xdr:colOff>
      <xdr:row>53</xdr:row>
      <xdr:rowOff>9525</xdr:rowOff>
    </xdr:from>
    <xdr:to>
      <xdr:col>4</xdr:col>
      <xdr:colOff>457200</xdr:colOff>
      <xdr:row>53</xdr:row>
      <xdr:rowOff>9525</xdr:rowOff>
    </xdr:to>
    <xdr:sp>
      <xdr:nvSpPr>
        <xdr:cNvPr id="18" name="Line 21"/>
        <xdr:cNvSpPr>
          <a:spLocks/>
        </xdr:cNvSpPr>
      </xdr:nvSpPr>
      <xdr:spPr>
        <a:xfrm>
          <a:off x="2428875" y="12363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209550</xdr:colOff>
      <xdr:row>37</xdr:row>
      <xdr:rowOff>57150</xdr:rowOff>
    </xdr:from>
    <xdr:to>
      <xdr:col>1</xdr:col>
      <xdr:colOff>209550</xdr:colOff>
      <xdr:row>38</xdr:row>
      <xdr:rowOff>161925</xdr:rowOff>
    </xdr:to>
    <xdr:sp>
      <xdr:nvSpPr>
        <xdr:cNvPr id="19" name="Line 22"/>
        <xdr:cNvSpPr>
          <a:spLocks/>
        </xdr:cNvSpPr>
      </xdr:nvSpPr>
      <xdr:spPr>
        <a:xfrm>
          <a:off x="723900" y="93345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209550</xdr:colOff>
      <xdr:row>44</xdr:row>
      <xdr:rowOff>19050</xdr:rowOff>
    </xdr:from>
    <xdr:to>
      <xdr:col>1</xdr:col>
      <xdr:colOff>209550</xdr:colOff>
      <xdr:row>46</xdr:row>
      <xdr:rowOff>28575</xdr:rowOff>
    </xdr:to>
    <xdr:sp>
      <xdr:nvSpPr>
        <xdr:cNvPr id="20" name="Line 23"/>
        <xdr:cNvSpPr>
          <a:spLocks/>
        </xdr:cNvSpPr>
      </xdr:nvSpPr>
      <xdr:spPr>
        <a:xfrm>
          <a:off x="723900" y="106299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476250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" name="Line 24"/>
        <xdr:cNvSpPr>
          <a:spLocks/>
        </xdr:cNvSpPr>
      </xdr:nvSpPr>
      <xdr:spPr>
        <a:xfrm>
          <a:off x="476250" y="11972925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19050</xdr:rowOff>
    </xdr:from>
    <xdr:to>
      <xdr:col>5</xdr:col>
      <xdr:colOff>0</xdr:colOff>
      <xdr:row>55</xdr:row>
      <xdr:rowOff>19050</xdr:rowOff>
    </xdr:to>
    <xdr:sp>
      <xdr:nvSpPr>
        <xdr:cNvPr id="22" name="Line 25"/>
        <xdr:cNvSpPr>
          <a:spLocks/>
        </xdr:cNvSpPr>
      </xdr:nvSpPr>
      <xdr:spPr>
        <a:xfrm>
          <a:off x="514350" y="127635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9525</xdr:rowOff>
    </xdr:from>
    <xdr:to>
      <xdr:col>2</xdr:col>
      <xdr:colOff>0</xdr:colOff>
      <xdr:row>45</xdr:row>
      <xdr:rowOff>180975</xdr:rowOff>
    </xdr:to>
    <xdr:sp>
      <xdr:nvSpPr>
        <xdr:cNvPr id="23" name="Line 26"/>
        <xdr:cNvSpPr>
          <a:spLocks/>
        </xdr:cNvSpPr>
      </xdr:nvSpPr>
      <xdr:spPr>
        <a:xfrm flipV="1">
          <a:off x="1143000" y="947737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46</xdr:row>
      <xdr:rowOff>9525</xdr:rowOff>
    </xdr:to>
    <xdr:sp>
      <xdr:nvSpPr>
        <xdr:cNvPr id="24" name="Line 27"/>
        <xdr:cNvSpPr>
          <a:spLocks/>
        </xdr:cNvSpPr>
      </xdr:nvSpPr>
      <xdr:spPr>
        <a:xfrm flipV="1">
          <a:off x="2295525" y="9467850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476250</xdr:colOff>
      <xdr:row>58</xdr:row>
      <xdr:rowOff>38100</xdr:rowOff>
    </xdr:from>
    <xdr:to>
      <xdr:col>5</xdr:col>
      <xdr:colOff>0</xdr:colOff>
      <xdr:row>58</xdr:row>
      <xdr:rowOff>38100</xdr:rowOff>
    </xdr:to>
    <xdr:sp>
      <xdr:nvSpPr>
        <xdr:cNvPr id="25" name="Line 28"/>
        <xdr:cNvSpPr>
          <a:spLocks/>
        </xdr:cNvSpPr>
      </xdr:nvSpPr>
      <xdr:spPr>
        <a:xfrm>
          <a:off x="476250" y="133540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476250</xdr:colOff>
      <xdr:row>57</xdr:row>
      <xdr:rowOff>66675</xdr:rowOff>
    </xdr:from>
    <xdr:to>
      <xdr:col>0</xdr:col>
      <xdr:colOff>476250</xdr:colOff>
      <xdr:row>58</xdr:row>
      <xdr:rowOff>152400</xdr:rowOff>
    </xdr:to>
    <xdr:sp>
      <xdr:nvSpPr>
        <xdr:cNvPr id="26" name="Line 29"/>
        <xdr:cNvSpPr>
          <a:spLocks/>
        </xdr:cNvSpPr>
      </xdr:nvSpPr>
      <xdr:spPr>
        <a:xfrm flipV="1">
          <a:off x="476250" y="131921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533400</xdr:colOff>
      <xdr:row>57</xdr:row>
      <xdr:rowOff>47625</xdr:rowOff>
    </xdr:from>
    <xdr:to>
      <xdr:col>4</xdr:col>
      <xdr:colOff>533400</xdr:colOff>
      <xdr:row>58</xdr:row>
      <xdr:rowOff>142875</xdr:rowOff>
    </xdr:to>
    <xdr:sp>
      <xdr:nvSpPr>
        <xdr:cNvPr id="27" name="Line 30"/>
        <xdr:cNvSpPr>
          <a:spLocks/>
        </xdr:cNvSpPr>
      </xdr:nvSpPr>
      <xdr:spPr>
        <a:xfrm flipV="1">
          <a:off x="2828925" y="131730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171450</xdr:colOff>
      <xdr:row>57</xdr:row>
      <xdr:rowOff>0</xdr:rowOff>
    </xdr:from>
    <xdr:to>
      <xdr:col>0</xdr:col>
      <xdr:colOff>447675</xdr:colOff>
      <xdr:row>57</xdr:row>
      <xdr:rowOff>0</xdr:rowOff>
    </xdr:to>
    <xdr:sp>
      <xdr:nvSpPr>
        <xdr:cNvPr id="28" name="Line 31"/>
        <xdr:cNvSpPr>
          <a:spLocks/>
        </xdr:cNvSpPr>
      </xdr:nvSpPr>
      <xdr:spPr>
        <a:xfrm flipH="1">
          <a:off x="171450" y="13125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142875</xdr:colOff>
      <xdr:row>48</xdr:row>
      <xdr:rowOff>180975</xdr:rowOff>
    </xdr:from>
    <xdr:to>
      <xdr:col>0</xdr:col>
      <xdr:colOff>438150</xdr:colOff>
      <xdr:row>48</xdr:row>
      <xdr:rowOff>180975</xdr:rowOff>
    </xdr:to>
    <xdr:sp>
      <xdr:nvSpPr>
        <xdr:cNvPr id="29" name="Line 32"/>
        <xdr:cNvSpPr>
          <a:spLocks/>
        </xdr:cNvSpPr>
      </xdr:nvSpPr>
      <xdr:spPr>
        <a:xfrm flipH="1">
          <a:off x="142875" y="115824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323850</xdr:colOff>
      <xdr:row>49</xdr:row>
      <xdr:rowOff>0</xdr:rowOff>
    </xdr:from>
    <xdr:to>
      <xdr:col>0</xdr:col>
      <xdr:colOff>323850</xdr:colOff>
      <xdr:row>56</xdr:row>
      <xdr:rowOff>180975</xdr:rowOff>
    </xdr:to>
    <xdr:sp>
      <xdr:nvSpPr>
        <xdr:cNvPr id="30" name="Line 33"/>
        <xdr:cNvSpPr>
          <a:spLocks/>
        </xdr:cNvSpPr>
      </xdr:nvSpPr>
      <xdr:spPr>
        <a:xfrm flipV="1">
          <a:off x="323850" y="1159192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1</xdr:col>
      <xdr:colOff>0</xdr:colOff>
      <xdr:row>37</xdr:row>
      <xdr:rowOff>114300</xdr:rowOff>
    </xdr:to>
    <xdr:sp>
      <xdr:nvSpPr>
        <xdr:cNvPr id="31" name="Line 34"/>
        <xdr:cNvSpPr>
          <a:spLocks/>
        </xdr:cNvSpPr>
      </xdr:nvSpPr>
      <xdr:spPr>
        <a:xfrm flipV="1">
          <a:off x="514350" y="91725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85725</xdr:rowOff>
    </xdr:from>
    <xdr:to>
      <xdr:col>5</xdr:col>
      <xdr:colOff>0</xdr:colOff>
      <xdr:row>37</xdr:row>
      <xdr:rowOff>123825</xdr:rowOff>
    </xdr:to>
    <xdr:sp>
      <xdr:nvSpPr>
        <xdr:cNvPr id="32" name="Line 35"/>
        <xdr:cNvSpPr>
          <a:spLocks/>
        </xdr:cNvSpPr>
      </xdr:nvSpPr>
      <xdr:spPr>
        <a:xfrm flipV="1">
          <a:off x="2838450" y="91725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66675</xdr:rowOff>
    </xdr:from>
    <xdr:to>
      <xdr:col>2</xdr:col>
      <xdr:colOff>0</xdr:colOff>
      <xdr:row>37</xdr:row>
      <xdr:rowOff>114300</xdr:rowOff>
    </xdr:to>
    <xdr:sp>
      <xdr:nvSpPr>
        <xdr:cNvPr id="33" name="Line 36"/>
        <xdr:cNvSpPr>
          <a:spLocks/>
        </xdr:cNvSpPr>
      </xdr:nvSpPr>
      <xdr:spPr>
        <a:xfrm flipV="1">
          <a:off x="1143000" y="91535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76200</xdr:rowOff>
    </xdr:from>
    <xdr:to>
      <xdr:col>4</xdr:col>
      <xdr:colOff>0</xdr:colOff>
      <xdr:row>37</xdr:row>
      <xdr:rowOff>133350</xdr:rowOff>
    </xdr:to>
    <xdr:sp>
      <xdr:nvSpPr>
        <xdr:cNvPr id="34" name="Line 37"/>
        <xdr:cNvSpPr>
          <a:spLocks/>
        </xdr:cNvSpPr>
      </xdr:nvSpPr>
      <xdr:spPr>
        <a:xfrm flipV="1">
          <a:off x="2295525" y="9163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152400</xdr:rowOff>
    </xdr:from>
    <xdr:to>
      <xdr:col>1</xdr:col>
      <xdr:colOff>571500</xdr:colOff>
      <xdr:row>36</xdr:row>
      <xdr:rowOff>152400</xdr:rowOff>
    </xdr:to>
    <xdr:sp>
      <xdr:nvSpPr>
        <xdr:cNvPr id="35" name="Line 38"/>
        <xdr:cNvSpPr>
          <a:spLocks/>
        </xdr:cNvSpPr>
      </xdr:nvSpPr>
      <xdr:spPr>
        <a:xfrm>
          <a:off x="514350" y="9239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152400</xdr:rowOff>
    </xdr:from>
    <xdr:to>
      <xdr:col>3</xdr:col>
      <xdr:colOff>495300</xdr:colOff>
      <xdr:row>36</xdr:row>
      <xdr:rowOff>152400</xdr:rowOff>
    </xdr:to>
    <xdr:sp>
      <xdr:nvSpPr>
        <xdr:cNvPr id="36" name="Line 39"/>
        <xdr:cNvSpPr>
          <a:spLocks/>
        </xdr:cNvSpPr>
      </xdr:nvSpPr>
      <xdr:spPr>
        <a:xfrm>
          <a:off x="1143000" y="92392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152400</xdr:rowOff>
    </xdr:from>
    <xdr:to>
      <xdr:col>5</xdr:col>
      <xdr:colOff>9525</xdr:colOff>
      <xdr:row>36</xdr:row>
      <xdr:rowOff>152400</xdr:rowOff>
    </xdr:to>
    <xdr:sp>
      <xdr:nvSpPr>
        <xdr:cNvPr id="37" name="Line 40"/>
        <xdr:cNvSpPr>
          <a:spLocks/>
        </xdr:cNvSpPr>
      </xdr:nvSpPr>
      <xdr:spPr>
        <a:xfrm>
          <a:off x="2295525" y="92392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114300</xdr:rowOff>
    </xdr:from>
    <xdr:to>
      <xdr:col>4</xdr:col>
      <xdr:colOff>533400</xdr:colOff>
      <xdr:row>39</xdr:row>
      <xdr:rowOff>114300</xdr:rowOff>
    </xdr:to>
    <xdr:sp>
      <xdr:nvSpPr>
        <xdr:cNvPr id="38" name="Line 41"/>
        <xdr:cNvSpPr>
          <a:spLocks/>
        </xdr:cNvSpPr>
      </xdr:nvSpPr>
      <xdr:spPr>
        <a:xfrm>
          <a:off x="514350" y="97726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28575</xdr:rowOff>
    </xdr:from>
    <xdr:to>
      <xdr:col>4</xdr:col>
      <xdr:colOff>533400</xdr:colOff>
      <xdr:row>44</xdr:row>
      <xdr:rowOff>28575</xdr:rowOff>
    </xdr:to>
    <xdr:sp>
      <xdr:nvSpPr>
        <xdr:cNvPr id="39" name="Line 42"/>
        <xdr:cNvSpPr>
          <a:spLocks/>
        </xdr:cNvSpPr>
      </xdr:nvSpPr>
      <xdr:spPr>
        <a:xfrm>
          <a:off x="514350" y="106394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57</xdr:row>
      <xdr:rowOff>0</xdr:rowOff>
    </xdr:to>
    <xdr:sp>
      <xdr:nvSpPr>
        <xdr:cNvPr id="40" name="Line 43"/>
        <xdr:cNvSpPr>
          <a:spLocks/>
        </xdr:cNvSpPr>
      </xdr:nvSpPr>
      <xdr:spPr>
        <a:xfrm>
          <a:off x="1143000" y="1159192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0</xdr:rowOff>
    </xdr:from>
    <xdr:to>
      <xdr:col>4</xdr:col>
      <xdr:colOff>9525</xdr:colOff>
      <xdr:row>56</xdr:row>
      <xdr:rowOff>180975</xdr:rowOff>
    </xdr:to>
    <xdr:sp>
      <xdr:nvSpPr>
        <xdr:cNvPr id="41" name="Line 44"/>
        <xdr:cNvSpPr>
          <a:spLocks/>
        </xdr:cNvSpPr>
      </xdr:nvSpPr>
      <xdr:spPr>
        <a:xfrm>
          <a:off x="2305050" y="1159192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38100</xdr:colOff>
      <xdr:row>46</xdr:row>
      <xdr:rowOff>0</xdr:rowOff>
    </xdr:from>
    <xdr:to>
      <xdr:col>5</xdr:col>
      <xdr:colOff>352425</xdr:colOff>
      <xdr:row>46</xdr:row>
      <xdr:rowOff>0</xdr:rowOff>
    </xdr:to>
    <xdr:sp>
      <xdr:nvSpPr>
        <xdr:cNvPr id="42" name="Line 45"/>
        <xdr:cNvSpPr>
          <a:spLocks/>
        </xdr:cNvSpPr>
      </xdr:nvSpPr>
      <xdr:spPr>
        <a:xfrm>
          <a:off x="2876550" y="110013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38100</xdr:colOff>
      <xdr:row>38</xdr:row>
      <xdr:rowOff>0</xdr:rowOff>
    </xdr:from>
    <xdr:to>
      <xdr:col>5</xdr:col>
      <xdr:colOff>371475</xdr:colOff>
      <xdr:row>38</xdr:row>
      <xdr:rowOff>0</xdr:rowOff>
    </xdr:to>
    <xdr:sp>
      <xdr:nvSpPr>
        <xdr:cNvPr id="43" name="Line 46"/>
        <xdr:cNvSpPr>
          <a:spLocks/>
        </xdr:cNvSpPr>
      </xdr:nvSpPr>
      <xdr:spPr>
        <a:xfrm>
          <a:off x="2876550" y="9467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190500</xdr:colOff>
      <xdr:row>38</xdr:row>
      <xdr:rowOff>0</xdr:rowOff>
    </xdr:from>
    <xdr:to>
      <xdr:col>5</xdr:col>
      <xdr:colOff>190500</xdr:colOff>
      <xdr:row>46</xdr:row>
      <xdr:rowOff>0</xdr:rowOff>
    </xdr:to>
    <xdr:sp>
      <xdr:nvSpPr>
        <xdr:cNvPr id="44" name="Line 47"/>
        <xdr:cNvSpPr>
          <a:spLocks/>
        </xdr:cNvSpPr>
      </xdr:nvSpPr>
      <xdr:spPr>
        <a:xfrm flipV="1">
          <a:off x="3028950" y="946785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28575</xdr:rowOff>
    </xdr:from>
    <xdr:to>
      <xdr:col>1</xdr:col>
      <xdr:colOff>0</xdr:colOff>
      <xdr:row>47</xdr:row>
      <xdr:rowOff>76200</xdr:rowOff>
    </xdr:to>
    <xdr:sp>
      <xdr:nvSpPr>
        <xdr:cNvPr id="45" name="Line 48"/>
        <xdr:cNvSpPr>
          <a:spLocks/>
        </xdr:cNvSpPr>
      </xdr:nvSpPr>
      <xdr:spPr>
        <a:xfrm>
          <a:off x="514350" y="110299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38100</xdr:rowOff>
    </xdr:from>
    <xdr:to>
      <xdr:col>5</xdr:col>
      <xdr:colOff>0</xdr:colOff>
      <xdr:row>47</xdr:row>
      <xdr:rowOff>95250</xdr:rowOff>
    </xdr:to>
    <xdr:sp>
      <xdr:nvSpPr>
        <xdr:cNvPr id="46" name="Line 49"/>
        <xdr:cNvSpPr>
          <a:spLocks/>
        </xdr:cNvSpPr>
      </xdr:nvSpPr>
      <xdr:spPr>
        <a:xfrm>
          <a:off x="2838450" y="110394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476250</xdr:colOff>
      <xdr:row>46</xdr:row>
      <xdr:rowOff>180975</xdr:rowOff>
    </xdr:from>
    <xdr:to>
      <xdr:col>5</xdr:col>
      <xdr:colOff>0</xdr:colOff>
      <xdr:row>46</xdr:row>
      <xdr:rowOff>180975</xdr:rowOff>
    </xdr:to>
    <xdr:sp>
      <xdr:nvSpPr>
        <xdr:cNvPr id="47" name="Line 50"/>
        <xdr:cNvSpPr>
          <a:spLocks/>
        </xdr:cNvSpPr>
      </xdr:nvSpPr>
      <xdr:spPr>
        <a:xfrm>
          <a:off x="476250" y="111823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180975</xdr:rowOff>
    </xdr:from>
    <xdr:to>
      <xdr:col>4</xdr:col>
      <xdr:colOff>9525</xdr:colOff>
      <xdr:row>52</xdr:row>
      <xdr:rowOff>180975</xdr:rowOff>
    </xdr:to>
    <xdr:sp>
      <xdr:nvSpPr>
        <xdr:cNvPr id="48" name="Line 51"/>
        <xdr:cNvSpPr>
          <a:spLocks/>
        </xdr:cNvSpPr>
      </xdr:nvSpPr>
      <xdr:spPr>
        <a:xfrm>
          <a:off x="1143000" y="123444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49" name="Line 52"/>
        <xdr:cNvSpPr>
          <a:spLocks/>
        </xdr:cNvSpPr>
      </xdr:nvSpPr>
      <xdr:spPr>
        <a:xfrm>
          <a:off x="1143000" y="117824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590550</xdr:colOff>
      <xdr:row>39</xdr:row>
      <xdr:rowOff>114300</xdr:rowOff>
    </xdr:from>
    <xdr:to>
      <xdr:col>2</xdr:col>
      <xdr:colOff>590550</xdr:colOff>
      <xdr:row>44</xdr:row>
      <xdr:rowOff>19050</xdr:rowOff>
    </xdr:to>
    <xdr:sp>
      <xdr:nvSpPr>
        <xdr:cNvPr id="50" name="Line 53"/>
        <xdr:cNvSpPr>
          <a:spLocks/>
        </xdr:cNvSpPr>
      </xdr:nvSpPr>
      <xdr:spPr>
        <a:xfrm flipV="1">
          <a:off x="1733550" y="97726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590550</xdr:colOff>
      <xdr:row>44</xdr:row>
      <xdr:rowOff>28575</xdr:rowOff>
    </xdr:from>
    <xdr:to>
      <xdr:col>2</xdr:col>
      <xdr:colOff>590550</xdr:colOff>
      <xdr:row>45</xdr:row>
      <xdr:rowOff>180975</xdr:rowOff>
    </xdr:to>
    <xdr:sp>
      <xdr:nvSpPr>
        <xdr:cNvPr id="51" name="Line 54"/>
        <xdr:cNvSpPr>
          <a:spLocks/>
        </xdr:cNvSpPr>
      </xdr:nvSpPr>
      <xdr:spPr>
        <a:xfrm flipV="1">
          <a:off x="1733550" y="106394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590550</xdr:colOff>
      <xdr:row>38</xdr:row>
      <xdr:rowOff>9525</xdr:rowOff>
    </xdr:from>
    <xdr:to>
      <xdr:col>2</xdr:col>
      <xdr:colOff>590550</xdr:colOff>
      <xdr:row>39</xdr:row>
      <xdr:rowOff>114300</xdr:rowOff>
    </xdr:to>
    <xdr:sp>
      <xdr:nvSpPr>
        <xdr:cNvPr id="52" name="Line 55"/>
        <xdr:cNvSpPr>
          <a:spLocks/>
        </xdr:cNvSpPr>
      </xdr:nvSpPr>
      <xdr:spPr>
        <a:xfrm flipV="1">
          <a:off x="1733550" y="94773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209550</xdr:colOff>
      <xdr:row>39</xdr:row>
      <xdr:rowOff>104775</xdr:rowOff>
    </xdr:from>
    <xdr:to>
      <xdr:col>1</xdr:col>
      <xdr:colOff>209550</xdr:colOff>
      <xdr:row>44</xdr:row>
      <xdr:rowOff>19050</xdr:rowOff>
    </xdr:to>
    <xdr:sp>
      <xdr:nvSpPr>
        <xdr:cNvPr id="53" name="Line 56"/>
        <xdr:cNvSpPr>
          <a:spLocks/>
        </xdr:cNvSpPr>
      </xdr:nvSpPr>
      <xdr:spPr>
        <a:xfrm flipV="1">
          <a:off x="723900" y="97631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133350</xdr:colOff>
      <xdr:row>56</xdr:row>
      <xdr:rowOff>9525</xdr:rowOff>
    </xdr:from>
    <xdr:to>
      <xdr:col>1</xdr:col>
      <xdr:colOff>438150</xdr:colOff>
      <xdr:row>56</xdr:row>
      <xdr:rowOff>9525</xdr:rowOff>
    </xdr:to>
    <xdr:sp>
      <xdr:nvSpPr>
        <xdr:cNvPr id="54" name="Line 57"/>
        <xdr:cNvSpPr>
          <a:spLocks/>
        </xdr:cNvSpPr>
      </xdr:nvSpPr>
      <xdr:spPr>
        <a:xfrm>
          <a:off x="647700" y="12944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161925</xdr:colOff>
      <xdr:row>56</xdr:row>
      <xdr:rowOff>19050</xdr:rowOff>
    </xdr:from>
    <xdr:to>
      <xdr:col>4</xdr:col>
      <xdr:colOff>428625</xdr:colOff>
      <xdr:row>56</xdr:row>
      <xdr:rowOff>19050</xdr:rowOff>
    </xdr:to>
    <xdr:sp>
      <xdr:nvSpPr>
        <xdr:cNvPr id="55" name="Line 58"/>
        <xdr:cNvSpPr>
          <a:spLocks/>
        </xdr:cNvSpPr>
      </xdr:nvSpPr>
      <xdr:spPr>
        <a:xfrm>
          <a:off x="2457450" y="129540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19050</xdr:rowOff>
    </xdr:from>
    <xdr:to>
      <xdr:col>4</xdr:col>
      <xdr:colOff>9525</xdr:colOff>
      <xdr:row>56</xdr:row>
      <xdr:rowOff>19050</xdr:rowOff>
    </xdr:to>
    <xdr:sp>
      <xdr:nvSpPr>
        <xdr:cNvPr id="56" name="Line 59"/>
        <xdr:cNvSpPr>
          <a:spLocks/>
        </xdr:cNvSpPr>
      </xdr:nvSpPr>
      <xdr:spPr>
        <a:xfrm>
          <a:off x="1152525" y="129540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361950</xdr:colOff>
      <xdr:row>59</xdr:row>
      <xdr:rowOff>38100</xdr:rowOff>
    </xdr:from>
    <xdr:to>
      <xdr:col>4</xdr:col>
      <xdr:colOff>180975</xdr:colOff>
      <xdr:row>59</xdr:row>
      <xdr:rowOff>38100</xdr:rowOff>
    </xdr:to>
    <xdr:sp>
      <xdr:nvSpPr>
        <xdr:cNvPr id="57" name="Line 60"/>
        <xdr:cNvSpPr>
          <a:spLocks/>
        </xdr:cNvSpPr>
      </xdr:nvSpPr>
      <xdr:spPr>
        <a:xfrm>
          <a:off x="876300" y="135445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352425</xdr:colOff>
      <xdr:row>59</xdr:row>
      <xdr:rowOff>161925</xdr:rowOff>
    </xdr:from>
    <xdr:to>
      <xdr:col>4</xdr:col>
      <xdr:colOff>180975</xdr:colOff>
      <xdr:row>59</xdr:row>
      <xdr:rowOff>161925</xdr:rowOff>
    </xdr:to>
    <xdr:sp>
      <xdr:nvSpPr>
        <xdr:cNvPr id="58" name="Line 61"/>
        <xdr:cNvSpPr>
          <a:spLocks/>
        </xdr:cNvSpPr>
      </xdr:nvSpPr>
      <xdr:spPr>
        <a:xfrm>
          <a:off x="866775" y="136683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790575</xdr:colOff>
      <xdr:row>23</xdr:row>
      <xdr:rowOff>0</xdr:rowOff>
    </xdr:from>
    <xdr:to>
      <xdr:col>8</xdr:col>
      <xdr:colOff>1285875</xdr:colOff>
      <xdr:row>24</xdr:row>
      <xdr:rowOff>38100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4829175" y="6000750"/>
          <a:ext cx="495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8</xdr:col>
      <xdr:colOff>1123950</xdr:colOff>
      <xdr:row>22</xdr:row>
      <xdr:rowOff>257175</xdr:rowOff>
    </xdr:from>
    <xdr:to>
      <xdr:col>9</xdr:col>
      <xdr:colOff>104775</xdr:colOff>
      <xdr:row>24</xdr:row>
      <xdr:rowOff>66675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162550" y="6000750"/>
          <a:ext cx="742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จำนวน</a:t>
          </a:r>
        </a:p>
      </xdr:txBody>
    </xdr:sp>
    <xdr:clientData/>
  </xdr:twoCellAnchor>
  <xdr:twoCellAnchor>
    <xdr:from>
      <xdr:col>8</xdr:col>
      <xdr:colOff>857250</xdr:colOff>
      <xdr:row>26</xdr:row>
      <xdr:rowOff>247650</xdr:rowOff>
    </xdr:from>
    <xdr:to>
      <xdr:col>8</xdr:col>
      <xdr:colOff>1371600</xdr:colOff>
      <xdr:row>27</xdr:row>
      <xdr:rowOff>238125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895850" y="7019925"/>
          <a:ext cx="514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8</xdr:col>
      <xdr:colOff>1143000</xdr:colOff>
      <xdr:row>26</xdr:row>
      <xdr:rowOff>247650</xdr:rowOff>
    </xdr:from>
    <xdr:to>
      <xdr:col>9</xdr:col>
      <xdr:colOff>76200</xdr:colOff>
      <xdr:row>27</xdr:row>
      <xdr:rowOff>238125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5181600" y="7019925"/>
          <a:ext cx="695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จำนวน</a:t>
          </a:r>
        </a:p>
      </xdr:txBody>
    </xdr:sp>
    <xdr:clientData/>
  </xdr:twoCellAnchor>
  <xdr:twoCellAnchor>
    <xdr:from>
      <xdr:col>8</xdr:col>
      <xdr:colOff>1009650</xdr:colOff>
      <xdr:row>1</xdr:row>
      <xdr:rowOff>28575</xdr:rowOff>
    </xdr:from>
    <xdr:to>
      <xdr:col>10</xdr:col>
      <xdr:colOff>142875</xdr:colOff>
      <xdr:row>1</xdr:row>
      <xdr:rowOff>276225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048250" y="419100"/>
          <a:ext cx="1447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Tahoma"/>
              <a:ea typeface="Tahoma"/>
              <a:cs typeface="Tahoma"/>
            </a:rPr>
            <a:t>สงกรานต์</a:t>
          </a:r>
          <a:r>
            <a:rPr lang="en-US" cap="none" sz="1100" b="0" i="0" u="none" baseline="0">
              <a:solidFill>
                <a:srgbClr val="0066CC"/>
              </a:solidFill>
              <a:latin typeface="Tahoma"/>
              <a:ea typeface="Tahoma"/>
              <a:cs typeface="Tahoma"/>
            </a:rPr>
            <a:t>  ปัญญามูล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48</xdr:row>
      <xdr:rowOff>95250</xdr:rowOff>
    </xdr:from>
    <xdr:to>
      <xdr:col>2</xdr:col>
      <xdr:colOff>0</xdr:colOff>
      <xdr:row>48</xdr:row>
      <xdr:rowOff>95250</xdr:rowOff>
    </xdr:to>
    <xdr:sp>
      <xdr:nvSpPr>
        <xdr:cNvPr id="1" name="Line 1"/>
        <xdr:cNvSpPr>
          <a:spLocks/>
        </xdr:cNvSpPr>
      </xdr:nvSpPr>
      <xdr:spPr>
        <a:xfrm>
          <a:off x="466725" y="108870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104775</xdr:rowOff>
    </xdr:from>
    <xdr:to>
      <xdr:col>4</xdr:col>
      <xdr:colOff>0</xdr:colOff>
      <xdr:row>48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095375" y="108966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495300</xdr:colOff>
      <xdr:row>48</xdr:row>
      <xdr:rowOff>114300</xdr:rowOff>
    </xdr:from>
    <xdr:to>
      <xdr:col>5</xdr:col>
      <xdr:colOff>9525</xdr:colOff>
      <xdr:row>48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38375" y="10906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161925</xdr:colOff>
      <xdr:row>55</xdr:row>
      <xdr:rowOff>0</xdr:rowOff>
    </xdr:from>
    <xdr:to>
      <xdr:col>5</xdr:col>
      <xdr:colOff>161925</xdr:colOff>
      <xdr:row>57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952750" y="121348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161925</xdr:colOff>
      <xdr:row>51</xdr:row>
      <xdr:rowOff>9525</xdr:rowOff>
    </xdr:from>
    <xdr:to>
      <xdr:col>5</xdr:col>
      <xdr:colOff>161925</xdr:colOff>
      <xdr:row>54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2952750" y="113728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161925</xdr:colOff>
      <xdr:row>49</xdr:row>
      <xdr:rowOff>0</xdr:rowOff>
    </xdr:from>
    <xdr:to>
      <xdr:col>5</xdr:col>
      <xdr:colOff>161925</xdr:colOff>
      <xdr:row>51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2952750" y="109823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142875</xdr:rowOff>
    </xdr:to>
    <xdr:sp>
      <xdr:nvSpPr>
        <xdr:cNvPr id="7" name="Line 7"/>
        <xdr:cNvSpPr>
          <a:spLocks/>
        </xdr:cNvSpPr>
      </xdr:nvSpPr>
      <xdr:spPr>
        <a:xfrm flipV="1">
          <a:off x="466725" y="107918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152400</xdr:rowOff>
    </xdr:to>
    <xdr:sp>
      <xdr:nvSpPr>
        <xdr:cNvPr id="8" name="Line 8"/>
        <xdr:cNvSpPr>
          <a:spLocks/>
        </xdr:cNvSpPr>
      </xdr:nvSpPr>
      <xdr:spPr>
        <a:xfrm flipV="1">
          <a:off x="1095375" y="107918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47</xdr:row>
      <xdr:rowOff>180975</xdr:rowOff>
    </xdr:from>
    <xdr:to>
      <xdr:col>4</xdr:col>
      <xdr:colOff>9525</xdr:colOff>
      <xdr:row>48</xdr:row>
      <xdr:rowOff>161925</xdr:rowOff>
    </xdr:to>
    <xdr:sp>
      <xdr:nvSpPr>
        <xdr:cNvPr id="9" name="Line 9"/>
        <xdr:cNvSpPr>
          <a:spLocks/>
        </xdr:cNvSpPr>
      </xdr:nvSpPr>
      <xdr:spPr>
        <a:xfrm flipV="1">
          <a:off x="2257425" y="10782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152400</xdr:rowOff>
    </xdr:to>
    <xdr:sp>
      <xdr:nvSpPr>
        <xdr:cNvPr id="10" name="Line 10"/>
        <xdr:cNvSpPr>
          <a:spLocks/>
        </xdr:cNvSpPr>
      </xdr:nvSpPr>
      <xdr:spPr>
        <a:xfrm flipV="1">
          <a:off x="2790825" y="108108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76200</xdr:colOff>
      <xdr:row>57</xdr:row>
      <xdr:rowOff>0</xdr:rowOff>
    </xdr:from>
    <xdr:to>
      <xdr:col>5</xdr:col>
      <xdr:colOff>266700</xdr:colOff>
      <xdr:row>57</xdr:row>
      <xdr:rowOff>0</xdr:rowOff>
    </xdr:to>
    <xdr:sp>
      <xdr:nvSpPr>
        <xdr:cNvPr id="11" name="Line 11"/>
        <xdr:cNvSpPr>
          <a:spLocks/>
        </xdr:cNvSpPr>
      </xdr:nvSpPr>
      <xdr:spPr>
        <a:xfrm>
          <a:off x="2867025" y="12515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95250</xdr:colOff>
      <xdr:row>51</xdr:row>
      <xdr:rowOff>0</xdr:rowOff>
    </xdr:from>
    <xdr:to>
      <xdr:col>5</xdr:col>
      <xdr:colOff>247650</xdr:colOff>
      <xdr:row>51</xdr:row>
      <xdr:rowOff>0</xdr:rowOff>
    </xdr:to>
    <xdr:sp>
      <xdr:nvSpPr>
        <xdr:cNvPr id="12" name="Line 12"/>
        <xdr:cNvSpPr>
          <a:spLocks/>
        </xdr:cNvSpPr>
      </xdr:nvSpPr>
      <xdr:spPr>
        <a:xfrm>
          <a:off x="2886075" y="11363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76200</xdr:colOff>
      <xdr:row>49</xdr:row>
      <xdr:rowOff>0</xdr:rowOff>
    </xdr:from>
    <xdr:to>
      <xdr:col>5</xdr:col>
      <xdr:colOff>238125</xdr:colOff>
      <xdr:row>49</xdr:row>
      <xdr:rowOff>0</xdr:rowOff>
    </xdr:to>
    <xdr:sp>
      <xdr:nvSpPr>
        <xdr:cNvPr id="13" name="Line 13"/>
        <xdr:cNvSpPr>
          <a:spLocks/>
        </xdr:cNvSpPr>
      </xdr:nvSpPr>
      <xdr:spPr>
        <a:xfrm>
          <a:off x="2867025" y="109823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76200</xdr:colOff>
      <xdr:row>54</xdr:row>
      <xdr:rowOff>180975</xdr:rowOff>
    </xdr:from>
    <xdr:to>
      <xdr:col>5</xdr:col>
      <xdr:colOff>276225</xdr:colOff>
      <xdr:row>55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867025" y="12115800"/>
          <a:ext cx="200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123825</xdr:colOff>
      <xdr:row>50</xdr:row>
      <xdr:rowOff>0</xdr:rowOff>
    </xdr:from>
    <xdr:to>
      <xdr:col>1</xdr:col>
      <xdr:colOff>447675</xdr:colOff>
      <xdr:row>50</xdr:row>
      <xdr:rowOff>0</xdr:rowOff>
    </xdr:to>
    <xdr:sp>
      <xdr:nvSpPr>
        <xdr:cNvPr id="15" name="Line 18"/>
        <xdr:cNvSpPr>
          <a:spLocks/>
        </xdr:cNvSpPr>
      </xdr:nvSpPr>
      <xdr:spPr>
        <a:xfrm>
          <a:off x="590550" y="111728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133350</xdr:colOff>
      <xdr:row>53</xdr:row>
      <xdr:rowOff>0</xdr:rowOff>
    </xdr:from>
    <xdr:to>
      <xdr:col>1</xdr:col>
      <xdr:colOff>447675</xdr:colOff>
      <xdr:row>53</xdr:row>
      <xdr:rowOff>0</xdr:rowOff>
    </xdr:to>
    <xdr:sp>
      <xdr:nvSpPr>
        <xdr:cNvPr id="16" name="Line 19"/>
        <xdr:cNvSpPr>
          <a:spLocks/>
        </xdr:cNvSpPr>
      </xdr:nvSpPr>
      <xdr:spPr>
        <a:xfrm>
          <a:off x="600075" y="117443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104775</xdr:colOff>
      <xdr:row>50</xdr:row>
      <xdr:rowOff>0</xdr:rowOff>
    </xdr:from>
    <xdr:to>
      <xdr:col>4</xdr:col>
      <xdr:colOff>419100</xdr:colOff>
      <xdr:row>50</xdr:row>
      <xdr:rowOff>0</xdr:rowOff>
    </xdr:to>
    <xdr:sp>
      <xdr:nvSpPr>
        <xdr:cNvPr id="17" name="Line 20"/>
        <xdr:cNvSpPr>
          <a:spLocks/>
        </xdr:cNvSpPr>
      </xdr:nvSpPr>
      <xdr:spPr>
        <a:xfrm>
          <a:off x="2352675" y="11172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133350</xdr:colOff>
      <xdr:row>53</xdr:row>
      <xdr:rowOff>9525</xdr:rowOff>
    </xdr:from>
    <xdr:to>
      <xdr:col>4</xdr:col>
      <xdr:colOff>457200</xdr:colOff>
      <xdr:row>53</xdr:row>
      <xdr:rowOff>9525</xdr:rowOff>
    </xdr:to>
    <xdr:sp>
      <xdr:nvSpPr>
        <xdr:cNvPr id="18" name="Line 21"/>
        <xdr:cNvSpPr>
          <a:spLocks/>
        </xdr:cNvSpPr>
      </xdr:nvSpPr>
      <xdr:spPr>
        <a:xfrm>
          <a:off x="2381250" y="11753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209550</xdr:colOff>
      <xdr:row>37</xdr:row>
      <xdr:rowOff>57150</xdr:rowOff>
    </xdr:from>
    <xdr:to>
      <xdr:col>1</xdr:col>
      <xdr:colOff>209550</xdr:colOff>
      <xdr:row>38</xdr:row>
      <xdr:rowOff>161925</xdr:rowOff>
    </xdr:to>
    <xdr:sp>
      <xdr:nvSpPr>
        <xdr:cNvPr id="19" name="Line 22"/>
        <xdr:cNvSpPr>
          <a:spLocks/>
        </xdr:cNvSpPr>
      </xdr:nvSpPr>
      <xdr:spPr>
        <a:xfrm>
          <a:off x="676275" y="87249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209550</xdr:colOff>
      <xdr:row>44</xdr:row>
      <xdr:rowOff>19050</xdr:rowOff>
    </xdr:from>
    <xdr:to>
      <xdr:col>1</xdr:col>
      <xdr:colOff>209550</xdr:colOff>
      <xdr:row>46</xdr:row>
      <xdr:rowOff>28575</xdr:rowOff>
    </xdr:to>
    <xdr:sp>
      <xdr:nvSpPr>
        <xdr:cNvPr id="20" name="Line 23"/>
        <xdr:cNvSpPr>
          <a:spLocks/>
        </xdr:cNvSpPr>
      </xdr:nvSpPr>
      <xdr:spPr>
        <a:xfrm>
          <a:off x="676275" y="100203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466725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1" name="Line 24"/>
        <xdr:cNvSpPr>
          <a:spLocks/>
        </xdr:cNvSpPr>
      </xdr:nvSpPr>
      <xdr:spPr>
        <a:xfrm>
          <a:off x="466725" y="1136332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19050</xdr:rowOff>
    </xdr:from>
    <xdr:to>
      <xdr:col>5</xdr:col>
      <xdr:colOff>0</xdr:colOff>
      <xdr:row>55</xdr:row>
      <xdr:rowOff>19050</xdr:rowOff>
    </xdr:to>
    <xdr:sp>
      <xdr:nvSpPr>
        <xdr:cNvPr id="22" name="Line 25"/>
        <xdr:cNvSpPr>
          <a:spLocks/>
        </xdr:cNvSpPr>
      </xdr:nvSpPr>
      <xdr:spPr>
        <a:xfrm>
          <a:off x="466725" y="121539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9525</xdr:rowOff>
    </xdr:from>
    <xdr:to>
      <xdr:col>2</xdr:col>
      <xdr:colOff>0</xdr:colOff>
      <xdr:row>45</xdr:row>
      <xdr:rowOff>180975</xdr:rowOff>
    </xdr:to>
    <xdr:sp>
      <xdr:nvSpPr>
        <xdr:cNvPr id="23" name="Line 26"/>
        <xdr:cNvSpPr>
          <a:spLocks/>
        </xdr:cNvSpPr>
      </xdr:nvSpPr>
      <xdr:spPr>
        <a:xfrm flipV="1">
          <a:off x="1095375" y="886777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46</xdr:row>
      <xdr:rowOff>9525</xdr:rowOff>
    </xdr:to>
    <xdr:sp>
      <xdr:nvSpPr>
        <xdr:cNvPr id="24" name="Line 27"/>
        <xdr:cNvSpPr>
          <a:spLocks/>
        </xdr:cNvSpPr>
      </xdr:nvSpPr>
      <xdr:spPr>
        <a:xfrm flipV="1">
          <a:off x="2247900" y="8858250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466725</xdr:colOff>
      <xdr:row>58</xdr:row>
      <xdr:rowOff>38100</xdr:rowOff>
    </xdr:from>
    <xdr:to>
      <xdr:col>5</xdr:col>
      <xdr:colOff>0</xdr:colOff>
      <xdr:row>58</xdr:row>
      <xdr:rowOff>38100</xdr:rowOff>
    </xdr:to>
    <xdr:sp>
      <xdr:nvSpPr>
        <xdr:cNvPr id="25" name="Line 28"/>
        <xdr:cNvSpPr>
          <a:spLocks/>
        </xdr:cNvSpPr>
      </xdr:nvSpPr>
      <xdr:spPr>
        <a:xfrm>
          <a:off x="466725" y="127444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466725</xdr:colOff>
      <xdr:row>57</xdr:row>
      <xdr:rowOff>66675</xdr:rowOff>
    </xdr:from>
    <xdr:to>
      <xdr:col>0</xdr:col>
      <xdr:colOff>466725</xdr:colOff>
      <xdr:row>58</xdr:row>
      <xdr:rowOff>152400</xdr:rowOff>
    </xdr:to>
    <xdr:sp>
      <xdr:nvSpPr>
        <xdr:cNvPr id="26" name="Line 29"/>
        <xdr:cNvSpPr>
          <a:spLocks/>
        </xdr:cNvSpPr>
      </xdr:nvSpPr>
      <xdr:spPr>
        <a:xfrm flipV="1">
          <a:off x="466725" y="12582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533400</xdr:colOff>
      <xdr:row>57</xdr:row>
      <xdr:rowOff>47625</xdr:rowOff>
    </xdr:from>
    <xdr:to>
      <xdr:col>4</xdr:col>
      <xdr:colOff>533400</xdr:colOff>
      <xdr:row>58</xdr:row>
      <xdr:rowOff>142875</xdr:rowOff>
    </xdr:to>
    <xdr:sp>
      <xdr:nvSpPr>
        <xdr:cNvPr id="27" name="Line 30"/>
        <xdr:cNvSpPr>
          <a:spLocks/>
        </xdr:cNvSpPr>
      </xdr:nvSpPr>
      <xdr:spPr>
        <a:xfrm flipV="1">
          <a:off x="2781300" y="125634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171450</xdr:colOff>
      <xdr:row>57</xdr:row>
      <xdr:rowOff>0</xdr:rowOff>
    </xdr:from>
    <xdr:to>
      <xdr:col>0</xdr:col>
      <xdr:colOff>447675</xdr:colOff>
      <xdr:row>57</xdr:row>
      <xdr:rowOff>0</xdr:rowOff>
    </xdr:to>
    <xdr:sp>
      <xdr:nvSpPr>
        <xdr:cNvPr id="28" name="Line 31"/>
        <xdr:cNvSpPr>
          <a:spLocks/>
        </xdr:cNvSpPr>
      </xdr:nvSpPr>
      <xdr:spPr>
        <a:xfrm flipH="1">
          <a:off x="171450" y="12515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142875</xdr:colOff>
      <xdr:row>48</xdr:row>
      <xdr:rowOff>180975</xdr:rowOff>
    </xdr:from>
    <xdr:to>
      <xdr:col>0</xdr:col>
      <xdr:colOff>438150</xdr:colOff>
      <xdr:row>48</xdr:row>
      <xdr:rowOff>180975</xdr:rowOff>
    </xdr:to>
    <xdr:sp>
      <xdr:nvSpPr>
        <xdr:cNvPr id="29" name="Line 32"/>
        <xdr:cNvSpPr>
          <a:spLocks/>
        </xdr:cNvSpPr>
      </xdr:nvSpPr>
      <xdr:spPr>
        <a:xfrm flipH="1">
          <a:off x="142875" y="109728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323850</xdr:colOff>
      <xdr:row>49</xdr:row>
      <xdr:rowOff>0</xdr:rowOff>
    </xdr:from>
    <xdr:to>
      <xdr:col>0</xdr:col>
      <xdr:colOff>323850</xdr:colOff>
      <xdr:row>56</xdr:row>
      <xdr:rowOff>180975</xdr:rowOff>
    </xdr:to>
    <xdr:sp>
      <xdr:nvSpPr>
        <xdr:cNvPr id="30" name="Line 33"/>
        <xdr:cNvSpPr>
          <a:spLocks/>
        </xdr:cNvSpPr>
      </xdr:nvSpPr>
      <xdr:spPr>
        <a:xfrm flipV="1">
          <a:off x="323850" y="1098232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1</xdr:col>
      <xdr:colOff>0</xdr:colOff>
      <xdr:row>37</xdr:row>
      <xdr:rowOff>114300</xdr:rowOff>
    </xdr:to>
    <xdr:sp>
      <xdr:nvSpPr>
        <xdr:cNvPr id="31" name="Line 34"/>
        <xdr:cNvSpPr>
          <a:spLocks/>
        </xdr:cNvSpPr>
      </xdr:nvSpPr>
      <xdr:spPr>
        <a:xfrm flipV="1">
          <a:off x="466725" y="85629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85725</xdr:rowOff>
    </xdr:from>
    <xdr:to>
      <xdr:col>5</xdr:col>
      <xdr:colOff>0</xdr:colOff>
      <xdr:row>37</xdr:row>
      <xdr:rowOff>123825</xdr:rowOff>
    </xdr:to>
    <xdr:sp>
      <xdr:nvSpPr>
        <xdr:cNvPr id="32" name="Line 35"/>
        <xdr:cNvSpPr>
          <a:spLocks/>
        </xdr:cNvSpPr>
      </xdr:nvSpPr>
      <xdr:spPr>
        <a:xfrm flipV="1">
          <a:off x="2790825" y="85629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66675</xdr:rowOff>
    </xdr:from>
    <xdr:to>
      <xdr:col>2</xdr:col>
      <xdr:colOff>0</xdr:colOff>
      <xdr:row>37</xdr:row>
      <xdr:rowOff>114300</xdr:rowOff>
    </xdr:to>
    <xdr:sp>
      <xdr:nvSpPr>
        <xdr:cNvPr id="33" name="Line 36"/>
        <xdr:cNvSpPr>
          <a:spLocks/>
        </xdr:cNvSpPr>
      </xdr:nvSpPr>
      <xdr:spPr>
        <a:xfrm flipV="1">
          <a:off x="1095375" y="8543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76200</xdr:rowOff>
    </xdr:from>
    <xdr:to>
      <xdr:col>4</xdr:col>
      <xdr:colOff>0</xdr:colOff>
      <xdr:row>37</xdr:row>
      <xdr:rowOff>133350</xdr:rowOff>
    </xdr:to>
    <xdr:sp>
      <xdr:nvSpPr>
        <xdr:cNvPr id="34" name="Line 37"/>
        <xdr:cNvSpPr>
          <a:spLocks/>
        </xdr:cNvSpPr>
      </xdr:nvSpPr>
      <xdr:spPr>
        <a:xfrm flipV="1">
          <a:off x="2247900" y="8553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152400</xdr:rowOff>
    </xdr:from>
    <xdr:to>
      <xdr:col>1</xdr:col>
      <xdr:colOff>571500</xdr:colOff>
      <xdr:row>36</xdr:row>
      <xdr:rowOff>152400</xdr:rowOff>
    </xdr:to>
    <xdr:sp>
      <xdr:nvSpPr>
        <xdr:cNvPr id="35" name="Line 38"/>
        <xdr:cNvSpPr>
          <a:spLocks/>
        </xdr:cNvSpPr>
      </xdr:nvSpPr>
      <xdr:spPr>
        <a:xfrm>
          <a:off x="466725" y="8629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152400</xdr:rowOff>
    </xdr:from>
    <xdr:to>
      <xdr:col>3</xdr:col>
      <xdr:colOff>495300</xdr:colOff>
      <xdr:row>36</xdr:row>
      <xdr:rowOff>152400</xdr:rowOff>
    </xdr:to>
    <xdr:sp>
      <xdr:nvSpPr>
        <xdr:cNvPr id="36" name="Line 39"/>
        <xdr:cNvSpPr>
          <a:spLocks/>
        </xdr:cNvSpPr>
      </xdr:nvSpPr>
      <xdr:spPr>
        <a:xfrm>
          <a:off x="1095375" y="86296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152400</xdr:rowOff>
    </xdr:from>
    <xdr:to>
      <xdr:col>5</xdr:col>
      <xdr:colOff>9525</xdr:colOff>
      <xdr:row>36</xdr:row>
      <xdr:rowOff>152400</xdr:rowOff>
    </xdr:to>
    <xdr:sp>
      <xdr:nvSpPr>
        <xdr:cNvPr id="37" name="Line 40"/>
        <xdr:cNvSpPr>
          <a:spLocks/>
        </xdr:cNvSpPr>
      </xdr:nvSpPr>
      <xdr:spPr>
        <a:xfrm>
          <a:off x="2247900" y="86296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114300</xdr:rowOff>
    </xdr:from>
    <xdr:to>
      <xdr:col>4</xdr:col>
      <xdr:colOff>533400</xdr:colOff>
      <xdr:row>39</xdr:row>
      <xdr:rowOff>114300</xdr:rowOff>
    </xdr:to>
    <xdr:sp>
      <xdr:nvSpPr>
        <xdr:cNvPr id="38" name="Line 41"/>
        <xdr:cNvSpPr>
          <a:spLocks/>
        </xdr:cNvSpPr>
      </xdr:nvSpPr>
      <xdr:spPr>
        <a:xfrm>
          <a:off x="466725" y="91630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28575</xdr:rowOff>
    </xdr:from>
    <xdr:to>
      <xdr:col>4</xdr:col>
      <xdr:colOff>533400</xdr:colOff>
      <xdr:row>44</xdr:row>
      <xdr:rowOff>28575</xdr:rowOff>
    </xdr:to>
    <xdr:sp>
      <xdr:nvSpPr>
        <xdr:cNvPr id="39" name="Line 42"/>
        <xdr:cNvSpPr>
          <a:spLocks/>
        </xdr:cNvSpPr>
      </xdr:nvSpPr>
      <xdr:spPr>
        <a:xfrm>
          <a:off x="466725" y="100298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57</xdr:row>
      <xdr:rowOff>0</xdr:rowOff>
    </xdr:to>
    <xdr:sp>
      <xdr:nvSpPr>
        <xdr:cNvPr id="40" name="Line 43"/>
        <xdr:cNvSpPr>
          <a:spLocks/>
        </xdr:cNvSpPr>
      </xdr:nvSpPr>
      <xdr:spPr>
        <a:xfrm>
          <a:off x="1095375" y="1098232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0</xdr:rowOff>
    </xdr:from>
    <xdr:to>
      <xdr:col>4</xdr:col>
      <xdr:colOff>9525</xdr:colOff>
      <xdr:row>56</xdr:row>
      <xdr:rowOff>180975</xdr:rowOff>
    </xdr:to>
    <xdr:sp>
      <xdr:nvSpPr>
        <xdr:cNvPr id="41" name="Line 44"/>
        <xdr:cNvSpPr>
          <a:spLocks/>
        </xdr:cNvSpPr>
      </xdr:nvSpPr>
      <xdr:spPr>
        <a:xfrm>
          <a:off x="2257425" y="1098232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38100</xdr:colOff>
      <xdr:row>46</xdr:row>
      <xdr:rowOff>0</xdr:rowOff>
    </xdr:from>
    <xdr:to>
      <xdr:col>5</xdr:col>
      <xdr:colOff>352425</xdr:colOff>
      <xdr:row>46</xdr:row>
      <xdr:rowOff>0</xdr:rowOff>
    </xdr:to>
    <xdr:sp>
      <xdr:nvSpPr>
        <xdr:cNvPr id="42" name="Line 45"/>
        <xdr:cNvSpPr>
          <a:spLocks/>
        </xdr:cNvSpPr>
      </xdr:nvSpPr>
      <xdr:spPr>
        <a:xfrm>
          <a:off x="2828925" y="103917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38100</xdr:colOff>
      <xdr:row>38</xdr:row>
      <xdr:rowOff>0</xdr:rowOff>
    </xdr:from>
    <xdr:to>
      <xdr:col>5</xdr:col>
      <xdr:colOff>371475</xdr:colOff>
      <xdr:row>38</xdr:row>
      <xdr:rowOff>0</xdr:rowOff>
    </xdr:to>
    <xdr:sp>
      <xdr:nvSpPr>
        <xdr:cNvPr id="43" name="Line 46"/>
        <xdr:cNvSpPr>
          <a:spLocks/>
        </xdr:cNvSpPr>
      </xdr:nvSpPr>
      <xdr:spPr>
        <a:xfrm>
          <a:off x="2828925" y="88582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190500</xdr:colOff>
      <xdr:row>38</xdr:row>
      <xdr:rowOff>0</xdr:rowOff>
    </xdr:from>
    <xdr:to>
      <xdr:col>5</xdr:col>
      <xdr:colOff>190500</xdr:colOff>
      <xdr:row>46</xdr:row>
      <xdr:rowOff>0</xdr:rowOff>
    </xdr:to>
    <xdr:sp>
      <xdr:nvSpPr>
        <xdr:cNvPr id="44" name="Line 47"/>
        <xdr:cNvSpPr>
          <a:spLocks/>
        </xdr:cNvSpPr>
      </xdr:nvSpPr>
      <xdr:spPr>
        <a:xfrm flipV="1">
          <a:off x="2981325" y="885825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28575</xdr:rowOff>
    </xdr:from>
    <xdr:to>
      <xdr:col>1</xdr:col>
      <xdr:colOff>0</xdr:colOff>
      <xdr:row>47</xdr:row>
      <xdr:rowOff>76200</xdr:rowOff>
    </xdr:to>
    <xdr:sp>
      <xdr:nvSpPr>
        <xdr:cNvPr id="45" name="Line 48"/>
        <xdr:cNvSpPr>
          <a:spLocks/>
        </xdr:cNvSpPr>
      </xdr:nvSpPr>
      <xdr:spPr>
        <a:xfrm>
          <a:off x="466725" y="104203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38100</xdr:rowOff>
    </xdr:from>
    <xdr:to>
      <xdr:col>5</xdr:col>
      <xdr:colOff>0</xdr:colOff>
      <xdr:row>47</xdr:row>
      <xdr:rowOff>95250</xdr:rowOff>
    </xdr:to>
    <xdr:sp>
      <xdr:nvSpPr>
        <xdr:cNvPr id="46" name="Line 49"/>
        <xdr:cNvSpPr>
          <a:spLocks/>
        </xdr:cNvSpPr>
      </xdr:nvSpPr>
      <xdr:spPr>
        <a:xfrm>
          <a:off x="2790825" y="10429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466725</xdr:colOff>
      <xdr:row>46</xdr:row>
      <xdr:rowOff>180975</xdr:rowOff>
    </xdr:from>
    <xdr:to>
      <xdr:col>5</xdr:col>
      <xdr:colOff>0</xdr:colOff>
      <xdr:row>46</xdr:row>
      <xdr:rowOff>180975</xdr:rowOff>
    </xdr:to>
    <xdr:sp>
      <xdr:nvSpPr>
        <xdr:cNvPr id="47" name="Line 50"/>
        <xdr:cNvSpPr>
          <a:spLocks/>
        </xdr:cNvSpPr>
      </xdr:nvSpPr>
      <xdr:spPr>
        <a:xfrm>
          <a:off x="466725" y="105727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180975</xdr:rowOff>
    </xdr:from>
    <xdr:to>
      <xdr:col>4</xdr:col>
      <xdr:colOff>9525</xdr:colOff>
      <xdr:row>52</xdr:row>
      <xdr:rowOff>180975</xdr:rowOff>
    </xdr:to>
    <xdr:sp>
      <xdr:nvSpPr>
        <xdr:cNvPr id="48" name="Line 51"/>
        <xdr:cNvSpPr>
          <a:spLocks/>
        </xdr:cNvSpPr>
      </xdr:nvSpPr>
      <xdr:spPr>
        <a:xfrm>
          <a:off x="1095375" y="117348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49" name="Line 52"/>
        <xdr:cNvSpPr>
          <a:spLocks/>
        </xdr:cNvSpPr>
      </xdr:nvSpPr>
      <xdr:spPr>
        <a:xfrm>
          <a:off x="1095375" y="111728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590550</xdr:colOff>
      <xdr:row>39</xdr:row>
      <xdr:rowOff>114300</xdr:rowOff>
    </xdr:from>
    <xdr:to>
      <xdr:col>2</xdr:col>
      <xdr:colOff>590550</xdr:colOff>
      <xdr:row>44</xdr:row>
      <xdr:rowOff>19050</xdr:rowOff>
    </xdr:to>
    <xdr:sp>
      <xdr:nvSpPr>
        <xdr:cNvPr id="50" name="Line 53"/>
        <xdr:cNvSpPr>
          <a:spLocks/>
        </xdr:cNvSpPr>
      </xdr:nvSpPr>
      <xdr:spPr>
        <a:xfrm flipV="1">
          <a:off x="1685925" y="91630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590550</xdr:colOff>
      <xdr:row>44</xdr:row>
      <xdr:rowOff>28575</xdr:rowOff>
    </xdr:from>
    <xdr:to>
      <xdr:col>2</xdr:col>
      <xdr:colOff>590550</xdr:colOff>
      <xdr:row>45</xdr:row>
      <xdr:rowOff>180975</xdr:rowOff>
    </xdr:to>
    <xdr:sp>
      <xdr:nvSpPr>
        <xdr:cNvPr id="51" name="Line 54"/>
        <xdr:cNvSpPr>
          <a:spLocks/>
        </xdr:cNvSpPr>
      </xdr:nvSpPr>
      <xdr:spPr>
        <a:xfrm flipV="1">
          <a:off x="1685925" y="100298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590550</xdr:colOff>
      <xdr:row>38</xdr:row>
      <xdr:rowOff>9525</xdr:rowOff>
    </xdr:from>
    <xdr:to>
      <xdr:col>2</xdr:col>
      <xdr:colOff>590550</xdr:colOff>
      <xdr:row>39</xdr:row>
      <xdr:rowOff>114300</xdr:rowOff>
    </xdr:to>
    <xdr:sp>
      <xdr:nvSpPr>
        <xdr:cNvPr id="52" name="Line 55"/>
        <xdr:cNvSpPr>
          <a:spLocks/>
        </xdr:cNvSpPr>
      </xdr:nvSpPr>
      <xdr:spPr>
        <a:xfrm flipV="1">
          <a:off x="1685925" y="88677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209550</xdr:colOff>
      <xdr:row>39</xdr:row>
      <xdr:rowOff>104775</xdr:rowOff>
    </xdr:from>
    <xdr:to>
      <xdr:col>1</xdr:col>
      <xdr:colOff>209550</xdr:colOff>
      <xdr:row>44</xdr:row>
      <xdr:rowOff>19050</xdr:rowOff>
    </xdr:to>
    <xdr:sp>
      <xdr:nvSpPr>
        <xdr:cNvPr id="53" name="Line 56"/>
        <xdr:cNvSpPr>
          <a:spLocks/>
        </xdr:cNvSpPr>
      </xdr:nvSpPr>
      <xdr:spPr>
        <a:xfrm flipV="1">
          <a:off x="676275" y="91535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133350</xdr:colOff>
      <xdr:row>56</xdr:row>
      <xdr:rowOff>9525</xdr:rowOff>
    </xdr:from>
    <xdr:to>
      <xdr:col>1</xdr:col>
      <xdr:colOff>438150</xdr:colOff>
      <xdr:row>56</xdr:row>
      <xdr:rowOff>9525</xdr:rowOff>
    </xdr:to>
    <xdr:sp>
      <xdr:nvSpPr>
        <xdr:cNvPr id="54" name="Line 57"/>
        <xdr:cNvSpPr>
          <a:spLocks/>
        </xdr:cNvSpPr>
      </xdr:nvSpPr>
      <xdr:spPr>
        <a:xfrm>
          <a:off x="600075" y="123348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161925</xdr:colOff>
      <xdr:row>56</xdr:row>
      <xdr:rowOff>19050</xdr:rowOff>
    </xdr:from>
    <xdr:to>
      <xdr:col>4</xdr:col>
      <xdr:colOff>428625</xdr:colOff>
      <xdr:row>56</xdr:row>
      <xdr:rowOff>19050</xdr:rowOff>
    </xdr:to>
    <xdr:sp>
      <xdr:nvSpPr>
        <xdr:cNvPr id="55" name="Line 58"/>
        <xdr:cNvSpPr>
          <a:spLocks/>
        </xdr:cNvSpPr>
      </xdr:nvSpPr>
      <xdr:spPr>
        <a:xfrm>
          <a:off x="2409825" y="12344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19050</xdr:rowOff>
    </xdr:from>
    <xdr:to>
      <xdr:col>4</xdr:col>
      <xdr:colOff>9525</xdr:colOff>
      <xdr:row>56</xdr:row>
      <xdr:rowOff>19050</xdr:rowOff>
    </xdr:to>
    <xdr:sp>
      <xdr:nvSpPr>
        <xdr:cNvPr id="56" name="Line 59"/>
        <xdr:cNvSpPr>
          <a:spLocks/>
        </xdr:cNvSpPr>
      </xdr:nvSpPr>
      <xdr:spPr>
        <a:xfrm>
          <a:off x="1104900" y="123444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361950</xdr:colOff>
      <xdr:row>59</xdr:row>
      <xdr:rowOff>38100</xdr:rowOff>
    </xdr:from>
    <xdr:to>
      <xdr:col>4</xdr:col>
      <xdr:colOff>180975</xdr:colOff>
      <xdr:row>59</xdr:row>
      <xdr:rowOff>38100</xdr:rowOff>
    </xdr:to>
    <xdr:sp>
      <xdr:nvSpPr>
        <xdr:cNvPr id="57" name="Line 60"/>
        <xdr:cNvSpPr>
          <a:spLocks/>
        </xdr:cNvSpPr>
      </xdr:nvSpPr>
      <xdr:spPr>
        <a:xfrm>
          <a:off x="828675" y="129349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352425</xdr:colOff>
      <xdr:row>59</xdr:row>
      <xdr:rowOff>161925</xdr:rowOff>
    </xdr:from>
    <xdr:to>
      <xdr:col>4</xdr:col>
      <xdr:colOff>180975</xdr:colOff>
      <xdr:row>59</xdr:row>
      <xdr:rowOff>161925</xdr:rowOff>
    </xdr:to>
    <xdr:sp>
      <xdr:nvSpPr>
        <xdr:cNvPr id="58" name="Line 61"/>
        <xdr:cNvSpPr>
          <a:spLocks/>
        </xdr:cNvSpPr>
      </xdr:nvSpPr>
      <xdr:spPr>
        <a:xfrm>
          <a:off x="819150" y="130587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790575</xdr:colOff>
      <xdr:row>23</xdr:row>
      <xdr:rowOff>0</xdr:rowOff>
    </xdr:from>
    <xdr:to>
      <xdr:col>8</xdr:col>
      <xdr:colOff>1285875</xdr:colOff>
      <xdr:row>24</xdr:row>
      <xdr:rowOff>38100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4781550" y="5562600"/>
          <a:ext cx="495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mm.</a:t>
          </a:r>
        </a:p>
      </xdr:txBody>
    </xdr:sp>
    <xdr:clientData/>
  </xdr:twoCellAnchor>
  <xdr:twoCellAnchor>
    <xdr:from>
      <xdr:col>8</xdr:col>
      <xdr:colOff>1123950</xdr:colOff>
      <xdr:row>22</xdr:row>
      <xdr:rowOff>257175</xdr:rowOff>
    </xdr:from>
    <xdr:to>
      <xdr:col>9</xdr:col>
      <xdr:colOff>104775</xdr:colOff>
      <xdr:row>24</xdr:row>
      <xdr:rowOff>66675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114925" y="5562600"/>
          <a:ext cx="742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</a:t>
          </a:r>
        </a:p>
      </xdr:txBody>
    </xdr:sp>
    <xdr:clientData/>
  </xdr:twoCellAnchor>
  <xdr:twoCellAnchor>
    <xdr:from>
      <xdr:col>8</xdr:col>
      <xdr:colOff>857250</xdr:colOff>
      <xdr:row>26</xdr:row>
      <xdr:rowOff>247650</xdr:rowOff>
    </xdr:from>
    <xdr:to>
      <xdr:col>8</xdr:col>
      <xdr:colOff>1371600</xdr:colOff>
      <xdr:row>27</xdr:row>
      <xdr:rowOff>238125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848225" y="6581775"/>
          <a:ext cx="514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mm.</a:t>
          </a:r>
        </a:p>
      </xdr:txBody>
    </xdr:sp>
    <xdr:clientData/>
  </xdr:twoCellAnchor>
  <xdr:twoCellAnchor>
    <xdr:from>
      <xdr:col>8</xdr:col>
      <xdr:colOff>1143000</xdr:colOff>
      <xdr:row>26</xdr:row>
      <xdr:rowOff>247650</xdr:rowOff>
    </xdr:from>
    <xdr:to>
      <xdr:col>9</xdr:col>
      <xdr:colOff>76200</xdr:colOff>
      <xdr:row>27</xdr:row>
      <xdr:rowOff>238125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5133975" y="6581775"/>
          <a:ext cx="695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,number</a:t>
          </a:r>
        </a:p>
      </xdr:txBody>
    </xdr:sp>
    <xdr:clientData/>
  </xdr:twoCellAnchor>
  <xdr:twoCellAnchor>
    <xdr:from>
      <xdr:col>8</xdr:col>
      <xdr:colOff>657225</xdr:colOff>
      <xdr:row>1</xdr:row>
      <xdr:rowOff>47625</xdr:rowOff>
    </xdr:from>
    <xdr:to>
      <xdr:col>9</xdr:col>
      <xdr:colOff>447675</xdr:colOff>
      <xdr:row>1</xdr:row>
      <xdr:rowOff>295275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4648200" y="438150"/>
          <a:ext cx="1552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P_songkran</a:t>
          </a:r>
        </a:p>
      </xdr:txBody>
    </xdr:sp>
    <xdr:clientData/>
  </xdr:twoCellAnchor>
  <xdr:twoCellAnchor>
    <xdr:from>
      <xdr:col>9</xdr:col>
      <xdr:colOff>485775</xdr:colOff>
      <xdr:row>1</xdr:row>
      <xdr:rowOff>19050</xdr:rowOff>
    </xdr:from>
    <xdr:to>
      <xdr:col>12</xdr:col>
      <xdr:colOff>466725</xdr:colOff>
      <xdr:row>1</xdr:row>
      <xdr:rowOff>257175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6238875" y="409575"/>
          <a:ext cx="1495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Licen</a:t>
          </a:r>
          <a:r>
            <a:rPr lang="en-US" cap="none" sz="1100" b="1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No.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Sor yor 9095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48</xdr:row>
      <xdr:rowOff>95250</xdr:rowOff>
    </xdr:from>
    <xdr:to>
      <xdr:col>2</xdr:col>
      <xdr:colOff>0</xdr:colOff>
      <xdr:row>48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0" y="102298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104775</xdr:rowOff>
    </xdr:from>
    <xdr:to>
      <xdr:col>4</xdr:col>
      <xdr:colOff>0</xdr:colOff>
      <xdr:row>48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066800" y="102393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495300</xdr:colOff>
      <xdr:row>48</xdr:row>
      <xdr:rowOff>114300</xdr:rowOff>
    </xdr:from>
    <xdr:to>
      <xdr:col>5</xdr:col>
      <xdr:colOff>9525</xdr:colOff>
      <xdr:row>48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09800" y="10248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161925</xdr:colOff>
      <xdr:row>55</xdr:row>
      <xdr:rowOff>0</xdr:rowOff>
    </xdr:from>
    <xdr:to>
      <xdr:col>5</xdr:col>
      <xdr:colOff>161925</xdr:colOff>
      <xdr:row>57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924175" y="114681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161925</xdr:colOff>
      <xdr:row>51</xdr:row>
      <xdr:rowOff>9525</xdr:rowOff>
    </xdr:from>
    <xdr:to>
      <xdr:col>5</xdr:col>
      <xdr:colOff>161925</xdr:colOff>
      <xdr:row>54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2924175" y="107156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161925</xdr:colOff>
      <xdr:row>49</xdr:row>
      <xdr:rowOff>0</xdr:rowOff>
    </xdr:from>
    <xdr:to>
      <xdr:col>5</xdr:col>
      <xdr:colOff>161925</xdr:colOff>
      <xdr:row>51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2924175" y="103251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142875</xdr:rowOff>
    </xdr:to>
    <xdr:sp>
      <xdr:nvSpPr>
        <xdr:cNvPr id="7" name="Line 7"/>
        <xdr:cNvSpPr>
          <a:spLocks/>
        </xdr:cNvSpPr>
      </xdr:nvSpPr>
      <xdr:spPr>
        <a:xfrm flipV="1">
          <a:off x="485775" y="101346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152400</xdr:rowOff>
    </xdr:to>
    <xdr:sp>
      <xdr:nvSpPr>
        <xdr:cNvPr id="8" name="Line 8"/>
        <xdr:cNvSpPr>
          <a:spLocks/>
        </xdr:cNvSpPr>
      </xdr:nvSpPr>
      <xdr:spPr>
        <a:xfrm flipV="1">
          <a:off x="1066800" y="10134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47</xdr:row>
      <xdr:rowOff>180975</xdr:rowOff>
    </xdr:from>
    <xdr:to>
      <xdr:col>4</xdr:col>
      <xdr:colOff>9525</xdr:colOff>
      <xdr:row>48</xdr:row>
      <xdr:rowOff>161925</xdr:rowOff>
    </xdr:to>
    <xdr:sp>
      <xdr:nvSpPr>
        <xdr:cNvPr id="9" name="Line 9"/>
        <xdr:cNvSpPr>
          <a:spLocks/>
        </xdr:cNvSpPr>
      </xdr:nvSpPr>
      <xdr:spPr>
        <a:xfrm flipV="1">
          <a:off x="2228850" y="10125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48</xdr:row>
      <xdr:rowOff>152400</xdr:rowOff>
    </xdr:to>
    <xdr:sp>
      <xdr:nvSpPr>
        <xdr:cNvPr id="10" name="Line 10"/>
        <xdr:cNvSpPr>
          <a:spLocks/>
        </xdr:cNvSpPr>
      </xdr:nvSpPr>
      <xdr:spPr>
        <a:xfrm flipV="1">
          <a:off x="2762250" y="10153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76200</xdr:colOff>
      <xdr:row>57</xdr:row>
      <xdr:rowOff>0</xdr:rowOff>
    </xdr:from>
    <xdr:to>
      <xdr:col>5</xdr:col>
      <xdr:colOff>266700</xdr:colOff>
      <xdr:row>57</xdr:row>
      <xdr:rowOff>0</xdr:rowOff>
    </xdr:to>
    <xdr:sp>
      <xdr:nvSpPr>
        <xdr:cNvPr id="11" name="Line 11"/>
        <xdr:cNvSpPr>
          <a:spLocks/>
        </xdr:cNvSpPr>
      </xdr:nvSpPr>
      <xdr:spPr>
        <a:xfrm>
          <a:off x="2838450" y="118491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95250</xdr:colOff>
      <xdr:row>51</xdr:row>
      <xdr:rowOff>0</xdr:rowOff>
    </xdr:from>
    <xdr:to>
      <xdr:col>5</xdr:col>
      <xdr:colOff>247650</xdr:colOff>
      <xdr:row>51</xdr:row>
      <xdr:rowOff>0</xdr:rowOff>
    </xdr:to>
    <xdr:sp>
      <xdr:nvSpPr>
        <xdr:cNvPr id="12" name="Line 12"/>
        <xdr:cNvSpPr>
          <a:spLocks/>
        </xdr:cNvSpPr>
      </xdr:nvSpPr>
      <xdr:spPr>
        <a:xfrm>
          <a:off x="2857500" y="10706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76200</xdr:colOff>
      <xdr:row>49</xdr:row>
      <xdr:rowOff>0</xdr:rowOff>
    </xdr:from>
    <xdr:to>
      <xdr:col>5</xdr:col>
      <xdr:colOff>238125</xdr:colOff>
      <xdr:row>49</xdr:row>
      <xdr:rowOff>0</xdr:rowOff>
    </xdr:to>
    <xdr:sp>
      <xdr:nvSpPr>
        <xdr:cNvPr id="13" name="Line 13"/>
        <xdr:cNvSpPr>
          <a:spLocks/>
        </xdr:cNvSpPr>
      </xdr:nvSpPr>
      <xdr:spPr>
        <a:xfrm>
          <a:off x="2838450" y="103251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76200</xdr:colOff>
      <xdr:row>54</xdr:row>
      <xdr:rowOff>180975</xdr:rowOff>
    </xdr:from>
    <xdr:to>
      <xdr:col>5</xdr:col>
      <xdr:colOff>276225</xdr:colOff>
      <xdr:row>55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838450" y="11458575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99</xdr:row>
      <xdr:rowOff>0</xdr:rowOff>
    </xdr:from>
    <xdr:to>
      <xdr:col>2</xdr:col>
      <xdr:colOff>371475</xdr:colOff>
      <xdr:row>99</xdr:row>
      <xdr:rowOff>0</xdr:rowOff>
    </xdr:to>
    <xdr:sp>
      <xdr:nvSpPr>
        <xdr:cNvPr id="15" name="Line 15"/>
        <xdr:cNvSpPr>
          <a:spLocks/>
        </xdr:cNvSpPr>
      </xdr:nvSpPr>
      <xdr:spPr>
        <a:xfrm>
          <a:off x="1066800" y="209169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76200</xdr:rowOff>
    </xdr:from>
    <xdr:to>
      <xdr:col>2</xdr:col>
      <xdr:colOff>371475</xdr:colOff>
      <xdr:row>98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1066800" y="207264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76200</xdr:rowOff>
    </xdr:from>
    <xdr:to>
      <xdr:col>2</xdr:col>
      <xdr:colOff>371475</xdr:colOff>
      <xdr:row>98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1066800" y="207264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123825</xdr:colOff>
      <xdr:row>50</xdr:row>
      <xdr:rowOff>0</xdr:rowOff>
    </xdr:from>
    <xdr:to>
      <xdr:col>1</xdr:col>
      <xdr:colOff>447675</xdr:colOff>
      <xdr:row>50</xdr:row>
      <xdr:rowOff>0</xdr:rowOff>
    </xdr:to>
    <xdr:sp>
      <xdr:nvSpPr>
        <xdr:cNvPr id="18" name="Line 18"/>
        <xdr:cNvSpPr>
          <a:spLocks/>
        </xdr:cNvSpPr>
      </xdr:nvSpPr>
      <xdr:spPr>
        <a:xfrm>
          <a:off x="609600" y="105156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133350</xdr:colOff>
      <xdr:row>53</xdr:row>
      <xdr:rowOff>0</xdr:rowOff>
    </xdr:from>
    <xdr:to>
      <xdr:col>1</xdr:col>
      <xdr:colOff>447675</xdr:colOff>
      <xdr:row>53</xdr:row>
      <xdr:rowOff>0</xdr:rowOff>
    </xdr:to>
    <xdr:sp>
      <xdr:nvSpPr>
        <xdr:cNvPr id="19" name="Line 19"/>
        <xdr:cNvSpPr>
          <a:spLocks/>
        </xdr:cNvSpPr>
      </xdr:nvSpPr>
      <xdr:spPr>
        <a:xfrm>
          <a:off x="619125" y="110871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104775</xdr:colOff>
      <xdr:row>50</xdr:row>
      <xdr:rowOff>0</xdr:rowOff>
    </xdr:from>
    <xdr:to>
      <xdr:col>4</xdr:col>
      <xdr:colOff>419100</xdr:colOff>
      <xdr:row>50</xdr:row>
      <xdr:rowOff>0</xdr:rowOff>
    </xdr:to>
    <xdr:sp>
      <xdr:nvSpPr>
        <xdr:cNvPr id="20" name="Line 20"/>
        <xdr:cNvSpPr>
          <a:spLocks/>
        </xdr:cNvSpPr>
      </xdr:nvSpPr>
      <xdr:spPr>
        <a:xfrm>
          <a:off x="2324100" y="105156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133350</xdr:colOff>
      <xdr:row>53</xdr:row>
      <xdr:rowOff>9525</xdr:rowOff>
    </xdr:from>
    <xdr:to>
      <xdr:col>4</xdr:col>
      <xdr:colOff>457200</xdr:colOff>
      <xdr:row>53</xdr:row>
      <xdr:rowOff>9525</xdr:rowOff>
    </xdr:to>
    <xdr:sp>
      <xdr:nvSpPr>
        <xdr:cNvPr id="21" name="Line 21"/>
        <xdr:cNvSpPr>
          <a:spLocks/>
        </xdr:cNvSpPr>
      </xdr:nvSpPr>
      <xdr:spPr>
        <a:xfrm>
          <a:off x="2352675" y="110966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247650</xdr:colOff>
      <xdr:row>37</xdr:row>
      <xdr:rowOff>57150</xdr:rowOff>
    </xdr:from>
    <xdr:to>
      <xdr:col>1</xdr:col>
      <xdr:colOff>247650</xdr:colOff>
      <xdr:row>38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733425" y="8096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257175</xdr:colOff>
      <xdr:row>43</xdr:row>
      <xdr:rowOff>180975</xdr:rowOff>
    </xdr:from>
    <xdr:to>
      <xdr:col>1</xdr:col>
      <xdr:colOff>257175</xdr:colOff>
      <xdr:row>46</xdr:row>
      <xdr:rowOff>0</xdr:rowOff>
    </xdr:to>
    <xdr:sp>
      <xdr:nvSpPr>
        <xdr:cNvPr id="23" name="Line 23"/>
        <xdr:cNvSpPr>
          <a:spLocks/>
        </xdr:cNvSpPr>
      </xdr:nvSpPr>
      <xdr:spPr>
        <a:xfrm>
          <a:off x="742950" y="93630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476250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4" name="Line 24"/>
        <xdr:cNvSpPr>
          <a:spLocks/>
        </xdr:cNvSpPr>
      </xdr:nvSpPr>
      <xdr:spPr>
        <a:xfrm>
          <a:off x="476250" y="107061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19050</xdr:rowOff>
    </xdr:from>
    <xdr:to>
      <xdr:col>5</xdr:col>
      <xdr:colOff>0</xdr:colOff>
      <xdr:row>55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485775" y="114871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9525</xdr:rowOff>
    </xdr:from>
    <xdr:to>
      <xdr:col>2</xdr:col>
      <xdr:colOff>0</xdr:colOff>
      <xdr:row>45</xdr:row>
      <xdr:rowOff>180975</xdr:rowOff>
    </xdr:to>
    <xdr:sp>
      <xdr:nvSpPr>
        <xdr:cNvPr id="26" name="Line 26"/>
        <xdr:cNvSpPr>
          <a:spLocks/>
        </xdr:cNvSpPr>
      </xdr:nvSpPr>
      <xdr:spPr>
        <a:xfrm flipV="1">
          <a:off x="1066800" y="823912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46</xdr:row>
      <xdr:rowOff>9525</xdr:rowOff>
    </xdr:to>
    <xdr:sp>
      <xdr:nvSpPr>
        <xdr:cNvPr id="27" name="Line 27"/>
        <xdr:cNvSpPr>
          <a:spLocks/>
        </xdr:cNvSpPr>
      </xdr:nvSpPr>
      <xdr:spPr>
        <a:xfrm flipV="1">
          <a:off x="2219325" y="822960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476250</xdr:colOff>
      <xdr:row>58</xdr:row>
      <xdr:rowOff>38100</xdr:rowOff>
    </xdr:from>
    <xdr:to>
      <xdr:col>5</xdr:col>
      <xdr:colOff>0</xdr:colOff>
      <xdr:row>58</xdr:row>
      <xdr:rowOff>38100</xdr:rowOff>
    </xdr:to>
    <xdr:sp>
      <xdr:nvSpPr>
        <xdr:cNvPr id="28" name="Line 28"/>
        <xdr:cNvSpPr>
          <a:spLocks/>
        </xdr:cNvSpPr>
      </xdr:nvSpPr>
      <xdr:spPr>
        <a:xfrm>
          <a:off x="476250" y="120777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476250</xdr:colOff>
      <xdr:row>57</xdr:row>
      <xdr:rowOff>66675</xdr:rowOff>
    </xdr:from>
    <xdr:to>
      <xdr:col>0</xdr:col>
      <xdr:colOff>476250</xdr:colOff>
      <xdr:row>58</xdr:row>
      <xdr:rowOff>152400</xdr:rowOff>
    </xdr:to>
    <xdr:sp>
      <xdr:nvSpPr>
        <xdr:cNvPr id="29" name="Line 29"/>
        <xdr:cNvSpPr>
          <a:spLocks/>
        </xdr:cNvSpPr>
      </xdr:nvSpPr>
      <xdr:spPr>
        <a:xfrm flipV="1">
          <a:off x="476250" y="119157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533400</xdr:colOff>
      <xdr:row>57</xdr:row>
      <xdr:rowOff>47625</xdr:rowOff>
    </xdr:from>
    <xdr:to>
      <xdr:col>4</xdr:col>
      <xdr:colOff>533400</xdr:colOff>
      <xdr:row>58</xdr:row>
      <xdr:rowOff>142875</xdr:rowOff>
    </xdr:to>
    <xdr:sp>
      <xdr:nvSpPr>
        <xdr:cNvPr id="30" name="Line 30"/>
        <xdr:cNvSpPr>
          <a:spLocks/>
        </xdr:cNvSpPr>
      </xdr:nvSpPr>
      <xdr:spPr>
        <a:xfrm flipV="1">
          <a:off x="2752725" y="11896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171450</xdr:colOff>
      <xdr:row>57</xdr:row>
      <xdr:rowOff>0</xdr:rowOff>
    </xdr:from>
    <xdr:to>
      <xdr:col>0</xdr:col>
      <xdr:colOff>447675</xdr:colOff>
      <xdr:row>57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171450" y="11849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142875</xdr:colOff>
      <xdr:row>48</xdr:row>
      <xdr:rowOff>180975</xdr:rowOff>
    </xdr:from>
    <xdr:to>
      <xdr:col>0</xdr:col>
      <xdr:colOff>438150</xdr:colOff>
      <xdr:row>48</xdr:row>
      <xdr:rowOff>180975</xdr:rowOff>
    </xdr:to>
    <xdr:sp>
      <xdr:nvSpPr>
        <xdr:cNvPr id="32" name="Line 32"/>
        <xdr:cNvSpPr>
          <a:spLocks/>
        </xdr:cNvSpPr>
      </xdr:nvSpPr>
      <xdr:spPr>
        <a:xfrm flipH="1">
          <a:off x="142875" y="103155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323850</xdr:colOff>
      <xdr:row>49</xdr:row>
      <xdr:rowOff>0</xdr:rowOff>
    </xdr:from>
    <xdr:to>
      <xdr:col>0</xdr:col>
      <xdr:colOff>323850</xdr:colOff>
      <xdr:row>56</xdr:row>
      <xdr:rowOff>180975</xdr:rowOff>
    </xdr:to>
    <xdr:sp>
      <xdr:nvSpPr>
        <xdr:cNvPr id="33" name="Line 33"/>
        <xdr:cNvSpPr>
          <a:spLocks/>
        </xdr:cNvSpPr>
      </xdr:nvSpPr>
      <xdr:spPr>
        <a:xfrm flipV="1">
          <a:off x="323850" y="1032510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1</xdr:col>
      <xdr:colOff>0</xdr:colOff>
      <xdr:row>37</xdr:row>
      <xdr:rowOff>114300</xdr:rowOff>
    </xdr:to>
    <xdr:sp>
      <xdr:nvSpPr>
        <xdr:cNvPr id="34" name="Line 34"/>
        <xdr:cNvSpPr>
          <a:spLocks/>
        </xdr:cNvSpPr>
      </xdr:nvSpPr>
      <xdr:spPr>
        <a:xfrm flipV="1">
          <a:off x="485775" y="7934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85725</xdr:rowOff>
    </xdr:from>
    <xdr:to>
      <xdr:col>5</xdr:col>
      <xdr:colOff>0</xdr:colOff>
      <xdr:row>37</xdr:row>
      <xdr:rowOff>123825</xdr:rowOff>
    </xdr:to>
    <xdr:sp>
      <xdr:nvSpPr>
        <xdr:cNvPr id="35" name="Line 35"/>
        <xdr:cNvSpPr>
          <a:spLocks/>
        </xdr:cNvSpPr>
      </xdr:nvSpPr>
      <xdr:spPr>
        <a:xfrm flipV="1">
          <a:off x="2762250" y="79343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66675</xdr:rowOff>
    </xdr:from>
    <xdr:to>
      <xdr:col>2</xdr:col>
      <xdr:colOff>0</xdr:colOff>
      <xdr:row>37</xdr:row>
      <xdr:rowOff>114300</xdr:rowOff>
    </xdr:to>
    <xdr:sp>
      <xdr:nvSpPr>
        <xdr:cNvPr id="36" name="Line 36"/>
        <xdr:cNvSpPr>
          <a:spLocks/>
        </xdr:cNvSpPr>
      </xdr:nvSpPr>
      <xdr:spPr>
        <a:xfrm flipV="1">
          <a:off x="1066800" y="7915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76200</xdr:rowOff>
    </xdr:from>
    <xdr:to>
      <xdr:col>4</xdr:col>
      <xdr:colOff>0</xdr:colOff>
      <xdr:row>37</xdr:row>
      <xdr:rowOff>133350</xdr:rowOff>
    </xdr:to>
    <xdr:sp>
      <xdr:nvSpPr>
        <xdr:cNvPr id="37" name="Line 37"/>
        <xdr:cNvSpPr>
          <a:spLocks/>
        </xdr:cNvSpPr>
      </xdr:nvSpPr>
      <xdr:spPr>
        <a:xfrm flipV="1">
          <a:off x="2219325" y="7924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152400</xdr:rowOff>
    </xdr:from>
    <xdr:to>
      <xdr:col>1</xdr:col>
      <xdr:colOff>571500</xdr:colOff>
      <xdr:row>36</xdr:row>
      <xdr:rowOff>152400</xdr:rowOff>
    </xdr:to>
    <xdr:sp>
      <xdr:nvSpPr>
        <xdr:cNvPr id="38" name="Line 38"/>
        <xdr:cNvSpPr>
          <a:spLocks/>
        </xdr:cNvSpPr>
      </xdr:nvSpPr>
      <xdr:spPr>
        <a:xfrm>
          <a:off x="485775" y="80010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152400</xdr:rowOff>
    </xdr:from>
    <xdr:to>
      <xdr:col>3</xdr:col>
      <xdr:colOff>495300</xdr:colOff>
      <xdr:row>36</xdr:row>
      <xdr:rowOff>152400</xdr:rowOff>
    </xdr:to>
    <xdr:sp>
      <xdr:nvSpPr>
        <xdr:cNvPr id="39" name="Line 39"/>
        <xdr:cNvSpPr>
          <a:spLocks/>
        </xdr:cNvSpPr>
      </xdr:nvSpPr>
      <xdr:spPr>
        <a:xfrm>
          <a:off x="1066800" y="80010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152400</xdr:rowOff>
    </xdr:from>
    <xdr:to>
      <xdr:col>5</xdr:col>
      <xdr:colOff>9525</xdr:colOff>
      <xdr:row>36</xdr:row>
      <xdr:rowOff>152400</xdr:rowOff>
    </xdr:to>
    <xdr:sp>
      <xdr:nvSpPr>
        <xdr:cNvPr id="40" name="Line 40"/>
        <xdr:cNvSpPr>
          <a:spLocks/>
        </xdr:cNvSpPr>
      </xdr:nvSpPr>
      <xdr:spPr>
        <a:xfrm>
          <a:off x="2219325" y="80010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114300</xdr:rowOff>
    </xdr:from>
    <xdr:to>
      <xdr:col>4</xdr:col>
      <xdr:colOff>533400</xdr:colOff>
      <xdr:row>39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485775" y="85344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28575</xdr:rowOff>
    </xdr:from>
    <xdr:to>
      <xdr:col>4</xdr:col>
      <xdr:colOff>533400</xdr:colOff>
      <xdr:row>44</xdr:row>
      <xdr:rowOff>28575</xdr:rowOff>
    </xdr:to>
    <xdr:sp>
      <xdr:nvSpPr>
        <xdr:cNvPr id="42" name="Line 42"/>
        <xdr:cNvSpPr>
          <a:spLocks/>
        </xdr:cNvSpPr>
      </xdr:nvSpPr>
      <xdr:spPr>
        <a:xfrm>
          <a:off x="485775" y="94011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57</xdr:row>
      <xdr:rowOff>0</xdr:rowOff>
    </xdr:to>
    <xdr:sp>
      <xdr:nvSpPr>
        <xdr:cNvPr id="43" name="Line 43"/>
        <xdr:cNvSpPr>
          <a:spLocks/>
        </xdr:cNvSpPr>
      </xdr:nvSpPr>
      <xdr:spPr>
        <a:xfrm>
          <a:off x="1066800" y="1032510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0</xdr:rowOff>
    </xdr:from>
    <xdr:to>
      <xdr:col>4</xdr:col>
      <xdr:colOff>9525</xdr:colOff>
      <xdr:row>56</xdr:row>
      <xdr:rowOff>180975</xdr:rowOff>
    </xdr:to>
    <xdr:sp>
      <xdr:nvSpPr>
        <xdr:cNvPr id="44" name="Line 44"/>
        <xdr:cNvSpPr>
          <a:spLocks/>
        </xdr:cNvSpPr>
      </xdr:nvSpPr>
      <xdr:spPr>
        <a:xfrm>
          <a:off x="2228850" y="1032510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38100</xdr:colOff>
      <xdr:row>46</xdr:row>
      <xdr:rowOff>0</xdr:rowOff>
    </xdr:from>
    <xdr:to>
      <xdr:col>5</xdr:col>
      <xdr:colOff>352425</xdr:colOff>
      <xdr:row>46</xdr:row>
      <xdr:rowOff>0</xdr:rowOff>
    </xdr:to>
    <xdr:sp>
      <xdr:nvSpPr>
        <xdr:cNvPr id="45" name="Line 45"/>
        <xdr:cNvSpPr>
          <a:spLocks/>
        </xdr:cNvSpPr>
      </xdr:nvSpPr>
      <xdr:spPr>
        <a:xfrm>
          <a:off x="2800350" y="97536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38100</xdr:colOff>
      <xdr:row>38</xdr:row>
      <xdr:rowOff>0</xdr:rowOff>
    </xdr:from>
    <xdr:to>
      <xdr:col>5</xdr:col>
      <xdr:colOff>371475</xdr:colOff>
      <xdr:row>38</xdr:row>
      <xdr:rowOff>0</xdr:rowOff>
    </xdr:to>
    <xdr:sp>
      <xdr:nvSpPr>
        <xdr:cNvPr id="46" name="Line 46"/>
        <xdr:cNvSpPr>
          <a:spLocks/>
        </xdr:cNvSpPr>
      </xdr:nvSpPr>
      <xdr:spPr>
        <a:xfrm>
          <a:off x="2800350" y="82296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190500</xdr:colOff>
      <xdr:row>38</xdr:row>
      <xdr:rowOff>0</xdr:rowOff>
    </xdr:from>
    <xdr:to>
      <xdr:col>5</xdr:col>
      <xdr:colOff>190500</xdr:colOff>
      <xdr:row>46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2952750" y="822960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28575</xdr:rowOff>
    </xdr:from>
    <xdr:to>
      <xdr:col>1</xdr:col>
      <xdr:colOff>0</xdr:colOff>
      <xdr:row>47</xdr:row>
      <xdr:rowOff>76200</xdr:rowOff>
    </xdr:to>
    <xdr:sp>
      <xdr:nvSpPr>
        <xdr:cNvPr id="48" name="Line 48"/>
        <xdr:cNvSpPr>
          <a:spLocks/>
        </xdr:cNvSpPr>
      </xdr:nvSpPr>
      <xdr:spPr>
        <a:xfrm>
          <a:off x="485775" y="97821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38100</xdr:rowOff>
    </xdr:from>
    <xdr:to>
      <xdr:col>5</xdr:col>
      <xdr:colOff>0</xdr:colOff>
      <xdr:row>47</xdr:row>
      <xdr:rowOff>95250</xdr:rowOff>
    </xdr:to>
    <xdr:sp>
      <xdr:nvSpPr>
        <xdr:cNvPr id="49" name="Line 49"/>
        <xdr:cNvSpPr>
          <a:spLocks/>
        </xdr:cNvSpPr>
      </xdr:nvSpPr>
      <xdr:spPr>
        <a:xfrm>
          <a:off x="2762250" y="9791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0</xdr:col>
      <xdr:colOff>476250</xdr:colOff>
      <xdr:row>46</xdr:row>
      <xdr:rowOff>152400</xdr:rowOff>
    </xdr:from>
    <xdr:to>
      <xdr:col>5</xdr:col>
      <xdr:colOff>0</xdr:colOff>
      <xdr:row>46</xdr:row>
      <xdr:rowOff>152400</xdr:rowOff>
    </xdr:to>
    <xdr:sp>
      <xdr:nvSpPr>
        <xdr:cNvPr id="50" name="Line 50"/>
        <xdr:cNvSpPr>
          <a:spLocks/>
        </xdr:cNvSpPr>
      </xdr:nvSpPr>
      <xdr:spPr>
        <a:xfrm>
          <a:off x="476250" y="99060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180975</xdr:rowOff>
    </xdr:from>
    <xdr:to>
      <xdr:col>4</xdr:col>
      <xdr:colOff>9525</xdr:colOff>
      <xdr:row>52</xdr:row>
      <xdr:rowOff>180975</xdr:rowOff>
    </xdr:to>
    <xdr:sp>
      <xdr:nvSpPr>
        <xdr:cNvPr id="51" name="Line 51"/>
        <xdr:cNvSpPr>
          <a:spLocks/>
        </xdr:cNvSpPr>
      </xdr:nvSpPr>
      <xdr:spPr>
        <a:xfrm>
          <a:off x="1066800" y="110775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52" name="Line 52"/>
        <xdr:cNvSpPr>
          <a:spLocks/>
        </xdr:cNvSpPr>
      </xdr:nvSpPr>
      <xdr:spPr>
        <a:xfrm>
          <a:off x="1066800" y="105156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590550</xdr:colOff>
      <xdr:row>39</xdr:row>
      <xdr:rowOff>114300</xdr:rowOff>
    </xdr:from>
    <xdr:to>
      <xdr:col>2</xdr:col>
      <xdr:colOff>590550</xdr:colOff>
      <xdr:row>44</xdr:row>
      <xdr:rowOff>19050</xdr:rowOff>
    </xdr:to>
    <xdr:sp>
      <xdr:nvSpPr>
        <xdr:cNvPr id="53" name="Line 53"/>
        <xdr:cNvSpPr>
          <a:spLocks/>
        </xdr:cNvSpPr>
      </xdr:nvSpPr>
      <xdr:spPr>
        <a:xfrm flipV="1">
          <a:off x="1657350" y="85344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590550</xdr:colOff>
      <xdr:row>44</xdr:row>
      <xdr:rowOff>28575</xdr:rowOff>
    </xdr:from>
    <xdr:to>
      <xdr:col>2</xdr:col>
      <xdr:colOff>590550</xdr:colOff>
      <xdr:row>45</xdr:row>
      <xdr:rowOff>180975</xdr:rowOff>
    </xdr:to>
    <xdr:sp>
      <xdr:nvSpPr>
        <xdr:cNvPr id="54" name="Line 54"/>
        <xdr:cNvSpPr>
          <a:spLocks/>
        </xdr:cNvSpPr>
      </xdr:nvSpPr>
      <xdr:spPr>
        <a:xfrm flipV="1">
          <a:off x="1657350" y="94011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590550</xdr:colOff>
      <xdr:row>38</xdr:row>
      <xdr:rowOff>9525</xdr:rowOff>
    </xdr:from>
    <xdr:to>
      <xdr:col>2</xdr:col>
      <xdr:colOff>590550</xdr:colOff>
      <xdr:row>39</xdr:row>
      <xdr:rowOff>114300</xdr:rowOff>
    </xdr:to>
    <xdr:sp>
      <xdr:nvSpPr>
        <xdr:cNvPr id="55" name="Line 55"/>
        <xdr:cNvSpPr>
          <a:spLocks/>
        </xdr:cNvSpPr>
      </xdr:nvSpPr>
      <xdr:spPr>
        <a:xfrm flipV="1">
          <a:off x="1657350" y="82391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257175</xdr:colOff>
      <xdr:row>39</xdr:row>
      <xdr:rowOff>114300</xdr:rowOff>
    </xdr:from>
    <xdr:to>
      <xdr:col>1</xdr:col>
      <xdr:colOff>257175</xdr:colOff>
      <xdr:row>44</xdr:row>
      <xdr:rowOff>28575</xdr:rowOff>
    </xdr:to>
    <xdr:sp>
      <xdr:nvSpPr>
        <xdr:cNvPr id="56" name="Line 56"/>
        <xdr:cNvSpPr>
          <a:spLocks/>
        </xdr:cNvSpPr>
      </xdr:nvSpPr>
      <xdr:spPr>
        <a:xfrm flipV="1">
          <a:off x="742950" y="8534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133350</xdr:colOff>
      <xdr:row>56</xdr:row>
      <xdr:rowOff>9525</xdr:rowOff>
    </xdr:from>
    <xdr:to>
      <xdr:col>1</xdr:col>
      <xdr:colOff>438150</xdr:colOff>
      <xdr:row>56</xdr:row>
      <xdr:rowOff>9525</xdr:rowOff>
    </xdr:to>
    <xdr:sp>
      <xdr:nvSpPr>
        <xdr:cNvPr id="57" name="Line 57"/>
        <xdr:cNvSpPr>
          <a:spLocks/>
        </xdr:cNvSpPr>
      </xdr:nvSpPr>
      <xdr:spPr>
        <a:xfrm>
          <a:off x="619125" y="116681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161925</xdr:colOff>
      <xdr:row>56</xdr:row>
      <xdr:rowOff>19050</xdr:rowOff>
    </xdr:from>
    <xdr:to>
      <xdr:col>4</xdr:col>
      <xdr:colOff>428625</xdr:colOff>
      <xdr:row>56</xdr:row>
      <xdr:rowOff>19050</xdr:rowOff>
    </xdr:to>
    <xdr:sp>
      <xdr:nvSpPr>
        <xdr:cNvPr id="58" name="Line 58"/>
        <xdr:cNvSpPr>
          <a:spLocks/>
        </xdr:cNvSpPr>
      </xdr:nvSpPr>
      <xdr:spPr>
        <a:xfrm>
          <a:off x="2381250" y="11677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19050</xdr:rowOff>
    </xdr:from>
    <xdr:to>
      <xdr:col>4</xdr:col>
      <xdr:colOff>9525</xdr:colOff>
      <xdr:row>56</xdr:row>
      <xdr:rowOff>19050</xdr:rowOff>
    </xdr:to>
    <xdr:sp>
      <xdr:nvSpPr>
        <xdr:cNvPr id="59" name="Line 59"/>
        <xdr:cNvSpPr>
          <a:spLocks/>
        </xdr:cNvSpPr>
      </xdr:nvSpPr>
      <xdr:spPr>
        <a:xfrm>
          <a:off x="1076325" y="116776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361950</xdr:colOff>
      <xdr:row>59</xdr:row>
      <xdr:rowOff>38100</xdr:rowOff>
    </xdr:from>
    <xdr:to>
      <xdr:col>4</xdr:col>
      <xdr:colOff>180975</xdr:colOff>
      <xdr:row>59</xdr:row>
      <xdr:rowOff>38100</xdr:rowOff>
    </xdr:to>
    <xdr:sp>
      <xdr:nvSpPr>
        <xdr:cNvPr id="60" name="Line 60"/>
        <xdr:cNvSpPr>
          <a:spLocks/>
        </xdr:cNvSpPr>
      </xdr:nvSpPr>
      <xdr:spPr>
        <a:xfrm>
          <a:off x="847725" y="122682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352425</xdr:colOff>
      <xdr:row>59</xdr:row>
      <xdr:rowOff>161925</xdr:rowOff>
    </xdr:from>
    <xdr:to>
      <xdr:col>4</xdr:col>
      <xdr:colOff>180975</xdr:colOff>
      <xdr:row>59</xdr:row>
      <xdr:rowOff>161925</xdr:rowOff>
    </xdr:to>
    <xdr:sp>
      <xdr:nvSpPr>
        <xdr:cNvPr id="61" name="Line 61"/>
        <xdr:cNvSpPr>
          <a:spLocks/>
        </xdr:cNvSpPr>
      </xdr:nvSpPr>
      <xdr:spPr>
        <a:xfrm>
          <a:off x="838200" y="123920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47625</xdr:rowOff>
    </xdr:from>
    <xdr:to>
      <xdr:col>12</xdr:col>
      <xdr:colOff>457200</xdr:colOff>
      <xdr:row>1</xdr:row>
      <xdr:rowOff>304800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000750" y="390525"/>
          <a:ext cx="1419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Licen</a:t>
          </a:r>
          <a:r>
            <a:rPr lang="en-US" cap="none" sz="1100" b="1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D62"/>
  <sheetViews>
    <sheetView showGridLines="0" tabSelected="1" zoomScalePageLayoutView="0" workbookViewId="0" topLeftCell="A28">
      <selection activeCell="U1" sqref="U1"/>
    </sheetView>
  </sheetViews>
  <sheetFormatPr defaultColWidth="9.33203125" defaultRowHeight="21"/>
  <cols>
    <col min="1" max="1" width="9" style="0" customWidth="1"/>
    <col min="2" max="2" width="11" style="0" customWidth="1"/>
    <col min="3" max="3" width="11.33203125" style="0" customWidth="1"/>
    <col min="4" max="4" width="8.83203125" style="0" customWidth="1"/>
    <col min="5" max="5" width="9.5" style="0" customWidth="1"/>
    <col min="6" max="6" width="9.33203125" style="0" customWidth="1"/>
    <col min="7" max="7" width="7.66015625" style="0" customWidth="1"/>
    <col min="8" max="8" width="4" style="0" customWidth="1"/>
    <col min="9" max="9" width="30.83203125" style="0" customWidth="1"/>
    <col min="10" max="10" width="9.66015625" style="0" customWidth="1"/>
    <col min="11" max="17" width="8.83203125" style="0" customWidth="1"/>
    <col min="18" max="20" width="8.83203125" style="0" hidden="1" customWidth="1"/>
    <col min="21" max="21" width="34.16015625" style="0" customWidth="1"/>
    <col min="22" max="28" width="14.16015625" style="0" customWidth="1"/>
    <col min="29" max="29" width="7.66015625" style="0" customWidth="1"/>
    <col min="31" max="41" width="10.83203125" style="0" customWidth="1"/>
    <col min="42" max="42" width="10.16015625" style="0" customWidth="1"/>
  </cols>
  <sheetData>
    <row r="1" spans="1:20" ht="30.75" customHeight="1" thickBot="1" thickTop="1">
      <c r="A1" s="223" t="s">
        <v>181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5"/>
      <c r="Q1" s="36"/>
      <c r="R1" s="36"/>
      <c r="S1" s="36"/>
      <c r="T1" s="36"/>
    </row>
    <row r="2" spans="1:21" ht="26.25" customHeight="1" thickBot="1">
      <c r="A2" s="41" t="s">
        <v>142</v>
      </c>
      <c r="B2" s="226" t="s">
        <v>174</v>
      </c>
      <c r="C2" s="226"/>
      <c r="D2" s="226"/>
      <c r="E2" s="227" t="s">
        <v>143</v>
      </c>
      <c r="F2" s="228"/>
      <c r="G2" s="226" t="s">
        <v>117</v>
      </c>
      <c r="H2" s="229"/>
      <c r="I2" s="227" t="s">
        <v>145</v>
      </c>
      <c r="J2" s="228"/>
      <c r="K2" s="230" t="s">
        <v>180</v>
      </c>
      <c r="L2" s="231"/>
      <c r="M2" s="232"/>
      <c r="N2" s="216" t="s">
        <v>144</v>
      </c>
      <c r="O2" s="233">
        <f ca="1">NOW()</f>
        <v>41255.47610925926</v>
      </c>
      <c r="P2" s="234"/>
      <c r="Q2" s="36"/>
      <c r="R2" s="36"/>
      <c r="S2" s="36"/>
      <c r="T2" s="36"/>
      <c r="U2" s="222"/>
    </row>
    <row r="3" spans="1:52" s="1" customFormat="1" ht="23.25" customHeight="1">
      <c r="A3" s="122" t="s">
        <v>139</v>
      </c>
      <c r="B3" s="25"/>
      <c r="C3" s="25"/>
      <c r="D3" s="25"/>
      <c r="E3" s="25"/>
      <c r="F3" s="25"/>
      <c r="G3" s="25"/>
      <c r="H3" s="25"/>
      <c r="I3" s="121" t="s">
        <v>158</v>
      </c>
      <c r="P3" s="44"/>
      <c r="U3" s="235" t="s">
        <v>178</v>
      </c>
      <c r="V3" s="235"/>
      <c r="W3" s="235"/>
      <c r="X3" s="235"/>
      <c r="Y3" s="235"/>
      <c r="Z3" s="235"/>
      <c r="AA3" s="235"/>
      <c r="AB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</row>
    <row r="4" spans="1:56" s="1" customFormat="1" ht="15" customHeight="1">
      <c r="A4" s="45"/>
      <c r="B4" s="4" t="s">
        <v>126</v>
      </c>
      <c r="C4" s="4"/>
      <c r="D4" s="4" t="s">
        <v>1</v>
      </c>
      <c r="E4" s="211" t="s">
        <v>96</v>
      </c>
      <c r="F4" s="4"/>
      <c r="G4" s="7"/>
      <c r="H4" s="25"/>
      <c r="J4" s="4"/>
      <c r="L4" s="25"/>
      <c r="M4" s="47"/>
      <c r="N4" s="25"/>
      <c r="O4" s="25"/>
      <c r="P4" s="44"/>
      <c r="U4" s="236" t="s">
        <v>36</v>
      </c>
      <c r="V4" s="239" t="s">
        <v>37</v>
      </c>
      <c r="W4" s="239"/>
      <c r="X4" s="239"/>
      <c r="Y4" s="239"/>
      <c r="Z4" s="239"/>
      <c r="AA4" s="239"/>
      <c r="AB4" s="240" t="s">
        <v>40</v>
      </c>
      <c r="AE4" s="243" t="s">
        <v>108</v>
      </c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5"/>
      <c r="AS4" s="25"/>
      <c r="AT4" s="113"/>
      <c r="AU4" s="113"/>
      <c r="AV4" s="113"/>
      <c r="AW4" s="113"/>
      <c r="AX4" s="113"/>
      <c r="AY4" s="243" t="s">
        <v>108</v>
      </c>
      <c r="AZ4" s="244"/>
      <c r="BA4" s="244"/>
      <c r="BB4" s="244"/>
      <c r="BC4" s="244"/>
      <c r="BD4" s="245"/>
    </row>
    <row r="5" spans="1:56" s="1" customFormat="1" ht="18.75" customHeight="1">
      <c r="A5" s="45"/>
      <c r="B5" s="4" t="s">
        <v>127</v>
      </c>
      <c r="C5" s="4"/>
      <c r="D5" s="4" t="s">
        <v>1</v>
      </c>
      <c r="E5" s="211">
        <v>10</v>
      </c>
      <c r="F5" s="4"/>
      <c r="G5" s="7" t="s">
        <v>159</v>
      </c>
      <c r="H5" s="25"/>
      <c r="I5" s="25"/>
      <c r="J5" s="38" t="s">
        <v>176</v>
      </c>
      <c r="K5" s="25"/>
      <c r="L5" s="25" t="s">
        <v>1</v>
      </c>
      <c r="M5" s="75">
        <f>MAX($J$18,$K$18,$L$18,$M$18,$N$18,$O$18)</f>
        <v>501.76</v>
      </c>
      <c r="N5" s="25"/>
      <c r="O5" s="7" t="s">
        <v>164</v>
      </c>
      <c r="P5" s="44"/>
      <c r="U5" s="237"/>
      <c r="V5" s="238" t="s">
        <v>38</v>
      </c>
      <c r="W5" s="238"/>
      <c r="X5" s="238"/>
      <c r="Y5" s="238"/>
      <c r="Z5" s="238"/>
      <c r="AA5" s="238"/>
      <c r="AB5" s="241"/>
      <c r="AE5" s="246" t="s">
        <v>111</v>
      </c>
      <c r="AF5" s="246"/>
      <c r="AG5" s="246"/>
      <c r="AH5" s="246"/>
      <c r="AI5" s="246"/>
      <c r="AJ5" s="246"/>
      <c r="AL5" s="246" t="s">
        <v>110</v>
      </c>
      <c r="AM5" s="246"/>
      <c r="AN5" s="246"/>
      <c r="AO5" s="246"/>
      <c r="AP5" s="246"/>
      <c r="AQ5" s="246"/>
      <c r="AY5" s="247" t="s">
        <v>109</v>
      </c>
      <c r="AZ5" s="248"/>
      <c r="BA5" s="248"/>
      <c r="BB5" s="248"/>
      <c r="BC5" s="248"/>
      <c r="BD5" s="248"/>
    </row>
    <row r="6" spans="1:28" s="1" customFormat="1" ht="18" customHeight="1">
      <c r="A6" s="45"/>
      <c r="B6" s="4" t="s">
        <v>8</v>
      </c>
      <c r="C6" s="4"/>
      <c r="D6" s="4" t="s">
        <v>1</v>
      </c>
      <c r="E6" s="212">
        <v>3000</v>
      </c>
      <c r="F6" s="4"/>
      <c r="G6" s="7" t="s">
        <v>160</v>
      </c>
      <c r="H6" s="25"/>
      <c r="I6" s="25"/>
      <c r="J6" s="38" t="s">
        <v>9</v>
      </c>
      <c r="L6" s="25" t="s">
        <v>1</v>
      </c>
      <c r="M6" s="76">
        <f>1/(1+($E$30/($E$32*$E$29)))</f>
        <v>0.3506493506493506</v>
      </c>
      <c r="O6" s="63"/>
      <c r="P6" s="44"/>
      <c r="U6" s="237"/>
      <c r="V6" s="237">
        <v>1</v>
      </c>
      <c r="W6" s="237">
        <v>0.9</v>
      </c>
      <c r="X6" s="237">
        <v>0.8</v>
      </c>
      <c r="Y6" s="237">
        <v>0.7</v>
      </c>
      <c r="Z6" s="237">
        <v>0.6</v>
      </c>
      <c r="AA6" s="249" t="s">
        <v>39</v>
      </c>
      <c r="AB6" s="241"/>
    </row>
    <row r="7" spans="1:56" s="1" customFormat="1" ht="20.25" customHeight="1">
      <c r="A7" s="45"/>
      <c r="B7" s="4" t="s">
        <v>7</v>
      </c>
      <c r="C7" s="4"/>
      <c r="D7" s="4" t="s">
        <v>1</v>
      </c>
      <c r="E7" s="211">
        <v>200</v>
      </c>
      <c r="F7" s="4"/>
      <c r="G7" s="7" t="s">
        <v>160</v>
      </c>
      <c r="H7" s="25"/>
      <c r="J7" s="38" t="s">
        <v>10</v>
      </c>
      <c r="K7" s="25"/>
      <c r="L7" s="25" t="s">
        <v>1</v>
      </c>
      <c r="M7" s="76">
        <f>1-($M$6/3)</f>
        <v>0.8831168831168832</v>
      </c>
      <c r="N7" s="25"/>
      <c r="O7" s="43"/>
      <c r="P7" s="44"/>
      <c r="U7" s="238"/>
      <c r="V7" s="238"/>
      <c r="W7" s="238"/>
      <c r="X7" s="238"/>
      <c r="Y7" s="238"/>
      <c r="Z7" s="238"/>
      <c r="AA7" s="250"/>
      <c r="AB7" s="242"/>
      <c r="AE7" s="35" t="s">
        <v>0</v>
      </c>
      <c r="AF7" s="114" t="s">
        <v>56</v>
      </c>
      <c r="AG7" s="115" t="s">
        <v>57</v>
      </c>
      <c r="AH7" s="10" t="s">
        <v>58</v>
      </c>
      <c r="AI7" s="5" t="s">
        <v>59</v>
      </c>
      <c r="AJ7" s="116" t="s">
        <v>60</v>
      </c>
      <c r="AL7" s="35" t="s">
        <v>0</v>
      </c>
      <c r="AM7" s="114" t="s">
        <v>56</v>
      </c>
      <c r="AN7" s="115" t="s">
        <v>57</v>
      </c>
      <c r="AO7" s="10" t="s">
        <v>58</v>
      </c>
      <c r="AP7" s="5" t="s">
        <v>59</v>
      </c>
      <c r="AQ7" s="116" t="s">
        <v>60</v>
      </c>
      <c r="AY7" s="35" t="s">
        <v>0</v>
      </c>
      <c r="AZ7" s="114" t="s">
        <v>56</v>
      </c>
      <c r="BA7" s="115" t="s">
        <v>57</v>
      </c>
      <c r="BB7" s="10" t="s">
        <v>58</v>
      </c>
      <c r="BC7" s="5" t="s">
        <v>59</v>
      </c>
      <c r="BD7" s="116" t="s">
        <v>60</v>
      </c>
    </row>
    <row r="8" spans="1:56" s="1" customFormat="1" ht="18.75" customHeight="1">
      <c r="A8" s="45"/>
      <c r="B8" s="4" t="s">
        <v>16</v>
      </c>
      <c r="C8" s="4"/>
      <c r="D8" s="4" t="s">
        <v>1</v>
      </c>
      <c r="E8" s="117">
        <v>2040000</v>
      </c>
      <c r="F8" s="4"/>
      <c r="G8" s="7" t="s">
        <v>160</v>
      </c>
      <c r="H8" s="25"/>
      <c r="I8" s="25"/>
      <c r="J8" s="38" t="s">
        <v>17</v>
      </c>
      <c r="K8" s="25"/>
      <c r="L8" s="25" t="s">
        <v>1</v>
      </c>
      <c r="M8" s="49">
        <f>ROUND($E$29*$M$6*$M$7/2,2)</f>
        <v>13.93</v>
      </c>
      <c r="N8" s="25"/>
      <c r="O8" s="7" t="s">
        <v>160</v>
      </c>
      <c r="P8" s="44"/>
      <c r="U8" s="73" t="s">
        <v>41</v>
      </c>
      <c r="V8" s="17"/>
      <c r="W8" s="17"/>
      <c r="X8" s="17"/>
      <c r="Y8" s="17"/>
      <c r="Z8" s="17"/>
      <c r="AA8" s="17"/>
      <c r="AB8" s="70"/>
      <c r="AE8" s="103">
        <v>0.5</v>
      </c>
      <c r="AF8" s="104">
        <v>0.083</v>
      </c>
      <c r="AG8" s="104">
        <v>0.085</v>
      </c>
      <c r="AH8" s="104">
        <v>0.09</v>
      </c>
      <c r="AI8" s="104">
        <v>0.098</v>
      </c>
      <c r="AJ8" s="101">
        <v>0</v>
      </c>
      <c r="AL8" s="103">
        <v>0.5</v>
      </c>
      <c r="AM8" s="104">
        <v>0</v>
      </c>
      <c r="AN8" s="104">
        <v>0.042</v>
      </c>
      <c r="AO8" s="104">
        <v>0.045</v>
      </c>
      <c r="AP8" s="104">
        <v>0.049</v>
      </c>
      <c r="AQ8" s="101">
        <v>0.055</v>
      </c>
      <c r="AY8" s="103">
        <v>0.5</v>
      </c>
      <c r="AZ8" s="104">
        <v>0.062</v>
      </c>
      <c r="BA8" s="104">
        <v>0.064</v>
      </c>
      <c r="BB8" s="104">
        <v>0.068</v>
      </c>
      <c r="BC8" s="104">
        <v>0.074</v>
      </c>
      <c r="BD8" s="101">
        <v>0.083</v>
      </c>
    </row>
    <row r="9" spans="1:56" s="1" customFormat="1" ht="16.5" customHeight="1">
      <c r="A9" s="45"/>
      <c r="B9" s="4" t="s">
        <v>128</v>
      </c>
      <c r="C9" s="4"/>
      <c r="D9" s="4" t="s">
        <v>1</v>
      </c>
      <c r="E9" s="118">
        <v>2.5</v>
      </c>
      <c r="F9" s="4"/>
      <c r="G9" s="7" t="s">
        <v>6</v>
      </c>
      <c r="H9" s="25"/>
      <c r="I9" s="251" t="s">
        <v>147</v>
      </c>
      <c r="J9" s="252"/>
      <c r="K9" s="252"/>
      <c r="L9" s="46" t="s">
        <v>1</v>
      </c>
      <c r="M9" s="52">
        <f>SQRT($M$5/$M$8)</f>
        <v>6.001674808127525</v>
      </c>
      <c r="N9" s="25"/>
      <c r="O9" s="7" t="s">
        <v>162</v>
      </c>
      <c r="P9" s="44"/>
      <c r="U9" s="27" t="s">
        <v>46</v>
      </c>
      <c r="V9" s="17">
        <v>0.033</v>
      </c>
      <c r="W9" s="28">
        <v>0.04</v>
      </c>
      <c r="X9" s="17">
        <v>0.048</v>
      </c>
      <c r="Y9" s="17">
        <v>0.055</v>
      </c>
      <c r="Z9" s="17">
        <v>0.063</v>
      </c>
      <c r="AA9" s="17">
        <v>0.083</v>
      </c>
      <c r="AB9" s="70">
        <v>0.033</v>
      </c>
      <c r="AE9" s="33">
        <v>0.51</v>
      </c>
      <c r="AF9" s="64">
        <f aca="true" t="shared" si="0" ref="AF9:AF17">AF8-(0.01*($AF$8-$AF$18)/0.1)</f>
        <v>0.081</v>
      </c>
      <c r="AG9" s="64">
        <f aca="true" t="shared" si="1" ref="AG9:AG17">AG8-(0.01*($AG$8-$AG$18)/0.1)</f>
        <v>0.0834</v>
      </c>
      <c r="AH9" s="64">
        <f aca="true" t="shared" si="2" ref="AH9:AH17">AH8-(0.01*($AH$8-$AH$18)/0.1)</f>
        <v>0.08879999999999999</v>
      </c>
      <c r="AI9" s="64">
        <f aca="true" t="shared" si="3" ref="AI9:AI17">AI8-(0.01*($AI$8-$AI$18)/0.1)</f>
        <v>0.09720000000000001</v>
      </c>
      <c r="AJ9" s="31">
        <v>0</v>
      </c>
      <c r="AL9" s="33">
        <v>0.51</v>
      </c>
      <c r="AM9" s="64">
        <v>0</v>
      </c>
      <c r="AN9" s="64">
        <f aca="true" t="shared" si="4" ref="AN9:AN17">AN8-(0.01*($AN$8-$AN$18)/0.1)</f>
        <v>0.0413</v>
      </c>
      <c r="AO9" s="64">
        <f aca="true" t="shared" si="5" ref="AO9:AO17">AO8-(0.01*($AO$8-$AO$18)/0.1)</f>
        <v>0.044399999999999995</v>
      </c>
      <c r="AP9" s="64">
        <f aca="true" t="shared" si="6" ref="AP9:AP17">AP8-(0.01*($AP$8-$AP$18)/0.1)</f>
        <v>0.048600000000000004</v>
      </c>
      <c r="AQ9" s="31">
        <f aca="true" t="shared" si="7" ref="AQ9:AQ17">AQ8-(0.01*($AQ$8-$AQ$18)/0.1)</f>
        <v>0.0548</v>
      </c>
      <c r="AY9" s="33">
        <v>0.51</v>
      </c>
      <c r="AZ9" s="64">
        <f aca="true" t="shared" si="8" ref="AZ9:AZ17">AZ8-(0.01*($AF$8-$AF$18)/0.1)</f>
        <v>0.06</v>
      </c>
      <c r="BA9" s="64">
        <f aca="true" t="shared" si="9" ref="BA9:BA17">BA8-(0.01*($AG$8-$AG$18)/0.1)</f>
        <v>0.062400000000000004</v>
      </c>
      <c r="BB9" s="64">
        <f aca="true" t="shared" si="10" ref="BB9:BB17">BB8-(0.01*($AH$8-$AH$18)/0.1)</f>
        <v>0.0668</v>
      </c>
      <c r="BC9" s="64">
        <f aca="true" t="shared" si="11" ref="BC9:BC17">BC8-(0.01*($AI$8-$AI$18)/0.1)</f>
        <v>0.0732</v>
      </c>
      <c r="BD9" s="31">
        <v>0</v>
      </c>
    </row>
    <row r="10" spans="1:56" s="1" customFormat="1" ht="19.5" customHeight="1">
      <c r="A10" s="45"/>
      <c r="B10" s="25"/>
      <c r="C10" s="25"/>
      <c r="D10" s="25"/>
      <c r="E10" s="25"/>
      <c r="F10" s="25"/>
      <c r="G10" s="25"/>
      <c r="H10" s="25"/>
      <c r="I10" s="251" t="s">
        <v>148</v>
      </c>
      <c r="J10" s="252"/>
      <c r="K10" s="252"/>
      <c r="L10" s="1" t="s">
        <v>1</v>
      </c>
      <c r="M10" s="77">
        <f>+$E$17-$E$9-($E$5/20)</f>
        <v>7</v>
      </c>
      <c r="N10" s="25"/>
      <c r="O10" s="6" t="s">
        <v>162</v>
      </c>
      <c r="P10" s="44"/>
      <c r="U10" s="26" t="s">
        <v>47</v>
      </c>
      <c r="V10" s="17" t="s">
        <v>48</v>
      </c>
      <c r="W10" s="17" t="s">
        <v>48</v>
      </c>
      <c r="X10" s="17" t="s">
        <v>48</v>
      </c>
      <c r="Y10" s="17" t="s">
        <v>48</v>
      </c>
      <c r="Z10" s="17" t="s">
        <v>48</v>
      </c>
      <c r="AA10" s="17" t="s">
        <v>48</v>
      </c>
      <c r="AB10" s="70">
        <v>0</v>
      </c>
      <c r="AE10" s="33">
        <v>0.52</v>
      </c>
      <c r="AF10" s="64">
        <f t="shared" si="0"/>
        <v>0.079</v>
      </c>
      <c r="AG10" s="64">
        <f t="shared" si="1"/>
        <v>0.0818</v>
      </c>
      <c r="AH10" s="64">
        <f t="shared" si="2"/>
        <v>0.08759999999999998</v>
      </c>
      <c r="AI10" s="64">
        <f t="shared" si="3"/>
        <v>0.09640000000000001</v>
      </c>
      <c r="AJ10" s="31">
        <v>0</v>
      </c>
      <c r="AL10" s="33">
        <v>0.52</v>
      </c>
      <c r="AM10" s="64">
        <v>0</v>
      </c>
      <c r="AN10" s="64">
        <f t="shared" si="4"/>
        <v>0.040600000000000004</v>
      </c>
      <c r="AO10" s="64">
        <f t="shared" si="5"/>
        <v>0.04379999999999999</v>
      </c>
      <c r="AP10" s="64">
        <f t="shared" si="6"/>
        <v>0.04820000000000001</v>
      </c>
      <c r="AQ10" s="31">
        <f t="shared" si="7"/>
        <v>0.0546</v>
      </c>
      <c r="AY10" s="33">
        <v>0.52</v>
      </c>
      <c r="AZ10" s="64">
        <f t="shared" si="8"/>
        <v>0.057999999999999996</v>
      </c>
      <c r="BA10" s="64">
        <f t="shared" si="9"/>
        <v>0.06080000000000001</v>
      </c>
      <c r="BB10" s="64">
        <f t="shared" si="10"/>
        <v>0.06559999999999999</v>
      </c>
      <c r="BC10" s="64">
        <f t="shared" si="11"/>
        <v>0.0724</v>
      </c>
      <c r="BD10" s="31">
        <v>0</v>
      </c>
    </row>
    <row r="11" spans="1:56" s="1" customFormat="1" ht="21.75" customHeight="1">
      <c r="A11" s="123" t="s">
        <v>140</v>
      </c>
      <c r="B11" s="25"/>
      <c r="C11" s="25"/>
      <c r="D11" s="25"/>
      <c r="E11" s="25"/>
      <c r="F11" s="25"/>
      <c r="G11" s="25"/>
      <c r="H11" s="25"/>
      <c r="I11" s="251" t="s">
        <v>146</v>
      </c>
      <c r="J11" s="252"/>
      <c r="K11" s="252"/>
      <c r="L11" s="1" t="s">
        <v>1</v>
      </c>
      <c r="M11" s="77">
        <f>MAX($M$9,$M$10)</f>
        <v>7</v>
      </c>
      <c r="N11" s="43"/>
      <c r="O11" s="6" t="s">
        <v>162</v>
      </c>
      <c r="P11" s="44"/>
      <c r="U11" s="29" t="s">
        <v>42</v>
      </c>
      <c r="V11" s="18">
        <v>0.025</v>
      </c>
      <c r="W11" s="30">
        <v>0.03</v>
      </c>
      <c r="X11" s="18">
        <v>0.036</v>
      </c>
      <c r="Y11" s="18">
        <v>0.041</v>
      </c>
      <c r="Z11" s="18">
        <v>0.047</v>
      </c>
      <c r="AA11" s="18">
        <v>0.062</v>
      </c>
      <c r="AB11" s="71">
        <v>0.025</v>
      </c>
      <c r="AE11" s="33">
        <v>0.53</v>
      </c>
      <c r="AF11" s="64">
        <f t="shared" si="0"/>
        <v>0.077</v>
      </c>
      <c r="AG11" s="64">
        <f t="shared" si="1"/>
        <v>0.0802</v>
      </c>
      <c r="AH11" s="64">
        <f t="shared" si="2"/>
        <v>0.08639999999999998</v>
      </c>
      <c r="AI11" s="64">
        <f t="shared" si="3"/>
        <v>0.09560000000000002</v>
      </c>
      <c r="AJ11" s="31">
        <v>0</v>
      </c>
      <c r="AL11" s="33">
        <v>0.53</v>
      </c>
      <c r="AM11" s="64">
        <v>0</v>
      </c>
      <c r="AN11" s="64">
        <f t="shared" si="4"/>
        <v>0.039900000000000005</v>
      </c>
      <c r="AO11" s="64">
        <f t="shared" si="5"/>
        <v>0.04319999999999999</v>
      </c>
      <c r="AP11" s="64">
        <f t="shared" si="6"/>
        <v>0.04780000000000001</v>
      </c>
      <c r="AQ11" s="31">
        <f t="shared" si="7"/>
        <v>0.054400000000000004</v>
      </c>
      <c r="AY11" s="33">
        <v>0.53</v>
      </c>
      <c r="AZ11" s="64">
        <f t="shared" si="8"/>
        <v>0.055999999999999994</v>
      </c>
      <c r="BA11" s="64">
        <f t="shared" si="9"/>
        <v>0.05920000000000001</v>
      </c>
      <c r="BB11" s="64">
        <f t="shared" si="10"/>
        <v>0.06439999999999999</v>
      </c>
      <c r="BC11" s="64">
        <f t="shared" si="11"/>
        <v>0.07160000000000001</v>
      </c>
      <c r="BD11" s="31">
        <v>0</v>
      </c>
    </row>
    <row r="12" spans="1:56" s="1" customFormat="1" ht="21" customHeight="1">
      <c r="A12" s="45"/>
      <c r="B12" s="4" t="s">
        <v>129</v>
      </c>
      <c r="C12" s="4"/>
      <c r="D12" s="4" t="s">
        <v>1</v>
      </c>
      <c r="E12" s="213">
        <v>3</v>
      </c>
      <c r="F12" s="25"/>
      <c r="G12" s="25"/>
      <c r="H12" s="25"/>
      <c r="I12" s="253" t="s">
        <v>149</v>
      </c>
      <c r="J12" s="253"/>
      <c r="K12" s="253"/>
      <c r="L12" s="1" t="s">
        <v>1</v>
      </c>
      <c r="M12" s="79">
        <f>+$M$11</f>
        <v>7</v>
      </c>
      <c r="O12" s="6" t="s">
        <v>162</v>
      </c>
      <c r="P12" s="44"/>
      <c r="U12" s="73" t="s">
        <v>43</v>
      </c>
      <c r="V12" s="17"/>
      <c r="W12" s="17"/>
      <c r="X12" s="17"/>
      <c r="Y12" s="17"/>
      <c r="Z12" s="17"/>
      <c r="AA12" s="17"/>
      <c r="AB12" s="70"/>
      <c r="AE12" s="33">
        <v>0.54</v>
      </c>
      <c r="AF12" s="64">
        <f t="shared" si="0"/>
        <v>0.075</v>
      </c>
      <c r="AG12" s="64">
        <f t="shared" si="1"/>
        <v>0.07859999999999999</v>
      </c>
      <c r="AH12" s="64">
        <f t="shared" si="2"/>
        <v>0.08519999999999997</v>
      </c>
      <c r="AI12" s="64">
        <f t="shared" si="3"/>
        <v>0.09480000000000002</v>
      </c>
      <c r="AJ12" s="31">
        <v>0</v>
      </c>
      <c r="AL12" s="33">
        <v>0.54</v>
      </c>
      <c r="AM12" s="64">
        <v>0</v>
      </c>
      <c r="AN12" s="64">
        <f t="shared" si="4"/>
        <v>0.039200000000000006</v>
      </c>
      <c r="AO12" s="64">
        <f t="shared" si="5"/>
        <v>0.042599999999999985</v>
      </c>
      <c r="AP12" s="64">
        <f t="shared" si="6"/>
        <v>0.04740000000000001</v>
      </c>
      <c r="AQ12" s="31">
        <f t="shared" si="7"/>
        <v>0.054200000000000005</v>
      </c>
      <c r="AY12" s="33">
        <v>0.54</v>
      </c>
      <c r="AZ12" s="64">
        <f t="shared" si="8"/>
        <v>0.05399999999999999</v>
      </c>
      <c r="BA12" s="64">
        <f t="shared" si="9"/>
        <v>0.05760000000000001</v>
      </c>
      <c r="BB12" s="64">
        <f t="shared" si="10"/>
        <v>0.06319999999999998</v>
      </c>
      <c r="BC12" s="64">
        <f t="shared" si="11"/>
        <v>0.07080000000000002</v>
      </c>
      <c r="BD12" s="31">
        <v>0</v>
      </c>
    </row>
    <row r="13" spans="1:56" s="1" customFormat="1" ht="18.75" customHeight="1">
      <c r="A13" s="45"/>
      <c r="B13" s="4" t="s">
        <v>130</v>
      </c>
      <c r="C13" s="25"/>
      <c r="D13" s="25" t="s">
        <v>1</v>
      </c>
      <c r="E13" s="211">
        <v>4</v>
      </c>
      <c r="F13" s="25"/>
      <c r="G13" s="7" t="s">
        <v>161</v>
      </c>
      <c r="H13" s="25"/>
      <c r="I13" s="253" t="s">
        <v>150</v>
      </c>
      <c r="J13" s="253"/>
      <c r="K13" s="253"/>
      <c r="L13" s="1" t="s">
        <v>1</v>
      </c>
      <c r="M13" s="79">
        <f>+$E$17-$E$9-($E$35/10)-($E$36/20)</f>
        <v>6</v>
      </c>
      <c r="O13" s="6" t="s">
        <v>162</v>
      </c>
      <c r="P13" s="44"/>
      <c r="U13" s="27" t="s">
        <v>46</v>
      </c>
      <c r="V13" s="17">
        <v>0.041</v>
      </c>
      <c r="W13" s="17">
        <v>0.048</v>
      </c>
      <c r="X13" s="17">
        <v>0.055</v>
      </c>
      <c r="Y13" s="17">
        <v>0.062</v>
      </c>
      <c r="Z13" s="17">
        <v>0.069</v>
      </c>
      <c r="AA13" s="17">
        <v>0.085</v>
      </c>
      <c r="AB13" s="70">
        <v>0.041</v>
      </c>
      <c r="AE13" s="102">
        <v>0.55</v>
      </c>
      <c r="AF13" s="100">
        <f t="shared" si="0"/>
        <v>0.073</v>
      </c>
      <c r="AG13" s="100">
        <f t="shared" si="1"/>
        <v>0.07699999999999999</v>
      </c>
      <c r="AH13" s="100">
        <f t="shared" si="2"/>
        <v>0.08399999999999996</v>
      </c>
      <c r="AI13" s="100">
        <f t="shared" si="3"/>
        <v>0.09400000000000003</v>
      </c>
      <c r="AJ13" s="101">
        <v>0</v>
      </c>
      <c r="AL13" s="102">
        <v>0.55</v>
      </c>
      <c r="AM13" s="100">
        <v>0</v>
      </c>
      <c r="AN13" s="100">
        <f t="shared" si="4"/>
        <v>0.038500000000000006</v>
      </c>
      <c r="AO13" s="100">
        <f t="shared" si="5"/>
        <v>0.04199999999999998</v>
      </c>
      <c r="AP13" s="100">
        <f t="shared" si="6"/>
        <v>0.047000000000000014</v>
      </c>
      <c r="AQ13" s="101">
        <f t="shared" si="7"/>
        <v>0.054000000000000006</v>
      </c>
      <c r="AY13" s="102">
        <v>0.55</v>
      </c>
      <c r="AZ13" s="100">
        <f t="shared" si="8"/>
        <v>0.05199999999999999</v>
      </c>
      <c r="BA13" s="100">
        <f t="shared" si="9"/>
        <v>0.056000000000000015</v>
      </c>
      <c r="BB13" s="100">
        <f t="shared" si="10"/>
        <v>0.06199999999999998</v>
      </c>
      <c r="BC13" s="100">
        <f t="shared" si="11"/>
        <v>0.07000000000000002</v>
      </c>
      <c r="BD13" s="101">
        <v>0</v>
      </c>
    </row>
    <row r="14" spans="1:56" s="1" customFormat="1" ht="15" customHeight="1">
      <c r="A14" s="45"/>
      <c r="B14" s="4" t="s">
        <v>131</v>
      </c>
      <c r="C14" s="25"/>
      <c r="D14" s="25" t="s">
        <v>1</v>
      </c>
      <c r="E14" s="211">
        <v>5</v>
      </c>
      <c r="F14" s="25"/>
      <c r="G14" s="7" t="s">
        <v>161</v>
      </c>
      <c r="H14" s="25"/>
      <c r="P14" s="44"/>
      <c r="U14" s="26" t="s">
        <v>47</v>
      </c>
      <c r="V14" s="17">
        <v>0.021</v>
      </c>
      <c r="W14" s="17">
        <v>0.024</v>
      </c>
      <c r="X14" s="17">
        <v>0.027</v>
      </c>
      <c r="Y14" s="17">
        <v>0.031</v>
      </c>
      <c r="Z14" s="17">
        <v>0.035</v>
      </c>
      <c r="AA14" s="17">
        <v>0.042</v>
      </c>
      <c r="AB14" s="70">
        <v>0.021</v>
      </c>
      <c r="AE14" s="33">
        <v>0.56</v>
      </c>
      <c r="AF14" s="64">
        <f t="shared" si="0"/>
        <v>0.071</v>
      </c>
      <c r="AG14" s="64">
        <f t="shared" si="1"/>
        <v>0.07539999999999998</v>
      </c>
      <c r="AH14" s="64">
        <f t="shared" si="2"/>
        <v>0.08279999999999996</v>
      </c>
      <c r="AI14" s="64">
        <f t="shared" si="3"/>
        <v>0.09320000000000003</v>
      </c>
      <c r="AJ14" s="31">
        <v>0</v>
      </c>
      <c r="AL14" s="33">
        <v>0.56</v>
      </c>
      <c r="AM14" s="64">
        <v>0</v>
      </c>
      <c r="AN14" s="64">
        <f t="shared" si="4"/>
        <v>0.03780000000000001</v>
      </c>
      <c r="AO14" s="64">
        <f t="shared" si="5"/>
        <v>0.04139999999999998</v>
      </c>
      <c r="AP14" s="64">
        <f t="shared" si="6"/>
        <v>0.046600000000000016</v>
      </c>
      <c r="AQ14" s="31">
        <f t="shared" si="7"/>
        <v>0.05380000000000001</v>
      </c>
      <c r="AY14" s="33">
        <v>0.56</v>
      </c>
      <c r="AZ14" s="64">
        <f t="shared" si="8"/>
        <v>0.04999999999999999</v>
      </c>
      <c r="BA14" s="64">
        <f t="shared" si="9"/>
        <v>0.05440000000000002</v>
      </c>
      <c r="BB14" s="64">
        <f t="shared" si="10"/>
        <v>0.06079999999999998</v>
      </c>
      <c r="BC14" s="64">
        <f t="shared" si="11"/>
        <v>0.06920000000000003</v>
      </c>
      <c r="BD14" s="31">
        <v>0</v>
      </c>
    </row>
    <row r="15" spans="1:56" s="1" customFormat="1" ht="23.25" customHeight="1">
      <c r="A15" s="45"/>
      <c r="B15" s="4" t="s">
        <v>65</v>
      </c>
      <c r="C15" s="4"/>
      <c r="D15" s="4" t="s">
        <v>1</v>
      </c>
      <c r="E15" s="147">
        <f>TRUNC($E$13/$E$14,2)</f>
        <v>0.8</v>
      </c>
      <c r="F15" s="4"/>
      <c r="G15" s="4"/>
      <c r="H15" s="25"/>
      <c r="I15" s="62"/>
      <c r="J15" s="254" t="s">
        <v>155</v>
      </c>
      <c r="K15" s="255"/>
      <c r="L15" s="256"/>
      <c r="M15" s="254" t="s">
        <v>156</v>
      </c>
      <c r="N15" s="255"/>
      <c r="O15" s="256"/>
      <c r="P15" s="44"/>
      <c r="U15" s="29" t="s">
        <v>42</v>
      </c>
      <c r="V15" s="18">
        <v>0.031</v>
      </c>
      <c r="W15" s="18">
        <v>0.036</v>
      </c>
      <c r="X15" s="18">
        <v>0.041</v>
      </c>
      <c r="Y15" s="18">
        <v>0.047</v>
      </c>
      <c r="Z15" s="18">
        <v>0.052</v>
      </c>
      <c r="AA15" s="18">
        <v>0.064</v>
      </c>
      <c r="AB15" s="71">
        <v>0.031</v>
      </c>
      <c r="AE15" s="33">
        <v>0.57</v>
      </c>
      <c r="AF15" s="64">
        <f t="shared" si="0"/>
        <v>0.06899999999999999</v>
      </c>
      <c r="AG15" s="64">
        <f t="shared" si="1"/>
        <v>0.07379999999999998</v>
      </c>
      <c r="AH15" s="64">
        <f t="shared" si="2"/>
        <v>0.08159999999999995</v>
      </c>
      <c r="AI15" s="64">
        <f t="shared" si="3"/>
        <v>0.09240000000000004</v>
      </c>
      <c r="AJ15" s="31">
        <v>0</v>
      </c>
      <c r="AL15" s="33">
        <v>0.57</v>
      </c>
      <c r="AM15" s="64">
        <v>0</v>
      </c>
      <c r="AN15" s="64">
        <f t="shared" si="4"/>
        <v>0.03710000000000001</v>
      </c>
      <c r="AO15" s="64">
        <f t="shared" si="5"/>
        <v>0.040799999999999975</v>
      </c>
      <c r="AP15" s="64">
        <f t="shared" si="6"/>
        <v>0.04620000000000002</v>
      </c>
      <c r="AQ15" s="31">
        <f t="shared" si="7"/>
        <v>0.05360000000000001</v>
      </c>
      <c r="AY15" s="33">
        <v>0.57</v>
      </c>
      <c r="AZ15" s="64">
        <f t="shared" si="8"/>
        <v>0.04799999999999999</v>
      </c>
      <c r="BA15" s="64">
        <f t="shared" si="9"/>
        <v>0.05280000000000002</v>
      </c>
      <c r="BB15" s="64">
        <f t="shared" si="10"/>
        <v>0.05959999999999998</v>
      </c>
      <c r="BC15" s="64">
        <f t="shared" si="11"/>
        <v>0.06840000000000003</v>
      </c>
      <c r="BD15" s="31">
        <v>0</v>
      </c>
    </row>
    <row r="16" spans="1:56" s="1" customFormat="1" ht="21">
      <c r="A16" s="45"/>
      <c r="B16" s="4" t="s">
        <v>132</v>
      </c>
      <c r="C16" s="4"/>
      <c r="D16" s="4" t="s">
        <v>1</v>
      </c>
      <c r="E16" s="148">
        <f>MAX(($E$13+$E$14)*100/90,8)</f>
        <v>10</v>
      </c>
      <c r="F16" s="4"/>
      <c r="G16" s="7" t="s">
        <v>162</v>
      </c>
      <c r="H16" s="25"/>
      <c r="I16" s="29"/>
      <c r="J16" s="132" t="s">
        <v>21</v>
      </c>
      <c r="K16" s="135" t="s">
        <v>22</v>
      </c>
      <c r="L16" s="134" t="s">
        <v>20</v>
      </c>
      <c r="M16" s="132" t="s">
        <v>21</v>
      </c>
      <c r="N16" s="135" t="s">
        <v>22</v>
      </c>
      <c r="O16" s="140" t="s">
        <v>20</v>
      </c>
      <c r="P16" s="44"/>
      <c r="U16" s="73" t="s">
        <v>44</v>
      </c>
      <c r="V16" s="17"/>
      <c r="W16" s="17"/>
      <c r="X16" s="17"/>
      <c r="Y16" s="17"/>
      <c r="Z16" s="17"/>
      <c r="AA16" s="17"/>
      <c r="AB16" s="70"/>
      <c r="AE16" s="33">
        <v>0.58</v>
      </c>
      <c r="AF16" s="64">
        <f t="shared" si="0"/>
        <v>0.06699999999999999</v>
      </c>
      <c r="AG16" s="64">
        <f t="shared" si="1"/>
        <v>0.07219999999999997</v>
      </c>
      <c r="AH16" s="64">
        <f t="shared" si="2"/>
        <v>0.08039999999999994</v>
      </c>
      <c r="AI16" s="64">
        <f t="shared" si="3"/>
        <v>0.09160000000000004</v>
      </c>
      <c r="AJ16" s="31">
        <v>0</v>
      </c>
      <c r="AL16" s="33">
        <v>0.58</v>
      </c>
      <c r="AM16" s="64">
        <v>0</v>
      </c>
      <c r="AN16" s="64">
        <f t="shared" si="4"/>
        <v>0.03640000000000001</v>
      </c>
      <c r="AO16" s="64">
        <f t="shared" si="5"/>
        <v>0.04019999999999997</v>
      </c>
      <c r="AP16" s="64">
        <f t="shared" si="6"/>
        <v>0.04580000000000002</v>
      </c>
      <c r="AQ16" s="31">
        <f t="shared" si="7"/>
        <v>0.05340000000000001</v>
      </c>
      <c r="AY16" s="33">
        <v>0.58</v>
      </c>
      <c r="AZ16" s="64">
        <f t="shared" si="8"/>
        <v>0.045999999999999985</v>
      </c>
      <c r="BA16" s="64">
        <f t="shared" si="9"/>
        <v>0.05120000000000002</v>
      </c>
      <c r="BB16" s="64">
        <f t="shared" si="10"/>
        <v>0.05839999999999998</v>
      </c>
      <c r="BC16" s="64">
        <f t="shared" si="11"/>
        <v>0.06760000000000004</v>
      </c>
      <c r="BD16" s="31">
        <v>0</v>
      </c>
    </row>
    <row r="17" spans="1:56" s="1" customFormat="1" ht="20.25" customHeight="1">
      <c r="A17" s="45"/>
      <c r="B17" s="4" t="s">
        <v>133</v>
      </c>
      <c r="C17" s="4"/>
      <c r="D17" s="4" t="s">
        <v>1</v>
      </c>
      <c r="E17" s="214">
        <v>10</v>
      </c>
      <c r="F17" s="4"/>
      <c r="G17" s="7" t="s">
        <v>162</v>
      </c>
      <c r="H17" s="25"/>
      <c r="I17" s="217" t="s">
        <v>151</v>
      </c>
      <c r="J17" s="22">
        <f>+IF($E$12=1,$AM$62,IF($E$12=2,$AN$62,IF($E$12=3,$AO$62,IF($E$12=4,$AP$62,IF($E$12=5,$AQ$62,0)))))</f>
        <v>0.032</v>
      </c>
      <c r="K17" s="22">
        <f>+IF($E$12=1,$AZ$62,IF($E$12=2,$BA$62,IF($E$12=3,$BB$62,IF($E$12=4,$BC$62,IF($E$12=5,$BD$62,0)))))</f>
        <v>0.048</v>
      </c>
      <c r="L17" s="22">
        <f>+IF($E$12=1,$AF$62,IF($E$12=2,$AG$62,IF($E$12=3,$AH$62,IF($E$12=4,$AI$62,IF($E$12=5,$AJ$62,0)))))</f>
        <v>0.064</v>
      </c>
      <c r="M17" s="22">
        <f>+IF($E$12=1,$AB$10,IF($E$12=2,$AB$14,IF($E$12=3,$AB$18,IF($E$12=4,$AB$22,IF($E$12=5,$AB$26,0)))))</f>
        <v>0.025</v>
      </c>
      <c r="N17" s="22">
        <f>+IF($E$12=1,$AB$11,IF($E$12=2,$AB$15,IF($E$12=3,$AB$19,IF($E$12=4,$AB$23,IF($E$12=5,$AB$27,0)))))</f>
        <v>0.037</v>
      </c>
      <c r="O17" s="22">
        <f>+IF($E$12=1,$AB$9,IF($E$12=2,$AB$13,IF($E$12=3,$AB$17,IF($E$12=4,$AB$21,IF($E$12=5,$AB$25,0)))))</f>
        <v>0.049</v>
      </c>
      <c r="P17" s="44"/>
      <c r="U17" s="27" t="s">
        <v>46</v>
      </c>
      <c r="V17" s="17">
        <v>0.049</v>
      </c>
      <c r="W17" s="17">
        <v>0.057</v>
      </c>
      <c r="X17" s="17">
        <v>0.064</v>
      </c>
      <c r="Y17" s="17">
        <v>0.071</v>
      </c>
      <c r="Z17" s="17">
        <v>0.078</v>
      </c>
      <c r="AA17" s="28">
        <v>0.09</v>
      </c>
      <c r="AB17" s="70">
        <v>0.049</v>
      </c>
      <c r="AE17" s="33">
        <v>0.59</v>
      </c>
      <c r="AF17" s="64">
        <f t="shared" si="0"/>
        <v>0.06499999999999999</v>
      </c>
      <c r="AG17" s="64">
        <f t="shared" si="1"/>
        <v>0.07059999999999997</v>
      </c>
      <c r="AH17" s="64">
        <f t="shared" si="2"/>
        <v>0.07919999999999994</v>
      </c>
      <c r="AI17" s="64">
        <f t="shared" si="3"/>
        <v>0.09080000000000005</v>
      </c>
      <c r="AJ17" s="31">
        <v>0</v>
      </c>
      <c r="AL17" s="33">
        <v>0.59</v>
      </c>
      <c r="AM17" s="64">
        <v>0</v>
      </c>
      <c r="AN17" s="64">
        <f t="shared" si="4"/>
        <v>0.03570000000000001</v>
      </c>
      <c r="AO17" s="64">
        <f t="shared" si="5"/>
        <v>0.03959999999999997</v>
      </c>
      <c r="AP17" s="64">
        <f t="shared" si="6"/>
        <v>0.045400000000000024</v>
      </c>
      <c r="AQ17" s="31">
        <f t="shared" si="7"/>
        <v>0.05320000000000001</v>
      </c>
      <c r="AY17" s="33">
        <v>0.59</v>
      </c>
      <c r="AZ17" s="64">
        <f t="shared" si="8"/>
        <v>0.043999999999999984</v>
      </c>
      <c r="BA17" s="64">
        <f t="shared" si="9"/>
        <v>0.049600000000000026</v>
      </c>
      <c r="BB17" s="64">
        <f t="shared" si="10"/>
        <v>0.05719999999999998</v>
      </c>
      <c r="BC17" s="64">
        <f t="shared" si="11"/>
        <v>0.06680000000000004</v>
      </c>
      <c r="BD17" s="31">
        <v>0</v>
      </c>
    </row>
    <row r="18" spans="1:56" s="1" customFormat="1" ht="21">
      <c r="A18" s="45"/>
      <c r="H18" s="25"/>
      <c r="I18" s="94" t="s">
        <v>152</v>
      </c>
      <c r="J18" s="23">
        <f>$J$17*$E$25*$E$13^2</f>
        <v>250.88</v>
      </c>
      <c r="K18" s="23">
        <f>$K$17*$E$25*$E$13^2</f>
        <v>376.32</v>
      </c>
      <c r="L18" s="23">
        <f>$L$17*$E$25*$E$13^2</f>
        <v>501.76</v>
      </c>
      <c r="M18" s="23">
        <f>$M$17*$E$25*$E$13^2</f>
        <v>196</v>
      </c>
      <c r="N18" s="23">
        <f>$N$17*$E$25*$E$13^2</f>
        <v>290.08</v>
      </c>
      <c r="O18" s="23">
        <f>$O$17*$E$25*$E$13^2</f>
        <v>384.16</v>
      </c>
      <c r="P18" s="44"/>
      <c r="U18" s="26" t="s">
        <v>47</v>
      </c>
      <c r="V18" s="17">
        <v>0.025</v>
      </c>
      <c r="W18" s="17">
        <v>0.028</v>
      </c>
      <c r="X18" s="17">
        <v>0.032</v>
      </c>
      <c r="Y18" s="17">
        <v>0.036</v>
      </c>
      <c r="Z18" s="17">
        <v>0.039</v>
      </c>
      <c r="AA18" s="17">
        <v>0.045</v>
      </c>
      <c r="AB18" s="70">
        <v>0.025</v>
      </c>
      <c r="AE18" s="103">
        <v>0.6</v>
      </c>
      <c r="AF18" s="104">
        <v>0.063</v>
      </c>
      <c r="AG18" s="104">
        <v>0.069</v>
      </c>
      <c r="AH18" s="100">
        <v>0.078</v>
      </c>
      <c r="AI18" s="100">
        <v>0.09</v>
      </c>
      <c r="AJ18" s="101">
        <v>0</v>
      </c>
      <c r="AL18" s="103">
        <v>0.6</v>
      </c>
      <c r="AM18" s="104">
        <v>0</v>
      </c>
      <c r="AN18" s="104">
        <v>0.035</v>
      </c>
      <c r="AO18" s="100">
        <v>0.039</v>
      </c>
      <c r="AP18" s="100">
        <v>0.045</v>
      </c>
      <c r="AQ18" s="101">
        <v>0.053</v>
      </c>
      <c r="AY18" s="103">
        <v>0.6</v>
      </c>
      <c r="AZ18" s="104">
        <v>0.047</v>
      </c>
      <c r="BA18" s="104">
        <v>0.052</v>
      </c>
      <c r="BB18" s="100">
        <v>0.059</v>
      </c>
      <c r="BC18" s="100">
        <v>0.068</v>
      </c>
      <c r="BD18" s="101">
        <v>0.08</v>
      </c>
    </row>
    <row r="19" spans="1:56" s="1" customFormat="1" ht="20.25" customHeight="1">
      <c r="A19" s="124" t="s">
        <v>141</v>
      </c>
      <c r="B19" s="7"/>
      <c r="C19" s="7"/>
      <c r="D19" s="14"/>
      <c r="E19" s="7"/>
      <c r="F19" s="7"/>
      <c r="G19" s="7"/>
      <c r="H19" s="25"/>
      <c r="I19" s="80" t="s">
        <v>114</v>
      </c>
      <c r="J19" s="110">
        <f>$J$18*100/($E$30*$M$7*$M$12)</f>
        <v>2.70556862745098</v>
      </c>
      <c r="K19" s="110">
        <f>$K$18*100/($E$30*$M$7*$M$12)</f>
        <v>4.05835294117647</v>
      </c>
      <c r="L19" s="110">
        <f>$L$18*100/($E$30*$M$7*$M$12)</f>
        <v>5.41113725490196</v>
      </c>
      <c r="M19" s="110">
        <f>$M$18*100/($E$30*$M$7*$M$13)</f>
        <v>2.4660130718954245</v>
      </c>
      <c r="N19" s="110">
        <f>$N$18*100/($E$30*$M$7*$M$13)</f>
        <v>3.6496993464052285</v>
      </c>
      <c r="O19" s="110">
        <f>$O$18*100/($E$30*$M$7*$M$13)</f>
        <v>4.833385620915032</v>
      </c>
      <c r="P19" s="44"/>
      <c r="U19" s="29" t="s">
        <v>42</v>
      </c>
      <c r="V19" s="18">
        <v>0.037</v>
      </c>
      <c r="W19" s="18">
        <v>0.043</v>
      </c>
      <c r="X19" s="18">
        <v>0.048</v>
      </c>
      <c r="Y19" s="18">
        <v>0.054</v>
      </c>
      <c r="Z19" s="18">
        <v>0.059</v>
      </c>
      <c r="AA19" s="18">
        <v>0.068</v>
      </c>
      <c r="AB19" s="71">
        <v>0.037</v>
      </c>
      <c r="AE19" s="33">
        <v>0.61</v>
      </c>
      <c r="AF19" s="64">
        <f aca="true" t="shared" si="12" ref="AF19:AF27">AF18-(0.01*($AF$18-$AF$28)/0.1)</f>
        <v>0.0622</v>
      </c>
      <c r="AG19" s="64">
        <f aca="true" t="shared" si="13" ref="AG19:AG27">AG18-(0.01*($AG$18-$AG$28)/0.1)</f>
        <v>0.0683</v>
      </c>
      <c r="AH19" s="64">
        <f aca="true" t="shared" si="14" ref="AH19:AH27">AH18-(0.01*($AH$18-$AH$28)/0.1)</f>
        <v>0.0773</v>
      </c>
      <c r="AI19" s="64">
        <f aca="true" t="shared" si="15" ref="AI19:AI27">AI18-(0.01*($AI$18-$AI$28)/0.1)</f>
        <v>0.0892</v>
      </c>
      <c r="AJ19" s="31">
        <v>0</v>
      </c>
      <c r="AL19" s="33">
        <v>0.61</v>
      </c>
      <c r="AM19" s="64">
        <v>0</v>
      </c>
      <c r="AN19" s="64">
        <f aca="true" t="shared" si="16" ref="AN19:AN27">AN18-(0.01*($AN$18-$AN$28)/0.1)</f>
        <v>0.034600000000000006</v>
      </c>
      <c r="AO19" s="64">
        <f aca="true" t="shared" si="17" ref="AO19:AO27">AO18-(0.01*($AO$18-$AO$28)/0.1)</f>
        <v>0.0387</v>
      </c>
      <c r="AP19" s="64">
        <f aca="true" t="shared" si="18" ref="AP19:AP27">AP18-(0.01*($AP$18-$AP$28)/0.1)</f>
        <v>0.0446</v>
      </c>
      <c r="AQ19" s="31">
        <f aca="true" t="shared" si="19" ref="AQ19:AQ27">AQ18-(0.01*($AQ$18-$AQ$28)/0.1)</f>
        <v>0.0524</v>
      </c>
      <c r="AY19" s="33">
        <v>0.61</v>
      </c>
      <c r="AZ19" s="64">
        <f aca="true" t="shared" si="20" ref="AZ19:AZ27">AZ18-(0.01*($AF$18-$AF$28)/0.1)</f>
        <v>0.0462</v>
      </c>
      <c r="BA19" s="64">
        <f aca="true" t="shared" si="21" ref="BA19:BA27">BA18-(0.01*($AG$18-$AG$28)/0.1)</f>
        <v>0.0513</v>
      </c>
      <c r="BB19" s="64">
        <f aca="true" t="shared" si="22" ref="BB19:BB27">BB18-(0.01*($AH$18-$AH$28)/0.1)</f>
        <v>0.0583</v>
      </c>
      <c r="BC19" s="64">
        <f aca="true" t="shared" si="23" ref="BC19:BC27">BC18-(0.01*($AI$18-$AI$28)/0.1)</f>
        <v>0.06720000000000001</v>
      </c>
      <c r="BD19" s="31">
        <v>0</v>
      </c>
    </row>
    <row r="20" spans="1:56" s="1" customFormat="1" ht="21.75" customHeight="1">
      <c r="A20" s="51"/>
      <c r="B20" s="14" t="s">
        <v>134</v>
      </c>
      <c r="C20" s="7"/>
      <c r="D20" s="14" t="s">
        <v>1</v>
      </c>
      <c r="E20" s="149">
        <f>2400*$E$17/100</f>
        <v>240</v>
      </c>
      <c r="F20" s="7"/>
      <c r="G20" s="7" t="s">
        <v>163</v>
      </c>
      <c r="H20" s="25"/>
      <c r="I20" s="61" t="s">
        <v>113</v>
      </c>
      <c r="J20" s="24">
        <f>IF($E$4="SR-24",0.0025*100*$M$12,0.002*100*$M$12)</f>
        <v>1.4000000000000001</v>
      </c>
      <c r="K20" s="24">
        <f>IF($F$4="SR-24",0.0025*100*$N$12,0.002*100*$M$12)</f>
        <v>1.4000000000000001</v>
      </c>
      <c r="L20" s="24">
        <f>IF($G$4="SR-24",0.0025*100*$O$12,0.002*100*$M$12)</f>
        <v>1.4000000000000001</v>
      </c>
      <c r="M20" s="24">
        <f>IF($H$4="SR-24",0.0025*100*P12,0.002*100*$M$13)</f>
        <v>1.2000000000000002</v>
      </c>
      <c r="N20" s="24">
        <f>IF($I$4="SR-24",0.0025*100*$Q$12,0.002*100*$M$13)</f>
        <v>1.2000000000000002</v>
      </c>
      <c r="O20" s="24">
        <f>IF($J$4="SR-24",0.0025*100*$R$12,0.002*100*$M$13)</f>
        <v>1.2000000000000002</v>
      </c>
      <c r="P20" s="44"/>
      <c r="U20" s="73" t="s">
        <v>45</v>
      </c>
      <c r="V20" s="17"/>
      <c r="W20" s="17"/>
      <c r="X20" s="17"/>
      <c r="Y20" s="17"/>
      <c r="Z20" s="17"/>
      <c r="AA20" s="17"/>
      <c r="AB20" s="70"/>
      <c r="AE20" s="33">
        <v>0.62</v>
      </c>
      <c r="AF20" s="64">
        <f t="shared" si="12"/>
        <v>0.061399999999999996</v>
      </c>
      <c r="AG20" s="64">
        <f t="shared" si="13"/>
        <v>0.0676</v>
      </c>
      <c r="AH20" s="64">
        <f t="shared" si="14"/>
        <v>0.07659999999999999</v>
      </c>
      <c r="AI20" s="64">
        <f t="shared" si="15"/>
        <v>0.0884</v>
      </c>
      <c r="AJ20" s="31">
        <v>0</v>
      </c>
      <c r="AL20" s="33">
        <v>0.62</v>
      </c>
      <c r="AM20" s="64">
        <v>0</v>
      </c>
      <c r="AN20" s="64">
        <f t="shared" si="16"/>
        <v>0.03420000000000001</v>
      </c>
      <c r="AO20" s="64">
        <f t="shared" si="17"/>
        <v>0.0384</v>
      </c>
      <c r="AP20" s="64">
        <f t="shared" si="18"/>
        <v>0.0442</v>
      </c>
      <c r="AQ20" s="31">
        <f t="shared" si="19"/>
        <v>0.0518</v>
      </c>
      <c r="AY20" s="33">
        <v>0.62</v>
      </c>
      <c r="AZ20" s="64">
        <f t="shared" si="20"/>
        <v>0.045399999999999996</v>
      </c>
      <c r="BA20" s="64">
        <f t="shared" si="21"/>
        <v>0.0506</v>
      </c>
      <c r="BB20" s="64">
        <f t="shared" si="22"/>
        <v>0.0576</v>
      </c>
      <c r="BC20" s="64">
        <f t="shared" si="23"/>
        <v>0.06640000000000001</v>
      </c>
      <c r="BD20" s="31">
        <v>0</v>
      </c>
    </row>
    <row r="21" spans="1:56" s="1" customFormat="1" ht="18.75" customHeight="1">
      <c r="A21" s="51"/>
      <c r="B21" s="14" t="s">
        <v>135</v>
      </c>
      <c r="C21" s="7"/>
      <c r="D21" s="14" t="s">
        <v>1</v>
      </c>
      <c r="E21" s="214">
        <v>50</v>
      </c>
      <c r="F21" s="7"/>
      <c r="G21" s="7" t="s">
        <v>163</v>
      </c>
      <c r="H21" s="25"/>
      <c r="P21" s="44"/>
      <c r="U21" s="27" t="s">
        <v>46</v>
      </c>
      <c r="V21" s="17">
        <v>0.058</v>
      </c>
      <c r="W21" s="17">
        <v>0.066</v>
      </c>
      <c r="X21" s="17">
        <v>0.074</v>
      </c>
      <c r="Y21" s="17">
        <v>0.082</v>
      </c>
      <c r="Z21" s="28">
        <v>0.09</v>
      </c>
      <c r="AA21" s="17">
        <v>0.098</v>
      </c>
      <c r="AB21" s="70">
        <v>0.058</v>
      </c>
      <c r="AE21" s="33">
        <v>0.63</v>
      </c>
      <c r="AF21" s="64">
        <f t="shared" si="12"/>
        <v>0.060599999999999994</v>
      </c>
      <c r="AG21" s="64">
        <f t="shared" si="13"/>
        <v>0.06689999999999999</v>
      </c>
      <c r="AH21" s="64">
        <f t="shared" si="14"/>
        <v>0.07589999999999998</v>
      </c>
      <c r="AI21" s="64">
        <f t="shared" si="15"/>
        <v>0.08760000000000001</v>
      </c>
      <c r="AJ21" s="31">
        <v>0</v>
      </c>
      <c r="AL21" s="33">
        <v>0.63</v>
      </c>
      <c r="AM21" s="64">
        <v>0</v>
      </c>
      <c r="AN21" s="64">
        <f t="shared" si="16"/>
        <v>0.03380000000000001</v>
      </c>
      <c r="AO21" s="64">
        <f t="shared" si="17"/>
        <v>0.038099999999999995</v>
      </c>
      <c r="AP21" s="64">
        <f t="shared" si="18"/>
        <v>0.043800000000000006</v>
      </c>
      <c r="AQ21" s="31">
        <f t="shared" si="19"/>
        <v>0.051199999999999996</v>
      </c>
      <c r="AY21" s="33">
        <v>0.63</v>
      </c>
      <c r="AZ21" s="64">
        <f t="shared" si="20"/>
        <v>0.044599999999999994</v>
      </c>
      <c r="BA21" s="64">
        <f t="shared" si="21"/>
        <v>0.0499</v>
      </c>
      <c r="BB21" s="64">
        <f t="shared" si="22"/>
        <v>0.0569</v>
      </c>
      <c r="BC21" s="64">
        <f t="shared" si="23"/>
        <v>0.06560000000000002</v>
      </c>
      <c r="BD21" s="31">
        <v>0</v>
      </c>
    </row>
    <row r="22" spans="1:56" s="1" customFormat="1" ht="22.5" customHeight="1">
      <c r="A22" s="51"/>
      <c r="B22" s="14" t="s">
        <v>5</v>
      </c>
      <c r="C22" s="7"/>
      <c r="D22" s="14" t="s">
        <v>1</v>
      </c>
      <c r="E22" s="214">
        <v>0</v>
      </c>
      <c r="F22" s="7"/>
      <c r="G22" s="7" t="s">
        <v>163</v>
      </c>
      <c r="H22" s="25"/>
      <c r="I22" s="128" t="s">
        <v>124</v>
      </c>
      <c r="J22" s="131">
        <f>+$J$19*$C$48</f>
        <v>6.76392156862745</v>
      </c>
      <c r="K22" s="136">
        <f>+$K$19*$C$48</f>
        <v>10.145882352941175</v>
      </c>
      <c r="L22" s="138">
        <f>+$L$19*$C$48</f>
        <v>13.5278431372549</v>
      </c>
      <c r="M22" s="131">
        <f>+$M$19*$F$52</f>
        <v>4.932026143790849</v>
      </c>
      <c r="N22" s="136">
        <f>+$N$19*$F$52</f>
        <v>7.299398692810457</v>
      </c>
      <c r="O22" s="138">
        <f>+$O$19*$F$52</f>
        <v>9.666771241830064</v>
      </c>
      <c r="P22" s="44"/>
      <c r="U22" s="26" t="s">
        <v>47</v>
      </c>
      <c r="V22" s="17">
        <v>0.029</v>
      </c>
      <c r="W22" s="17">
        <v>0.033</v>
      </c>
      <c r="X22" s="17">
        <v>0.037</v>
      </c>
      <c r="Y22" s="17">
        <v>0.041</v>
      </c>
      <c r="Z22" s="17">
        <v>0.045</v>
      </c>
      <c r="AA22" s="17">
        <v>0.049</v>
      </c>
      <c r="AB22" s="70">
        <v>0.029</v>
      </c>
      <c r="AE22" s="33">
        <v>0.64</v>
      </c>
      <c r="AF22" s="64">
        <f t="shared" si="12"/>
        <v>0.05979999999999999</v>
      </c>
      <c r="AG22" s="64">
        <f t="shared" si="13"/>
        <v>0.06619999999999998</v>
      </c>
      <c r="AH22" s="64">
        <f t="shared" si="14"/>
        <v>0.07519999999999998</v>
      </c>
      <c r="AI22" s="64">
        <f t="shared" si="15"/>
        <v>0.08680000000000002</v>
      </c>
      <c r="AJ22" s="31">
        <v>0</v>
      </c>
      <c r="AL22" s="33">
        <v>0.64</v>
      </c>
      <c r="AM22" s="64">
        <v>0</v>
      </c>
      <c r="AN22" s="64">
        <f t="shared" si="16"/>
        <v>0.03340000000000001</v>
      </c>
      <c r="AO22" s="64">
        <f t="shared" si="17"/>
        <v>0.03779999999999999</v>
      </c>
      <c r="AP22" s="64">
        <f t="shared" si="18"/>
        <v>0.04340000000000001</v>
      </c>
      <c r="AQ22" s="31">
        <f t="shared" si="19"/>
        <v>0.05059999999999999</v>
      </c>
      <c r="AY22" s="33">
        <v>0.64</v>
      </c>
      <c r="AZ22" s="64">
        <f t="shared" si="20"/>
        <v>0.04379999999999999</v>
      </c>
      <c r="BA22" s="64">
        <f t="shared" si="21"/>
        <v>0.0492</v>
      </c>
      <c r="BB22" s="64">
        <f t="shared" si="22"/>
        <v>0.0562</v>
      </c>
      <c r="BC22" s="64">
        <f t="shared" si="23"/>
        <v>0.06480000000000002</v>
      </c>
      <c r="BD22" s="31">
        <v>0</v>
      </c>
    </row>
    <row r="23" spans="1:56" s="1" customFormat="1" ht="20.25" customHeight="1">
      <c r="A23" s="51"/>
      <c r="B23" s="14" t="s">
        <v>136</v>
      </c>
      <c r="C23" s="7"/>
      <c r="D23" s="14" t="s">
        <v>1</v>
      </c>
      <c r="E23" s="214">
        <v>200</v>
      </c>
      <c r="F23" s="7"/>
      <c r="G23" s="7" t="s">
        <v>163</v>
      </c>
      <c r="H23" s="25"/>
      <c r="I23" s="94" t="s">
        <v>115</v>
      </c>
      <c r="J23" s="257" t="s">
        <v>155</v>
      </c>
      <c r="K23" s="258"/>
      <c r="L23" s="259"/>
      <c r="M23" s="257" t="s">
        <v>156</v>
      </c>
      <c r="N23" s="258"/>
      <c r="O23" s="259"/>
      <c r="P23" s="44"/>
      <c r="U23" s="29" t="s">
        <v>42</v>
      </c>
      <c r="V23" s="18">
        <v>0.044</v>
      </c>
      <c r="W23" s="30">
        <v>0.05</v>
      </c>
      <c r="X23" s="18">
        <v>0.056</v>
      </c>
      <c r="Y23" s="18">
        <v>0.062</v>
      </c>
      <c r="Z23" s="18">
        <v>0.068</v>
      </c>
      <c r="AA23" s="18">
        <v>0.074</v>
      </c>
      <c r="AB23" s="71">
        <v>0.044</v>
      </c>
      <c r="AE23" s="102">
        <v>0.65</v>
      </c>
      <c r="AF23" s="100">
        <f t="shared" si="12"/>
        <v>0.05899999999999999</v>
      </c>
      <c r="AG23" s="100">
        <f t="shared" si="13"/>
        <v>0.06549999999999997</v>
      </c>
      <c r="AH23" s="100">
        <f t="shared" si="14"/>
        <v>0.07449999999999997</v>
      </c>
      <c r="AI23" s="100">
        <f t="shared" si="15"/>
        <v>0.08600000000000002</v>
      </c>
      <c r="AJ23" s="101">
        <v>0</v>
      </c>
      <c r="AL23" s="102">
        <v>0.65</v>
      </c>
      <c r="AM23" s="100">
        <v>0</v>
      </c>
      <c r="AN23" s="100">
        <f t="shared" si="16"/>
        <v>0.033000000000000015</v>
      </c>
      <c r="AO23" s="100">
        <f t="shared" si="17"/>
        <v>0.03749999999999999</v>
      </c>
      <c r="AP23" s="100">
        <f t="shared" si="18"/>
        <v>0.04300000000000001</v>
      </c>
      <c r="AQ23" s="101">
        <f t="shared" si="19"/>
        <v>0.04999999999999999</v>
      </c>
      <c r="AY23" s="102">
        <v>0.65</v>
      </c>
      <c r="AZ23" s="100">
        <f t="shared" si="20"/>
        <v>0.04299999999999999</v>
      </c>
      <c r="BA23" s="100">
        <f t="shared" si="21"/>
        <v>0.0485</v>
      </c>
      <c r="BB23" s="100">
        <f t="shared" si="22"/>
        <v>0.0555</v>
      </c>
      <c r="BC23" s="100">
        <f t="shared" si="23"/>
        <v>0.06400000000000003</v>
      </c>
      <c r="BD23" s="101">
        <v>0</v>
      </c>
    </row>
    <row r="24" spans="1:56" s="1" customFormat="1" ht="20.25" customHeight="1">
      <c r="A24" s="45"/>
      <c r="B24" s="16" t="s">
        <v>137</v>
      </c>
      <c r="C24" s="7"/>
      <c r="D24" s="14" t="s">
        <v>1</v>
      </c>
      <c r="E24" s="150">
        <f>$E$20+$E$21</f>
        <v>290</v>
      </c>
      <c r="F24" s="7"/>
      <c r="G24" s="7" t="s">
        <v>163</v>
      </c>
      <c r="H24" s="25"/>
      <c r="I24" s="94" t="s">
        <v>157</v>
      </c>
      <c r="J24" s="184">
        <f>+ROUNDUP($J$22/(PI()*POWER($Y$47/10,2)/4),0)</f>
        <v>9</v>
      </c>
      <c r="K24" s="185">
        <f>+ROUNDUP($K$22/(PI()*POWER($Y$47/10,2)/4),0)</f>
        <v>13</v>
      </c>
      <c r="L24" s="185">
        <f>+ROUNDUP($L$22/(PI()*POWER($Y$47/10,2)/4),0)</f>
        <v>18</v>
      </c>
      <c r="M24" s="185">
        <f>+ROUNDUP($M$22/(PI()*POWER($Y$47/10,2)/4),0)</f>
        <v>7</v>
      </c>
      <c r="N24" s="185">
        <f>+ROUNDUP($N$22/(PI()*POWER($Y$47/10,2)/4),0)</f>
        <v>10</v>
      </c>
      <c r="O24" s="185">
        <f>+ROUNDUP($O$22/(PI()*POWER($Y$47/10,2)/4),0)</f>
        <v>13</v>
      </c>
      <c r="P24" s="44"/>
      <c r="U24" s="73" t="s">
        <v>61</v>
      </c>
      <c r="V24" s="17"/>
      <c r="W24" s="17"/>
      <c r="X24" s="17"/>
      <c r="Y24" s="17"/>
      <c r="Z24" s="17"/>
      <c r="AA24" s="17"/>
      <c r="AB24" s="70"/>
      <c r="AE24" s="33">
        <v>0.66</v>
      </c>
      <c r="AF24" s="64">
        <f t="shared" si="12"/>
        <v>0.05819999999999999</v>
      </c>
      <c r="AG24" s="64">
        <f t="shared" si="13"/>
        <v>0.06479999999999997</v>
      </c>
      <c r="AH24" s="64">
        <f t="shared" si="14"/>
        <v>0.07379999999999996</v>
      </c>
      <c r="AI24" s="64">
        <f t="shared" si="15"/>
        <v>0.08520000000000003</v>
      </c>
      <c r="AJ24" s="31">
        <v>0</v>
      </c>
      <c r="AL24" s="33">
        <v>0.66</v>
      </c>
      <c r="AM24" s="64">
        <v>0</v>
      </c>
      <c r="AN24" s="64">
        <f t="shared" si="16"/>
        <v>0.03260000000000002</v>
      </c>
      <c r="AO24" s="64">
        <f t="shared" si="17"/>
        <v>0.03719999999999999</v>
      </c>
      <c r="AP24" s="64">
        <f t="shared" si="18"/>
        <v>0.04260000000000001</v>
      </c>
      <c r="AQ24" s="31">
        <f t="shared" si="19"/>
        <v>0.049399999999999986</v>
      </c>
      <c r="AY24" s="33">
        <v>0.66</v>
      </c>
      <c r="AZ24" s="64">
        <f t="shared" si="20"/>
        <v>0.04219999999999999</v>
      </c>
      <c r="BA24" s="64">
        <f t="shared" si="21"/>
        <v>0.0478</v>
      </c>
      <c r="BB24" s="64">
        <f t="shared" si="22"/>
        <v>0.0548</v>
      </c>
      <c r="BC24" s="64">
        <f t="shared" si="23"/>
        <v>0.06320000000000003</v>
      </c>
      <c r="BD24" s="31">
        <v>0</v>
      </c>
    </row>
    <row r="25" spans="1:56" s="1" customFormat="1" ht="18" customHeight="1">
      <c r="A25" s="45"/>
      <c r="C25" s="16" t="s">
        <v>122</v>
      </c>
      <c r="D25" s="14" t="s">
        <v>1</v>
      </c>
      <c r="E25" s="150">
        <f>SUM($E$20:$E$23)</f>
        <v>490</v>
      </c>
      <c r="F25" s="7"/>
      <c r="G25" s="7" t="s">
        <v>163</v>
      </c>
      <c r="H25" s="25"/>
      <c r="P25" s="44"/>
      <c r="U25" s="27" t="s">
        <v>46</v>
      </c>
      <c r="V25" s="17" t="s">
        <v>48</v>
      </c>
      <c r="W25" s="17" t="s">
        <v>48</v>
      </c>
      <c r="X25" s="17" t="s">
        <v>48</v>
      </c>
      <c r="Y25" s="17" t="s">
        <v>48</v>
      </c>
      <c r="Z25" s="17" t="s">
        <v>48</v>
      </c>
      <c r="AA25" s="17" t="s">
        <v>48</v>
      </c>
      <c r="AB25" s="70">
        <v>0</v>
      </c>
      <c r="AE25" s="33">
        <v>0.67</v>
      </c>
      <c r="AF25" s="64">
        <f t="shared" si="12"/>
        <v>0.057399999999999986</v>
      </c>
      <c r="AG25" s="64">
        <f t="shared" si="13"/>
        <v>0.06409999999999996</v>
      </c>
      <c r="AH25" s="64">
        <f t="shared" si="14"/>
        <v>0.07309999999999996</v>
      </c>
      <c r="AI25" s="64">
        <f t="shared" si="15"/>
        <v>0.08440000000000003</v>
      </c>
      <c r="AJ25" s="31">
        <v>0</v>
      </c>
      <c r="AL25" s="33">
        <v>0.67</v>
      </c>
      <c r="AM25" s="64">
        <v>0</v>
      </c>
      <c r="AN25" s="64">
        <f t="shared" si="16"/>
        <v>0.03220000000000002</v>
      </c>
      <c r="AO25" s="64">
        <f t="shared" si="17"/>
        <v>0.03689999999999999</v>
      </c>
      <c r="AP25" s="64">
        <f t="shared" si="18"/>
        <v>0.042200000000000015</v>
      </c>
      <c r="AQ25" s="31">
        <f t="shared" si="19"/>
        <v>0.04879999999999998</v>
      </c>
      <c r="AY25" s="33">
        <v>0.67</v>
      </c>
      <c r="AZ25" s="64">
        <f t="shared" si="20"/>
        <v>0.041399999999999985</v>
      </c>
      <c r="BA25" s="64">
        <f t="shared" si="21"/>
        <v>0.0471</v>
      </c>
      <c r="BB25" s="64">
        <f t="shared" si="22"/>
        <v>0.0541</v>
      </c>
      <c r="BC25" s="64">
        <f t="shared" si="23"/>
        <v>0.06240000000000003</v>
      </c>
      <c r="BD25" s="31">
        <v>0</v>
      </c>
    </row>
    <row r="26" spans="1:56" s="1" customFormat="1" ht="22.5" customHeight="1">
      <c r="A26" s="45"/>
      <c r="B26" s="25"/>
      <c r="C26" s="25"/>
      <c r="D26" s="25"/>
      <c r="E26" s="25"/>
      <c r="F26" s="25"/>
      <c r="G26" s="25"/>
      <c r="H26" s="25"/>
      <c r="I26" s="80" t="s">
        <v>84</v>
      </c>
      <c r="J26" s="133">
        <f>+$J$22/3</f>
        <v>2.2546405228758166</v>
      </c>
      <c r="K26" s="137">
        <f>+$K$22/3</f>
        <v>3.381960784313725</v>
      </c>
      <c r="L26" s="139">
        <f>+$L$22/3</f>
        <v>4.509281045751633</v>
      </c>
      <c r="M26" s="133">
        <f>+$M$22/3</f>
        <v>1.6440087145969497</v>
      </c>
      <c r="N26" s="137">
        <f>+$N$22/3</f>
        <v>2.433132897603486</v>
      </c>
      <c r="O26" s="139">
        <f>+$O$22/3</f>
        <v>3.2222570806100213</v>
      </c>
      <c r="P26" s="44"/>
      <c r="U26" s="26" t="s">
        <v>47</v>
      </c>
      <c r="V26" s="17">
        <v>0.033</v>
      </c>
      <c r="W26" s="17">
        <v>0.038</v>
      </c>
      <c r="X26" s="17">
        <v>0.043</v>
      </c>
      <c r="Y26" s="17">
        <v>0.047</v>
      </c>
      <c r="Z26" s="17">
        <v>0.053</v>
      </c>
      <c r="AA26" s="17">
        <v>0.055</v>
      </c>
      <c r="AB26" s="70">
        <v>0.033</v>
      </c>
      <c r="AE26" s="33">
        <v>0.68</v>
      </c>
      <c r="AF26" s="64">
        <f t="shared" si="12"/>
        <v>0.056599999999999984</v>
      </c>
      <c r="AG26" s="64">
        <f t="shared" si="13"/>
        <v>0.06339999999999996</v>
      </c>
      <c r="AH26" s="64">
        <f t="shared" si="14"/>
        <v>0.07239999999999995</v>
      </c>
      <c r="AI26" s="64">
        <f t="shared" si="15"/>
        <v>0.08360000000000004</v>
      </c>
      <c r="AJ26" s="31">
        <v>0</v>
      </c>
      <c r="AL26" s="33">
        <v>0.68</v>
      </c>
      <c r="AM26" s="64">
        <v>0</v>
      </c>
      <c r="AN26" s="64">
        <f t="shared" si="16"/>
        <v>0.03180000000000002</v>
      </c>
      <c r="AO26" s="64">
        <f t="shared" si="17"/>
        <v>0.03659999999999999</v>
      </c>
      <c r="AP26" s="64">
        <f t="shared" si="18"/>
        <v>0.04180000000000002</v>
      </c>
      <c r="AQ26" s="31">
        <f t="shared" si="19"/>
        <v>0.04819999999999998</v>
      </c>
      <c r="AY26" s="33">
        <v>0.68</v>
      </c>
      <c r="AZ26" s="64">
        <f t="shared" si="20"/>
        <v>0.04059999999999998</v>
      </c>
      <c r="BA26" s="64">
        <f t="shared" si="21"/>
        <v>0.046400000000000004</v>
      </c>
      <c r="BB26" s="64">
        <f t="shared" si="22"/>
        <v>0.0534</v>
      </c>
      <c r="BC26" s="64">
        <f t="shared" si="23"/>
        <v>0.06160000000000003</v>
      </c>
      <c r="BD26" s="31">
        <v>0</v>
      </c>
    </row>
    <row r="27" spans="1:56" s="1" customFormat="1" ht="21" customHeight="1">
      <c r="A27" s="124" t="s">
        <v>33</v>
      </c>
      <c r="B27" s="25"/>
      <c r="C27" s="25"/>
      <c r="D27" s="25"/>
      <c r="E27" s="52"/>
      <c r="F27" s="25"/>
      <c r="G27" s="43"/>
      <c r="H27" s="25"/>
      <c r="I27" s="94" t="s">
        <v>107</v>
      </c>
      <c r="J27" s="257" t="s">
        <v>155</v>
      </c>
      <c r="K27" s="258"/>
      <c r="L27" s="259"/>
      <c r="M27" s="257" t="s">
        <v>156</v>
      </c>
      <c r="N27" s="258"/>
      <c r="O27" s="259"/>
      <c r="P27" s="44"/>
      <c r="U27" s="29" t="s">
        <v>42</v>
      </c>
      <c r="V27" s="30">
        <v>0.05</v>
      </c>
      <c r="W27" s="18">
        <v>0.057</v>
      </c>
      <c r="X27" s="18">
        <v>0.064</v>
      </c>
      <c r="Y27" s="18">
        <v>0.072</v>
      </c>
      <c r="Z27" s="30">
        <v>0.08</v>
      </c>
      <c r="AA27" s="18">
        <v>0.083</v>
      </c>
      <c r="AB27" s="72">
        <v>0.05</v>
      </c>
      <c r="AE27" s="33">
        <v>0.69</v>
      </c>
      <c r="AF27" s="64">
        <f t="shared" si="12"/>
        <v>0.05579999999999998</v>
      </c>
      <c r="AG27" s="64">
        <f t="shared" si="13"/>
        <v>0.06269999999999995</v>
      </c>
      <c r="AH27" s="64">
        <f t="shared" si="14"/>
        <v>0.07169999999999994</v>
      </c>
      <c r="AI27" s="64">
        <f t="shared" si="15"/>
        <v>0.08280000000000004</v>
      </c>
      <c r="AJ27" s="31">
        <v>0</v>
      </c>
      <c r="AL27" s="33">
        <v>0.69</v>
      </c>
      <c r="AM27" s="64">
        <v>0</v>
      </c>
      <c r="AN27" s="64">
        <f t="shared" si="16"/>
        <v>0.031400000000000025</v>
      </c>
      <c r="AO27" s="64">
        <f t="shared" si="17"/>
        <v>0.036299999999999985</v>
      </c>
      <c r="AP27" s="64">
        <f t="shared" si="18"/>
        <v>0.04140000000000002</v>
      </c>
      <c r="AQ27" s="31">
        <f t="shared" si="19"/>
        <v>0.047599999999999976</v>
      </c>
      <c r="AY27" s="33">
        <v>0.69</v>
      </c>
      <c r="AZ27" s="64">
        <f t="shared" si="20"/>
        <v>0.03979999999999998</v>
      </c>
      <c r="BA27" s="64">
        <f t="shared" si="21"/>
        <v>0.045700000000000005</v>
      </c>
      <c r="BB27" s="64">
        <f t="shared" si="22"/>
        <v>0.052700000000000004</v>
      </c>
      <c r="BC27" s="64">
        <f t="shared" si="23"/>
        <v>0.06080000000000003</v>
      </c>
      <c r="BD27" s="31">
        <v>0</v>
      </c>
    </row>
    <row r="28" spans="1:56" s="1" customFormat="1" ht="20.25" customHeight="1">
      <c r="A28" s="45"/>
      <c r="B28" s="14" t="s">
        <v>138</v>
      </c>
      <c r="C28" s="7"/>
      <c r="D28" s="14" t="s">
        <v>1</v>
      </c>
      <c r="E28" s="215">
        <v>0.45</v>
      </c>
      <c r="F28" s="7"/>
      <c r="G28" s="7"/>
      <c r="H28" s="25"/>
      <c r="I28" s="94" t="s">
        <v>157</v>
      </c>
      <c r="J28" s="191">
        <f>+ROUNDUP($J$26/(PI()*POWER($X$48/10,2)/4),0)</f>
        <v>3</v>
      </c>
      <c r="K28" s="191">
        <f>+ROUNDUP($K$26/(PI()*POWER($X$48/10,2)/4),0)</f>
        <v>5</v>
      </c>
      <c r="L28" s="191">
        <f>+ROUNDUP($L$26/(PI()*POWER($X$48/10,2)/4),0)</f>
        <v>6</v>
      </c>
      <c r="M28" s="191">
        <f>+ROUNDUP($M$26/(PI()*POWER($X$48/10,2)/4),0)</f>
        <v>3</v>
      </c>
      <c r="N28" s="191">
        <f>+ROUNDUP($N$26/(PI()*POWER($X$48/10,2)/4),0)</f>
        <v>4</v>
      </c>
      <c r="O28" s="191">
        <f>+ROUNDUP($O$26/(PI()*POWER($X$48/10,2)/4),0)</f>
        <v>5</v>
      </c>
      <c r="P28" s="54"/>
      <c r="Q28" s="6"/>
      <c r="R28" s="6"/>
      <c r="S28" s="6"/>
      <c r="T28" s="6"/>
      <c r="AE28" s="106">
        <v>0.7</v>
      </c>
      <c r="AF28" s="104">
        <v>0.055</v>
      </c>
      <c r="AG28" s="104">
        <v>0.062</v>
      </c>
      <c r="AH28" s="100">
        <v>0.071</v>
      </c>
      <c r="AI28" s="100">
        <v>0.082</v>
      </c>
      <c r="AJ28" s="101">
        <v>0</v>
      </c>
      <c r="AL28" s="103">
        <v>0.7</v>
      </c>
      <c r="AM28" s="104">
        <v>0</v>
      </c>
      <c r="AN28" s="104">
        <v>0.031</v>
      </c>
      <c r="AO28" s="100">
        <v>0.036</v>
      </c>
      <c r="AP28" s="100">
        <v>0.041</v>
      </c>
      <c r="AQ28" s="101">
        <v>0.047</v>
      </c>
      <c r="AY28" s="103">
        <v>0.7</v>
      </c>
      <c r="AZ28" s="104">
        <v>0.041</v>
      </c>
      <c r="BA28" s="104">
        <v>0.047</v>
      </c>
      <c r="BB28" s="100">
        <v>0.054</v>
      </c>
      <c r="BC28" s="100">
        <v>0.062</v>
      </c>
      <c r="BD28" s="101">
        <v>0.072</v>
      </c>
    </row>
    <row r="29" spans="1:56" s="1" customFormat="1" ht="18" customHeight="1">
      <c r="A29" s="45"/>
      <c r="B29" s="14" t="s">
        <v>11</v>
      </c>
      <c r="C29" s="7"/>
      <c r="D29" s="14" t="s">
        <v>1</v>
      </c>
      <c r="E29" s="148">
        <f>IF($E$28=0.375,65,$E$28*$E$7)</f>
        <v>90</v>
      </c>
      <c r="F29" s="7"/>
      <c r="G29" s="7" t="s">
        <v>163</v>
      </c>
      <c r="H29" s="25"/>
      <c r="P29" s="44"/>
      <c r="AE29" s="33">
        <v>0.71</v>
      </c>
      <c r="AF29" s="64">
        <f aca="true" t="shared" si="24" ref="AF29:AF37">AF28-(0.01*($AF$28-$AF$38)/0.1)</f>
        <v>0.0543</v>
      </c>
      <c r="AG29" s="64">
        <f aca="true" t="shared" si="25" ref="AG29:AG37">AG28-(0.01*($AG$28-$AG$38)/0.1)</f>
        <v>0.0613</v>
      </c>
      <c r="AH29" s="64">
        <f aca="true" t="shared" si="26" ref="AH29:AH37">AH28-(0.01*($AH$28-$AH$38)/0.1)</f>
        <v>0.0703</v>
      </c>
      <c r="AI29" s="64">
        <f aca="true" t="shared" si="27" ref="AI29:AI37">AI28-(0.01*($AI$28-$AI$38)/0.1)</f>
        <v>0.08120000000000001</v>
      </c>
      <c r="AJ29" s="31">
        <v>0</v>
      </c>
      <c r="AL29" s="33">
        <v>0.71</v>
      </c>
      <c r="AM29" s="64">
        <v>0</v>
      </c>
      <c r="AN29" s="64">
        <f aca="true" t="shared" si="28" ref="AN29:AN37">AN28-(0.01*($AN$28-$AN$38)/0.1)</f>
        <v>0.0306</v>
      </c>
      <c r="AO29" s="64">
        <f aca="true" t="shared" si="29" ref="AO29:AO37">AO28-(0.01*($AO$28-$AO$38)/0.1)</f>
        <v>0.0356</v>
      </c>
      <c r="AP29" s="64">
        <f aca="true" t="shared" si="30" ref="AP29:AP37">AP28-(0.01*($AP$28-$AP$38)/0.1)</f>
        <v>0.040600000000000004</v>
      </c>
      <c r="AQ29" s="31">
        <f aca="true" t="shared" si="31" ref="AQ29:AQ37">AQ28-(0.01*($AQ$28-$AQ$38)/0.1)</f>
        <v>0.0466</v>
      </c>
      <c r="AY29" s="33">
        <v>0.71</v>
      </c>
      <c r="AZ29" s="64">
        <f aca="true" t="shared" si="32" ref="AZ29:AZ37">AZ28-(0.01*($AF$28-$AF$38)/0.1)</f>
        <v>0.0403</v>
      </c>
      <c r="BA29" s="64">
        <f aca="true" t="shared" si="33" ref="BA29:BA37">BA28-(0.01*($AG$28-$AG$38)/0.1)</f>
        <v>0.0463</v>
      </c>
      <c r="BB29" s="64">
        <f aca="true" t="shared" si="34" ref="BB29:BB37">BB28-(0.01*($AH$28-$AH$38)/0.1)</f>
        <v>0.0533</v>
      </c>
      <c r="BC29" s="64">
        <f aca="true" t="shared" si="35" ref="BC29:BC37">BC28-(0.01*($AI$28-$AI$38)/0.1)</f>
        <v>0.0612</v>
      </c>
      <c r="BD29" s="31">
        <v>0</v>
      </c>
    </row>
    <row r="30" spans="1:56" s="1" customFormat="1" ht="19.5" customHeight="1">
      <c r="A30" s="45"/>
      <c r="B30" s="14" t="s">
        <v>12</v>
      </c>
      <c r="C30" s="7"/>
      <c r="D30" s="14" t="s">
        <v>1</v>
      </c>
      <c r="E30" s="149">
        <f>+IF($E$6=2400,1200,IF($E$6=3000,1500,IF($E$6=4000,1500,1700)))</f>
        <v>1500</v>
      </c>
      <c r="F30" s="7"/>
      <c r="G30" s="7" t="s">
        <v>163</v>
      </c>
      <c r="H30" s="25"/>
      <c r="I30" s="25"/>
      <c r="J30" s="126"/>
      <c r="K30" s="126"/>
      <c r="L30" s="126"/>
      <c r="M30" s="126"/>
      <c r="N30" s="126"/>
      <c r="O30" s="126"/>
      <c r="P30" s="44"/>
      <c r="AE30" s="33">
        <v>0.72</v>
      </c>
      <c r="AF30" s="64">
        <f t="shared" si="24"/>
        <v>0.0536</v>
      </c>
      <c r="AG30" s="64">
        <f t="shared" si="25"/>
        <v>0.0606</v>
      </c>
      <c r="AH30" s="64">
        <f t="shared" si="26"/>
        <v>0.0696</v>
      </c>
      <c r="AI30" s="64">
        <f t="shared" si="27"/>
        <v>0.08040000000000001</v>
      </c>
      <c r="AJ30" s="31">
        <v>0</v>
      </c>
      <c r="AL30" s="33">
        <v>0.72</v>
      </c>
      <c r="AM30" s="64">
        <v>0</v>
      </c>
      <c r="AN30" s="64">
        <f t="shared" si="28"/>
        <v>0.030199999999999998</v>
      </c>
      <c r="AO30" s="64">
        <f t="shared" si="29"/>
        <v>0.0352</v>
      </c>
      <c r="AP30" s="64">
        <f t="shared" si="30"/>
        <v>0.04020000000000001</v>
      </c>
      <c r="AQ30" s="31">
        <f t="shared" si="31"/>
        <v>0.046200000000000005</v>
      </c>
      <c r="AY30" s="33">
        <v>0.72</v>
      </c>
      <c r="AZ30" s="64">
        <f t="shared" si="32"/>
        <v>0.0396</v>
      </c>
      <c r="BA30" s="64">
        <f t="shared" si="33"/>
        <v>0.0456</v>
      </c>
      <c r="BB30" s="64">
        <f t="shared" si="34"/>
        <v>0.0526</v>
      </c>
      <c r="BC30" s="64">
        <f t="shared" si="35"/>
        <v>0.060399999999999995</v>
      </c>
      <c r="BD30" s="31">
        <v>0</v>
      </c>
    </row>
    <row r="31" spans="1:56" s="1" customFormat="1" ht="21" customHeight="1">
      <c r="A31" s="45"/>
      <c r="B31" s="14" t="s">
        <v>15</v>
      </c>
      <c r="C31" s="7"/>
      <c r="D31" s="14" t="s">
        <v>1</v>
      </c>
      <c r="E31" s="149">
        <f>15120*SQRT($E$7)</f>
        <v>213829.090630812</v>
      </c>
      <c r="F31" s="7"/>
      <c r="G31" s="7" t="s">
        <v>163</v>
      </c>
      <c r="H31" s="25"/>
      <c r="I31" s="120" t="s">
        <v>153</v>
      </c>
      <c r="J31" s="25"/>
      <c r="K31" s="25"/>
      <c r="L31" s="25"/>
      <c r="M31" s="25"/>
      <c r="N31" s="25"/>
      <c r="O31" s="25"/>
      <c r="P31" s="44"/>
      <c r="AE31" s="33">
        <v>0.73</v>
      </c>
      <c r="AF31" s="64">
        <f t="shared" si="24"/>
        <v>0.0529</v>
      </c>
      <c r="AG31" s="64">
        <f t="shared" si="25"/>
        <v>0.0599</v>
      </c>
      <c r="AH31" s="64">
        <f t="shared" si="26"/>
        <v>0.06889999999999999</v>
      </c>
      <c r="AI31" s="64">
        <f t="shared" si="27"/>
        <v>0.07960000000000002</v>
      </c>
      <c r="AJ31" s="31">
        <v>0</v>
      </c>
      <c r="AL31" s="33">
        <v>0.73</v>
      </c>
      <c r="AM31" s="64">
        <v>0</v>
      </c>
      <c r="AN31" s="64">
        <f t="shared" si="28"/>
        <v>0.029799999999999997</v>
      </c>
      <c r="AO31" s="64">
        <f t="shared" si="29"/>
        <v>0.034800000000000005</v>
      </c>
      <c r="AP31" s="64">
        <f t="shared" si="30"/>
        <v>0.03980000000000001</v>
      </c>
      <c r="AQ31" s="31">
        <f t="shared" si="31"/>
        <v>0.04580000000000001</v>
      </c>
      <c r="AY31" s="33">
        <v>0.73</v>
      </c>
      <c r="AZ31" s="64">
        <f t="shared" si="32"/>
        <v>0.038900000000000004</v>
      </c>
      <c r="BA31" s="64">
        <f t="shared" si="33"/>
        <v>0.0449</v>
      </c>
      <c r="BB31" s="64">
        <f t="shared" si="34"/>
        <v>0.0519</v>
      </c>
      <c r="BC31" s="64">
        <f t="shared" si="35"/>
        <v>0.05959999999999999</v>
      </c>
      <c r="BD31" s="31">
        <v>0</v>
      </c>
    </row>
    <row r="32" spans="1:56" s="1" customFormat="1" ht="15" customHeight="1">
      <c r="A32" s="45"/>
      <c r="B32" s="14" t="s">
        <v>14</v>
      </c>
      <c r="C32" s="7"/>
      <c r="D32" s="14" t="s">
        <v>1</v>
      </c>
      <c r="E32" s="149">
        <f>ROUNDDOWN($E$8/$E$31,0)</f>
        <v>9</v>
      </c>
      <c r="F32" s="7"/>
      <c r="G32" s="7"/>
      <c r="H32" s="25"/>
      <c r="I32" s="25"/>
      <c r="J32" s="143" t="s">
        <v>24</v>
      </c>
      <c r="K32" s="25"/>
      <c r="L32" s="25" t="s">
        <v>1</v>
      </c>
      <c r="M32" s="53">
        <f>0.29*SQRT($E$7)*100*(($M$12+$M$13)*0.5)</f>
        <v>2665.792565073284</v>
      </c>
      <c r="N32" s="25"/>
      <c r="O32" s="7" t="s">
        <v>165</v>
      </c>
      <c r="P32" s="44"/>
      <c r="W32" s="129" t="s">
        <v>184</v>
      </c>
      <c r="X32" s="129" t="s">
        <v>185</v>
      </c>
      <c r="Y32" s="129" t="s">
        <v>186</v>
      </c>
      <c r="AE32" s="33">
        <v>0.74</v>
      </c>
      <c r="AF32" s="64">
        <f t="shared" si="24"/>
        <v>0.0522</v>
      </c>
      <c r="AG32" s="64">
        <f t="shared" si="25"/>
        <v>0.0592</v>
      </c>
      <c r="AH32" s="64">
        <f t="shared" si="26"/>
        <v>0.06819999999999998</v>
      </c>
      <c r="AI32" s="64">
        <f t="shared" si="27"/>
        <v>0.07880000000000002</v>
      </c>
      <c r="AJ32" s="31">
        <v>0</v>
      </c>
      <c r="AL32" s="95">
        <v>0.74</v>
      </c>
      <c r="AM32" s="96">
        <v>0</v>
      </c>
      <c r="AN32" s="96">
        <f t="shared" si="28"/>
        <v>0.029399999999999996</v>
      </c>
      <c r="AO32" s="96">
        <f t="shared" si="29"/>
        <v>0.03440000000000001</v>
      </c>
      <c r="AP32" s="96">
        <f t="shared" si="30"/>
        <v>0.03940000000000001</v>
      </c>
      <c r="AQ32" s="97">
        <f t="shared" si="31"/>
        <v>0.04540000000000001</v>
      </c>
      <c r="AY32" s="95">
        <v>0.74</v>
      </c>
      <c r="AZ32" s="96">
        <f t="shared" si="32"/>
        <v>0.038200000000000005</v>
      </c>
      <c r="BA32" s="96">
        <f t="shared" si="33"/>
        <v>0.0442</v>
      </c>
      <c r="BB32" s="96">
        <f t="shared" si="34"/>
        <v>0.0512</v>
      </c>
      <c r="BC32" s="96">
        <f t="shared" si="35"/>
        <v>0.05879999999999999</v>
      </c>
      <c r="BD32" s="97">
        <v>0</v>
      </c>
    </row>
    <row r="33" spans="1:56" s="1" customFormat="1" ht="15" customHeight="1">
      <c r="A33" s="45"/>
      <c r="B33" s="84"/>
      <c r="C33" s="84"/>
      <c r="D33" s="84"/>
      <c r="E33" s="85"/>
      <c r="F33" s="84"/>
      <c r="G33" s="85"/>
      <c r="H33" s="25"/>
      <c r="I33" s="25"/>
      <c r="J33" s="143" t="s">
        <v>95</v>
      </c>
      <c r="K33" s="25"/>
      <c r="L33" s="25" t="s">
        <v>1</v>
      </c>
      <c r="M33" s="53">
        <f>1.15*$E$25*$E$13/4</f>
        <v>563.5</v>
      </c>
      <c r="N33" s="25"/>
      <c r="O33" s="7" t="s">
        <v>165</v>
      </c>
      <c r="P33" s="44"/>
      <c r="W33" s="1">
        <v>1</v>
      </c>
      <c r="X33" s="1">
        <v>6</v>
      </c>
      <c r="Y33" s="130">
        <f>+PI()*POWER(X33/10,2)/4</f>
        <v>0.2827433388230814</v>
      </c>
      <c r="AE33" s="103">
        <v>0.75</v>
      </c>
      <c r="AF33" s="104">
        <f t="shared" si="24"/>
        <v>0.051500000000000004</v>
      </c>
      <c r="AG33" s="104">
        <f t="shared" si="25"/>
        <v>0.0585</v>
      </c>
      <c r="AH33" s="104">
        <f t="shared" si="26"/>
        <v>0.06749999999999998</v>
      </c>
      <c r="AI33" s="104">
        <f t="shared" si="27"/>
        <v>0.07800000000000003</v>
      </c>
      <c r="AJ33" s="105">
        <v>0</v>
      </c>
      <c r="AL33" s="103">
        <v>0.75</v>
      </c>
      <c r="AM33" s="104">
        <v>0</v>
      </c>
      <c r="AN33" s="104">
        <f t="shared" si="28"/>
        <v>0.028999999999999995</v>
      </c>
      <c r="AO33" s="104">
        <f t="shared" si="29"/>
        <v>0.03400000000000001</v>
      </c>
      <c r="AP33" s="104">
        <f t="shared" si="30"/>
        <v>0.039000000000000014</v>
      </c>
      <c r="AQ33" s="105">
        <f t="shared" si="31"/>
        <v>0.04500000000000001</v>
      </c>
      <c r="AR33" s="3"/>
      <c r="AY33" s="103">
        <v>0.75</v>
      </c>
      <c r="AZ33" s="104">
        <f t="shared" si="32"/>
        <v>0.037500000000000006</v>
      </c>
      <c r="BA33" s="104">
        <f t="shared" si="33"/>
        <v>0.043500000000000004</v>
      </c>
      <c r="BB33" s="104">
        <f t="shared" si="34"/>
        <v>0.0505</v>
      </c>
      <c r="BC33" s="104">
        <f t="shared" si="35"/>
        <v>0.05799999999999999</v>
      </c>
      <c r="BD33" s="105">
        <v>0</v>
      </c>
    </row>
    <row r="34" spans="1:56" s="1" customFormat="1" ht="19.5" customHeight="1">
      <c r="A34" s="45"/>
      <c r="B34" s="78" t="s">
        <v>166</v>
      </c>
      <c r="C34" s="25"/>
      <c r="D34" s="25"/>
      <c r="E34" s="43"/>
      <c r="F34" s="25"/>
      <c r="G34" s="43"/>
      <c r="H34" s="25"/>
      <c r="I34" s="25"/>
      <c r="J34" s="143" t="s">
        <v>24</v>
      </c>
      <c r="L34" s="142" t="str">
        <f>IF(M32&gt;M33,"&gt;","&lt;")</f>
        <v>&gt;</v>
      </c>
      <c r="M34" s="43" t="s">
        <v>25</v>
      </c>
      <c r="N34" s="141" t="str">
        <f>IF(M32&gt;M33,"O.K.","Try Again")</f>
        <v>O.K.</v>
      </c>
      <c r="O34" s="141"/>
      <c r="P34" s="44"/>
      <c r="W34" s="1">
        <v>2</v>
      </c>
      <c r="X34" s="1">
        <v>9</v>
      </c>
      <c r="Y34" s="130">
        <f aca="true" t="shared" si="36" ref="Y34:Y43">+PI()*POWER(X34/10,2)/4</f>
        <v>0.6361725123519332</v>
      </c>
      <c r="AE34" s="33">
        <v>0.76</v>
      </c>
      <c r="AF34" s="64">
        <f t="shared" si="24"/>
        <v>0.050800000000000005</v>
      </c>
      <c r="AG34" s="64">
        <f t="shared" si="25"/>
        <v>0.057800000000000004</v>
      </c>
      <c r="AH34" s="64">
        <f t="shared" si="26"/>
        <v>0.06679999999999997</v>
      </c>
      <c r="AI34" s="64">
        <f t="shared" si="27"/>
        <v>0.07720000000000003</v>
      </c>
      <c r="AJ34" s="31">
        <v>0</v>
      </c>
      <c r="AL34" s="33">
        <v>0.76</v>
      </c>
      <c r="AM34" s="64">
        <v>0</v>
      </c>
      <c r="AN34" s="64">
        <f t="shared" si="28"/>
        <v>0.028599999999999993</v>
      </c>
      <c r="AO34" s="64">
        <f t="shared" si="29"/>
        <v>0.03360000000000001</v>
      </c>
      <c r="AP34" s="64">
        <f t="shared" si="30"/>
        <v>0.038600000000000016</v>
      </c>
      <c r="AQ34" s="31">
        <f t="shared" si="31"/>
        <v>0.044600000000000015</v>
      </c>
      <c r="AY34" s="33">
        <v>0.76</v>
      </c>
      <c r="AZ34" s="64">
        <f t="shared" si="32"/>
        <v>0.036800000000000006</v>
      </c>
      <c r="BA34" s="64">
        <f t="shared" si="33"/>
        <v>0.042800000000000005</v>
      </c>
      <c r="BB34" s="64">
        <f t="shared" si="34"/>
        <v>0.049800000000000004</v>
      </c>
      <c r="BC34" s="64">
        <f t="shared" si="35"/>
        <v>0.05719999999999999</v>
      </c>
      <c r="BD34" s="31">
        <v>0</v>
      </c>
    </row>
    <row r="35" spans="1:56" s="1" customFormat="1" ht="15" customHeight="1">
      <c r="A35" s="45"/>
      <c r="B35" s="219" t="s">
        <v>167</v>
      </c>
      <c r="C35" s="220" t="s">
        <v>168</v>
      </c>
      <c r="D35" s="1" t="s">
        <v>1</v>
      </c>
      <c r="E35" s="119">
        <v>10</v>
      </c>
      <c r="G35" s="6" t="s">
        <v>159</v>
      </c>
      <c r="H35" s="25"/>
      <c r="P35" s="44"/>
      <c r="W35" s="1">
        <v>3</v>
      </c>
      <c r="X35" s="1">
        <v>10</v>
      </c>
      <c r="Y35" s="130">
        <f t="shared" si="36"/>
        <v>0.7853981633974483</v>
      </c>
      <c r="AE35" s="33">
        <v>0.77</v>
      </c>
      <c r="AF35" s="64">
        <f t="shared" si="24"/>
        <v>0.050100000000000006</v>
      </c>
      <c r="AG35" s="64">
        <f t="shared" si="25"/>
        <v>0.057100000000000005</v>
      </c>
      <c r="AH35" s="64">
        <f t="shared" si="26"/>
        <v>0.06609999999999996</v>
      </c>
      <c r="AI35" s="64">
        <f t="shared" si="27"/>
        <v>0.07640000000000004</v>
      </c>
      <c r="AJ35" s="31">
        <v>0</v>
      </c>
      <c r="AL35" s="33">
        <v>0.77</v>
      </c>
      <c r="AM35" s="64">
        <v>0</v>
      </c>
      <c r="AN35" s="64">
        <f t="shared" si="28"/>
        <v>0.028199999999999992</v>
      </c>
      <c r="AO35" s="64">
        <f t="shared" si="29"/>
        <v>0.033200000000000014</v>
      </c>
      <c r="AP35" s="64">
        <f t="shared" si="30"/>
        <v>0.03820000000000002</v>
      </c>
      <c r="AQ35" s="31">
        <f t="shared" si="31"/>
        <v>0.04420000000000002</v>
      </c>
      <c r="AY35" s="33">
        <v>0.77</v>
      </c>
      <c r="AZ35" s="64">
        <f t="shared" si="32"/>
        <v>0.03610000000000001</v>
      </c>
      <c r="BA35" s="64">
        <f t="shared" si="33"/>
        <v>0.042100000000000005</v>
      </c>
      <c r="BB35" s="64">
        <f t="shared" si="34"/>
        <v>0.049100000000000005</v>
      </c>
      <c r="BC35" s="64">
        <f t="shared" si="35"/>
        <v>0.056399999999999985</v>
      </c>
      <c r="BD35" s="31">
        <v>0</v>
      </c>
    </row>
    <row r="36" spans="1:56" s="1" customFormat="1" ht="18" customHeight="1">
      <c r="A36" s="45"/>
      <c r="B36" s="219" t="s">
        <v>169</v>
      </c>
      <c r="C36" s="4" t="s">
        <v>168</v>
      </c>
      <c r="D36" s="25" t="s">
        <v>1</v>
      </c>
      <c r="E36" s="119">
        <v>10</v>
      </c>
      <c r="F36" s="25"/>
      <c r="G36" s="7" t="s">
        <v>159</v>
      </c>
      <c r="H36" s="25"/>
      <c r="I36" s="218" t="s">
        <v>154</v>
      </c>
      <c r="K36" s="144"/>
      <c r="P36" s="44"/>
      <c r="W36" s="1">
        <v>4</v>
      </c>
      <c r="X36" s="1">
        <v>12</v>
      </c>
      <c r="Y36" s="130">
        <f t="shared" si="36"/>
        <v>1.1309733552923256</v>
      </c>
      <c r="AE36" s="33">
        <v>0.78</v>
      </c>
      <c r="AF36" s="64">
        <f t="shared" si="24"/>
        <v>0.049400000000000006</v>
      </c>
      <c r="AG36" s="64">
        <f t="shared" si="25"/>
        <v>0.056400000000000006</v>
      </c>
      <c r="AH36" s="64">
        <f t="shared" si="26"/>
        <v>0.06539999999999996</v>
      </c>
      <c r="AI36" s="64">
        <f t="shared" si="27"/>
        <v>0.07560000000000004</v>
      </c>
      <c r="AJ36" s="31">
        <v>0</v>
      </c>
      <c r="AL36" s="33">
        <v>0.78</v>
      </c>
      <c r="AM36" s="64">
        <v>0</v>
      </c>
      <c r="AN36" s="64">
        <f t="shared" si="28"/>
        <v>0.02779999999999999</v>
      </c>
      <c r="AO36" s="64">
        <f t="shared" si="29"/>
        <v>0.03280000000000002</v>
      </c>
      <c r="AP36" s="64">
        <f t="shared" si="30"/>
        <v>0.03780000000000002</v>
      </c>
      <c r="AQ36" s="31">
        <f t="shared" si="31"/>
        <v>0.04380000000000002</v>
      </c>
      <c r="AY36" s="33">
        <v>0.78</v>
      </c>
      <c r="AZ36" s="64">
        <f t="shared" si="32"/>
        <v>0.03540000000000001</v>
      </c>
      <c r="BA36" s="64">
        <f t="shared" si="33"/>
        <v>0.041400000000000006</v>
      </c>
      <c r="BB36" s="64">
        <f t="shared" si="34"/>
        <v>0.048400000000000006</v>
      </c>
      <c r="BC36" s="64">
        <f t="shared" si="35"/>
        <v>0.05559999999999998</v>
      </c>
      <c r="BD36" s="31">
        <v>0</v>
      </c>
    </row>
    <row r="37" spans="1:56" s="1" customFormat="1" ht="15" customHeight="1">
      <c r="A37" s="45"/>
      <c r="H37" s="25"/>
      <c r="P37" s="44"/>
      <c r="W37" s="1">
        <v>5</v>
      </c>
      <c r="X37" s="1">
        <v>15</v>
      </c>
      <c r="Y37" s="130">
        <f t="shared" si="36"/>
        <v>1.7671458676442586</v>
      </c>
      <c r="AE37" s="98">
        <v>0.79</v>
      </c>
      <c r="AF37" s="96">
        <f t="shared" si="24"/>
        <v>0.04870000000000001</v>
      </c>
      <c r="AG37" s="96">
        <f t="shared" si="25"/>
        <v>0.055700000000000006</v>
      </c>
      <c r="AH37" s="96">
        <f t="shared" si="26"/>
        <v>0.06469999999999995</v>
      </c>
      <c r="AI37" s="96">
        <f t="shared" si="27"/>
        <v>0.07480000000000005</v>
      </c>
      <c r="AJ37" s="97">
        <v>0</v>
      </c>
      <c r="AL37" s="95">
        <v>0.79</v>
      </c>
      <c r="AM37" s="96">
        <v>0</v>
      </c>
      <c r="AN37" s="96">
        <f t="shared" si="28"/>
        <v>0.02739999999999999</v>
      </c>
      <c r="AO37" s="96">
        <f t="shared" si="29"/>
        <v>0.03240000000000002</v>
      </c>
      <c r="AP37" s="96">
        <f t="shared" si="30"/>
        <v>0.037400000000000024</v>
      </c>
      <c r="AQ37" s="97">
        <f t="shared" si="31"/>
        <v>0.04340000000000002</v>
      </c>
      <c r="AY37" s="95">
        <v>0.79</v>
      </c>
      <c r="AZ37" s="96">
        <f t="shared" si="32"/>
        <v>0.03470000000000001</v>
      </c>
      <c r="BA37" s="96">
        <f t="shared" si="33"/>
        <v>0.04070000000000001</v>
      </c>
      <c r="BB37" s="96">
        <f t="shared" si="34"/>
        <v>0.047700000000000006</v>
      </c>
      <c r="BC37" s="96">
        <f t="shared" si="35"/>
        <v>0.05479999999999998</v>
      </c>
      <c r="BD37" s="97">
        <v>0</v>
      </c>
    </row>
    <row r="38" spans="1:56" s="1" customFormat="1" ht="15" customHeight="1">
      <c r="A38" s="45"/>
      <c r="B38" s="79">
        <f>+$B$48</f>
        <v>1.25</v>
      </c>
      <c r="C38" s="88">
        <f>+$C$48</f>
        <v>2.5</v>
      </c>
      <c r="D38" s="89"/>
      <c r="E38" s="79">
        <f>+$E$48</f>
        <v>1.25</v>
      </c>
      <c r="H38" s="25"/>
      <c r="I38" s="84"/>
      <c r="J38" s="127"/>
      <c r="K38" s="127"/>
      <c r="L38" s="127"/>
      <c r="M38" s="127"/>
      <c r="N38" s="127"/>
      <c r="O38" s="127"/>
      <c r="P38" s="44"/>
      <c r="W38" s="1">
        <v>6</v>
      </c>
      <c r="X38" s="1">
        <v>16</v>
      </c>
      <c r="Y38" s="130">
        <f t="shared" si="36"/>
        <v>2.0106192982974678</v>
      </c>
      <c r="AE38" s="103">
        <v>0.8</v>
      </c>
      <c r="AF38" s="104">
        <v>0.048</v>
      </c>
      <c r="AG38" s="104">
        <v>0.055</v>
      </c>
      <c r="AH38" s="100">
        <v>0.064</v>
      </c>
      <c r="AI38" s="100">
        <v>0.074</v>
      </c>
      <c r="AJ38" s="101">
        <v>0</v>
      </c>
      <c r="AL38" s="103">
        <v>0.8</v>
      </c>
      <c r="AM38" s="104">
        <v>0</v>
      </c>
      <c r="AN38" s="104">
        <v>0.027</v>
      </c>
      <c r="AO38" s="100">
        <v>0.032</v>
      </c>
      <c r="AP38" s="100">
        <v>0.037</v>
      </c>
      <c r="AQ38" s="101">
        <v>0.043</v>
      </c>
      <c r="AY38" s="103">
        <v>0.8</v>
      </c>
      <c r="AZ38" s="104">
        <v>0.036</v>
      </c>
      <c r="BA38" s="104">
        <v>0.041</v>
      </c>
      <c r="BB38" s="100">
        <v>0.048</v>
      </c>
      <c r="BC38" s="100">
        <v>0.056</v>
      </c>
      <c r="BD38" s="101">
        <v>0.064</v>
      </c>
    </row>
    <row r="39" spans="1:56" s="1" customFormat="1" ht="15" customHeight="1">
      <c r="A39" s="45"/>
      <c r="B39" s="260">
        <f>+IF($J$28&gt;0,$B$48/$J$28,0)</f>
        <v>0.4166666666666667</v>
      </c>
      <c r="C39" s="186" t="s">
        <v>103</v>
      </c>
      <c r="D39" s="187">
        <f>+IF($J$24&gt;0,$C$48/$J$24,0)</f>
        <v>0.2777777777777778</v>
      </c>
      <c r="E39" s="192"/>
      <c r="F39" s="84"/>
      <c r="G39" s="85"/>
      <c r="H39" s="25"/>
      <c r="I39" s="25"/>
      <c r="J39" s="126"/>
      <c r="K39" s="126"/>
      <c r="L39" s="126"/>
      <c r="M39" s="126"/>
      <c r="N39" s="126"/>
      <c r="O39" s="126"/>
      <c r="P39" s="44"/>
      <c r="W39" s="1">
        <v>7</v>
      </c>
      <c r="X39" s="1">
        <v>19</v>
      </c>
      <c r="Y39" s="130">
        <f t="shared" si="36"/>
        <v>2.8352873698647882</v>
      </c>
      <c r="AE39" s="33">
        <v>0.81</v>
      </c>
      <c r="AF39" s="64">
        <f aca="true" t="shared" si="37" ref="AF39:AF47">AF38-(0.01*($AF$38-$AF$48)/0.1)</f>
        <v>0.0472</v>
      </c>
      <c r="AG39" s="64">
        <f aca="true" t="shared" si="38" ref="AG39:AG47">AG38-(0.01*($AG$38-$AG$48)/0.1)</f>
        <v>0.0543</v>
      </c>
      <c r="AH39" s="64">
        <f aca="true" t="shared" si="39" ref="AH39:AH47">AH38-(0.01*($AH$38-$AH$48)/0.1)</f>
        <v>0.0633</v>
      </c>
      <c r="AI39" s="64">
        <f aca="true" t="shared" si="40" ref="AI39:AI47">AI38-(0.01*($AI$38-$AI$48)/0.1)</f>
        <v>0.0732</v>
      </c>
      <c r="AJ39" s="31">
        <v>0</v>
      </c>
      <c r="AL39" s="33">
        <v>0.81</v>
      </c>
      <c r="AM39" s="64">
        <v>0</v>
      </c>
      <c r="AN39" s="64">
        <f aca="true" t="shared" si="41" ref="AN39:AN47">AN38-(0.01*($AN$38-$AN$48)/0.1)</f>
        <v>0.0267</v>
      </c>
      <c r="AO39" s="64">
        <f aca="true" t="shared" si="42" ref="AO39:AO47">AO38-(0.01*($AO$38-$AO$48)/0.1)</f>
        <v>0.0316</v>
      </c>
      <c r="AP39" s="64">
        <f aca="true" t="shared" si="43" ref="AP39:AP47">AP38-(0.01*($AP$38-$AP$48)/0.1)</f>
        <v>0.0366</v>
      </c>
      <c r="AQ39" s="31">
        <f aca="true" t="shared" si="44" ref="AQ39:AQ47">AQ38-(0.01*($AQ$38-$AQ$48)/0.1)</f>
        <v>0.042499999999999996</v>
      </c>
      <c r="AY39" s="33">
        <v>0.81</v>
      </c>
      <c r="AZ39" s="64">
        <f aca="true" t="shared" si="45" ref="AZ39:AZ47">AZ38-(0.01*($AF$38-$AF$48)/0.1)</f>
        <v>0.035199999999999995</v>
      </c>
      <c r="BA39" s="64">
        <f aca="true" t="shared" si="46" ref="BA39:BA47">BA38-(0.01*($AG$38-$AG$48)/0.1)</f>
        <v>0.0403</v>
      </c>
      <c r="BB39" s="64">
        <f aca="true" t="shared" si="47" ref="BB39:BB47">BB38-(0.01*($AH$38-$AH$48)/0.1)</f>
        <v>0.0473</v>
      </c>
      <c r="BC39" s="64">
        <f aca="true" t="shared" si="48" ref="BC39:BC47">BC38-(0.01*($AI$38-$AI$48)/0.1)</f>
        <v>0.0552</v>
      </c>
      <c r="BD39" s="31">
        <v>0</v>
      </c>
    </row>
    <row r="40" spans="1:56" s="1" customFormat="1" ht="15" customHeight="1">
      <c r="A40" s="45"/>
      <c r="B40" s="261"/>
      <c r="C40" s="188"/>
      <c r="D40" s="189"/>
      <c r="E40" s="193"/>
      <c r="F40" s="84"/>
      <c r="G40" s="85"/>
      <c r="H40" s="25"/>
      <c r="I40" s="25"/>
      <c r="J40" s="126"/>
      <c r="K40" s="126"/>
      <c r="L40" s="126"/>
      <c r="M40" s="126"/>
      <c r="N40" s="126"/>
      <c r="O40" s="126"/>
      <c r="P40" s="44"/>
      <c r="W40" s="1">
        <v>8</v>
      </c>
      <c r="X40" s="1">
        <v>20</v>
      </c>
      <c r="Y40" s="130">
        <f t="shared" si="36"/>
        <v>3.141592653589793</v>
      </c>
      <c r="AE40" s="33">
        <v>0.82</v>
      </c>
      <c r="AF40" s="64">
        <f t="shared" si="37"/>
        <v>0.0464</v>
      </c>
      <c r="AG40" s="64">
        <f t="shared" si="38"/>
        <v>0.0536</v>
      </c>
      <c r="AH40" s="64">
        <f t="shared" si="39"/>
        <v>0.06259999999999999</v>
      </c>
      <c r="AI40" s="64">
        <f t="shared" si="40"/>
        <v>0.0724</v>
      </c>
      <c r="AJ40" s="31">
        <v>0</v>
      </c>
      <c r="AL40" s="33">
        <v>0.82</v>
      </c>
      <c r="AM40" s="64">
        <v>0</v>
      </c>
      <c r="AN40" s="64">
        <f t="shared" si="41"/>
        <v>0.0264</v>
      </c>
      <c r="AO40" s="64">
        <f t="shared" si="42"/>
        <v>0.031200000000000002</v>
      </c>
      <c r="AP40" s="64">
        <f t="shared" si="43"/>
        <v>0.0362</v>
      </c>
      <c r="AQ40" s="31">
        <f t="shared" si="44"/>
        <v>0.041999999999999996</v>
      </c>
      <c r="AY40" s="33">
        <v>0.82</v>
      </c>
      <c r="AZ40" s="64">
        <f t="shared" si="45"/>
        <v>0.03439999999999999</v>
      </c>
      <c r="BA40" s="64">
        <f t="shared" si="46"/>
        <v>0.0396</v>
      </c>
      <c r="BB40" s="64">
        <f t="shared" si="47"/>
        <v>0.0466</v>
      </c>
      <c r="BC40" s="64">
        <f t="shared" si="48"/>
        <v>0.0544</v>
      </c>
      <c r="BD40" s="31">
        <v>0</v>
      </c>
    </row>
    <row r="41" spans="1:56" s="1" customFormat="1" ht="15" customHeight="1">
      <c r="A41" s="45"/>
      <c r="B41" s="161"/>
      <c r="C41" s="188"/>
      <c r="D41" s="190"/>
      <c r="E41" s="193"/>
      <c r="F41" s="25"/>
      <c r="G41" s="43"/>
      <c r="H41" s="25"/>
      <c r="I41" s="25"/>
      <c r="J41" s="126"/>
      <c r="K41" s="126"/>
      <c r="L41" s="126"/>
      <c r="M41" s="126"/>
      <c r="N41" s="126"/>
      <c r="O41" s="126"/>
      <c r="P41" s="44"/>
      <c r="W41" s="1">
        <v>9</v>
      </c>
      <c r="X41" s="1">
        <v>25</v>
      </c>
      <c r="Y41" s="130">
        <f t="shared" si="36"/>
        <v>4.908738521234052</v>
      </c>
      <c r="AE41" s="33">
        <v>0.83</v>
      </c>
      <c r="AF41" s="64">
        <f t="shared" si="37"/>
        <v>0.045599999999999995</v>
      </c>
      <c r="AG41" s="64">
        <f t="shared" si="38"/>
        <v>0.0529</v>
      </c>
      <c r="AH41" s="64">
        <f t="shared" si="39"/>
        <v>0.06189999999999999</v>
      </c>
      <c r="AI41" s="64">
        <f t="shared" si="40"/>
        <v>0.07160000000000001</v>
      </c>
      <c r="AJ41" s="31">
        <v>0</v>
      </c>
      <c r="AL41" s="33">
        <v>0.83</v>
      </c>
      <c r="AM41" s="64">
        <v>0</v>
      </c>
      <c r="AN41" s="64">
        <f t="shared" si="41"/>
        <v>0.026099999999999998</v>
      </c>
      <c r="AO41" s="64">
        <f t="shared" si="42"/>
        <v>0.0308</v>
      </c>
      <c r="AP41" s="64">
        <f t="shared" si="43"/>
        <v>0.035800000000000005</v>
      </c>
      <c r="AQ41" s="31">
        <f t="shared" si="44"/>
        <v>0.041499999999999995</v>
      </c>
      <c r="AY41" s="33">
        <v>0.83</v>
      </c>
      <c r="AZ41" s="64">
        <f t="shared" si="45"/>
        <v>0.03359999999999999</v>
      </c>
      <c r="BA41" s="64">
        <f t="shared" si="46"/>
        <v>0.038900000000000004</v>
      </c>
      <c r="BB41" s="64">
        <f t="shared" si="47"/>
        <v>0.0459</v>
      </c>
      <c r="BC41" s="64">
        <f t="shared" si="48"/>
        <v>0.053599999999999995</v>
      </c>
      <c r="BD41" s="31">
        <v>0</v>
      </c>
    </row>
    <row r="42" spans="1:56" s="1" customFormat="1" ht="15" customHeight="1">
      <c r="A42" s="111" t="s">
        <v>170</v>
      </c>
      <c r="B42" s="261">
        <f>+IF($K$28&gt;0,$B$48/$K$28,0)</f>
        <v>0.25</v>
      </c>
      <c r="C42" s="262" t="s">
        <v>102</v>
      </c>
      <c r="D42" s="263">
        <f>+IF($K$24&gt;0,$C$48/$K$24,0)</f>
        <v>0.19230769230769232</v>
      </c>
      <c r="E42" s="193"/>
      <c r="F42" s="92">
        <f>+$E$13</f>
        <v>4</v>
      </c>
      <c r="G42" s="46" t="s">
        <v>101</v>
      </c>
      <c r="H42" s="25"/>
      <c r="I42" s="25"/>
      <c r="J42" s="126"/>
      <c r="K42" s="126"/>
      <c r="L42" s="126"/>
      <c r="M42" s="126"/>
      <c r="N42" s="126"/>
      <c r="O42" s="126"/>
      <c r="P42" s="44"/>
      <c r="W42" s="1">
        <v>10</v>
      </c>
      <c r="X42" s="1">
        <v>28</v>
      </c>
      <c r="Y42" s="130">
        <f t="shared" si="36"/>
        <v>6.157521601035993</v>
      </c>
      <c r="AE42" s="95">
        <v>0.84</v>
      </c>
      <c r="AF42" s="96">
        <f t="shared" si="37"/>
        <v>0.04479999999999999</v>
      </c>
      <c r="AG42" s="96">
        <f t="shared" si="38"/>
        <v>0.0522</v>
      </c>
      <c r="AH42" s="96">
        <f t="shared" si="39"/>
        <v>0.06119999999999999</v>
      </c>
      <c r="AI42" s="96">
        <f t="shared" si="40"/>
        <v>0.07080000000000002</v>
      </c>
      <c r="AJ42" s="97">
        <v>0</v>
      </c>
      <c r="AL42" s="95">
        <v>0.84</v>
      </c>
      <c r="AM42" s="96">
        <v>0</v>
      </c>
      <c r="AN42" s="96">
        <f t="shared" si="41"/>
        <v>0.025799999999999997</v>
      </c>
      <c r="AO42" s="96">
        <f t="shared" si="42"/>
        <v>0.0304</v>
      </c>
      <c r="AP42" s="96">
        <f t="shared" si="43"/>
        <v>0.03540000000000001</v>
      </c>
      <c r="AQ42" s="97">
        <f t="shared" si="44"/>
        <v>0.040999999999999995</v>
      </c>
      <c r="AY42" s="95">
        <v>0.84</v>
      </c>
      <c r="AZ42" s="96">
        <f t="shared" si="45"/>
        <v>0.03279999999999999</v>
      </c>
      <c r="BA42" s="96">
        <f t="shared" si="46"/>
        <v>0.038200000000000005</v>
      </c>
      <c r="BB42" s="96">
        <f t="shared" si="47"/>
        <v>0.045200000000000004</v>
      </c>
      <c r="BC42" s="96">
        <f t="shared" si="48"/>
        <v>0.05279999999999999</v>
      </c>
      <c r="BD42" s="97">
        <v>0</v>
      </c>
    </row>
    <row r="43" spans="1:56" s="1" customFormat="1" ht="15" customHeight="1">
      <c r="A43" s="111" t="s">
        <v>167</v>
      </c>
      <c r="B43" s="261"/>
      <c r="C43" s="262"/>
      <c r="D43" s="263"/>
      <c r="E43" s="194"/>
      <c r="F43" s="25"/>
      <c r="G43" s="43"/>
      <c r="H43" s="25"/>
      <c r="I43" s="25"/>
      <c r="J43" s="126"/>
      <c r="K43" s="126"/>
      <c r="L43" s="126"/>
      <c r="M43" s="126"/>
      <c r="N43" s="126"/>
      <c r="O43" s="126"/>
      <c r="P43" s="44"/>
      <c r="W43" s="1">
        <v>11</v>
      </c>
      <c r="X43" s="1">
        <v>32</v>
      </c>
      <c r="Y43" s="130">
        <f t="shared" si="36"/>
        <v>8.042477193189871</v>
      </c>
      <c r="AA43" s="25"/>
      <c r="AE43" s="102">
        <v>0.85</v>
      </c>
      <c r="AF43" s="100">
        <f t="shared" si="37"/>
        <v>0.04399999999999999</v>
      </c>
      <c r="AG43" s="100">
        <f t="shared" si="38"/>
        <v>0.051500000000000004</v>
      </c>
      <c r="AH43" s="100">
        <f t="shared" si="39"/>
        <v>0.06049999999999999</v>
      </c>
      <c r="AI43" s="100">
        <f t="shared" si="40"/>
        <v>0.07000000000000002</v>
      </c>
      <c r="AJ43" s="101">
        <v>0</v>
      </c>
      <c r="AL43" s="102">
        <v>0.85</v>
      </c>
      <c r="AM43" s="100">
        <v>0</v>
      </c>
      <c r="AN43" s="100">
        <f t="shared" si="41"/>
        <v>0.025499999999999995</v>
      </c>
      <c r="AO43" s="100">
        <f t="shared" si="42"/>
        <v>0.03</v>
      </c>
      <c r="AP43" s="100">
        <f t="shared" si="43"/>
        <v>0.03500000000000001</v>
      </c>
      <c r="AQ43" s="101">
        <f t="shared" si="44"/>
        <v>0.040499999999999994</v>
      </c>
      <c r="AY43" s="102">
        <v>0.85</v>
      </c>
      <c r="AZ43" s="100">
        <f t="shared" si="45"/>
        <v>0.03199999999999999</v>
      </c>
      <c r="BA43" s="100">
        <f t="shared" si="46"/>
        <v>0.037500000000000006</v>
      </c>
      <c r="BB43" s="100">
        <f t="shared" si="47"/>
        <v>0.044500000000000005</v>
      </c>
      <c r="BC43" s="100">
        <f t="shared" si="48"/>
        <v>0.05199999999999999</v>
      </c>
      <c r="BD43" s="101">
        <v>0</v>
      </c>
    </row>
    <row r="44" spans="1:56" s="1" customFormat="1" ht="15" customHeight="1">
      <c r="A44" s="56"/>
      <c r="B44" s="161"/>
      <c r="C44" s="188"/>
      <c r="D44" s="190"/>
      <c r="E44" s="194"/>
      <c r="F44" s="25"/>
      <c r="G44" s="43"/>
      <c r="H44" s="25"/>
      <c r="I44" s="25"/>
      <c r="J44" s="126"/>
      <c r="K44" s="126"/>
      <c r="L44" s="126"/>
      <c r="M44" s="126"/>
      <c r="N44" s="126"/>
      <c r="O44" s="126"/>
      <c r="P44" s="44"/>
      <c r="AA44" s="25"/>
      <c r="AE44" s="33">
        <v>0.86</v>
      </c>
      <c r="AF44" s="64">
        <f t="shared" si="37"/>
        <v>0.04319999999999999</v>
      </c>
      <c r="AG44" s="64">
        <f t="shared" si="38"/>
        <v>0.050800000000000005</v>
      </c>
      <c r="AH44" s="64">
        <f t="shared" si="39"/>
        <v>0.05979999999999999</v>
      </c>
      <c r="AI44" s="64">
        <f t="shared" si="40"/>
        <v>0.06920000000000003</v>
      </c>
      <c r="AJ44" s="31">
        <v>0</v>
      </c>
      <c r="AL44" s="33">
        <v>0.86</v>
      </c>
      <c r="AM44" s="64">
        <v>0</v>
      </c>
      <c r="AN44" s="64">
        <f t="shared" si="41"/>
        <v>0.025199999999999993</v>
      </c>
      <c r="AO44" s="64">
        <f t="shared" si="42"/>
        <v>0.029599999999999998</v>
      </c>
      <c r="AP44" s="64">
        <f t="shared" si="43"/>
        <v>0.03460000000000001</v>
      </c>
      <c r="AQ44" s="31">
        <f t="shared" si="44"/>
        <v>0.039999999999999994</v>
      </c>
      <c r="AY44" s="33">
        <v>0.86</v>
      </c>
      <c r="AZ44" s="64">
        <f t="shared" si="45"/>
        <v>0.031199999999999988</v>
      </c>
      <c r="BA44" s="64">
        <f t="shared" si="46"/>
        <v>0.036800000000000006</v>
      </c>
      <c r="BB44" s="64">
        <f t="shared" si="47"/>
        <v>0.043800000000000006</v>
      </c>
      <c r="BC44" s="64">
        <f t="shared" si="48"/>
        <v>0.05119999999999999</v>
      </c>
      <c r="BD44" s="31">
        <v>0</v>
      </c>
    </row>
    <row r="45" spans="1:56" s="1" customFormat="1" ht="15" customHeight="1">
      <c r="A45" s="56"/>
      <c r="B45" s="261">
        <f>+IF($L$28&gt;0,$B$48/$L$28,0)</f>
        <v>0.20833333333333334</v>
      </c>
      <c r="C45" s="262" t="s">
        <v>102</v>
      </c>
      <c r="D45" s="263">
        <f>+IF($L$24&gt;0,$C$48/$L$24,0)</f>
        <v>0.1388888888888889</v>
      </c>
      <c r="E45" s="195"/>
      <c r="F45" s="25"/>
      <c r="G45" s="43"/>
      <c r="H45" s="25"/>
      <c r="P45" s="44"/>
      <c r="W45" s="61">
        <v>4</v>
      </c>
      <c r="X45" s="61">
        <v>3</v>
      </c>
      <c r="AA45" s="25"/>
      <c r="AE45" s="33">
        <v>0.87</v>
      </c>
      <c r="AF45" s="64">
        <f t="shared" si="37"/>
        <v>0.042399999999999986</v>
      </c>
      <c r="AG45" s="64">
        <f t="shared" si="38"/>
        <v>0.050100000000000006</v>
      </c>
      <c r="AH45" s="64">
        <f t="shared" si="39"/>
        <v>0.05909999999999999</v>
      </c>
      <c r="AI45" s="64">
        <f t="shared" si="40"/>
        <v>0.06840000000000003</v>
      </c>
      <c r="AJ45" s="31">
        <v>0</v>
      </c>
      <c r="AL45" s="33">
        <v>0.87</v>
      </c>
      <c r="AM45" s="64">
        <v>0</v>
      </c>
      <c r="AN45" s="64">
        <f t="shared" si="41"/>
        <v>0.02489999999999999</v>
      </c>
      <c r="AO45" s="64">
        <f t="shared" si="42"/>
        <v>0.029199999999999997</v>
      </c>
      <c r="AP45" s="64">
        <f t="shared" si="43"/>
        <v>0.034200000000000015</v>
      </c>
      <c r="AQ45" s="31">
        <f t="shared" si="44"/>
        <v>0.03949999999999999</v>
      </c>
      <c r="AY45" s="33">
        <v>0.87</v>
      </c>
      <c r="AZ45" s="64">
        <f t="shared" si="45"/>
        <v>0.03039999999999999</v>
      </c>
      <c r="BA45" s="64">
        <f t="shared" si="46"/>
        <v>0.03610000000000001</v>
      </c>
      <c r="BB45" s="64">
        <f t="shared" si="47"/>
        <v>0.043100000000000006</v>
      </c>
      <c r="BC45" s="64">
        <f t="shared" si="48"/>
        <v>0.050399999999999986</v>
      </c>
      <c r="BD45" s="31">
        <v>0</v>
      </c>
    </row>
    <row r="46" spans="1:56" s="1" customFormat="1" ht="15.75" customHeight="1">
      <c r="A46" s="56"/>
      <c r="B46" s="264"/>
      <c r="C46" s="265"/>
      <c r="D46" s="266"/>
      <c r="E46" s="196"/>
      <c r="F46" s="25"/>
      <c r="G46" s="25"/>
      <c r="H46" s="25"/>
      <c r="P46" s="44"/>
      <c r="W46" s="61">
        <v>3</v>
      </c>
      <c r="AA46" s="25"/>
      <c r="AE46" s="33">
        <v>0.88</v>
      </c>
      <c r="AF46" s="64">
        <f t="shared" si="37"/>
        <v>0.041599999999999984</v>
      </c>
      <c r="AG46" s="64">
        <f t="shared" si="38"/>
        <v>0.049400000000000006</v>
      </c>
      <c r="AH46" s="64">
        <f t="shared" si="39"/>
        <v>0.058399999999999994</v>
      </c>
      <c r="AI46" s="64">
        <f t="shared" si="40"/>
        <v>0.06760000000000004</v>
      </c>
      <c r="AJ46" s="31">
        <v>0</v>
      </c>
      <c r="AL46" s="33">
        <v>0.88</v>
      </c>
      <c r="AM46" s="64">
        <v>0</v>
      </c>
      <c r="AN46" s="64">
        <f t="shared" si="41"/>
        <v>0.02459999999999999</v>
      </c>
      <c r="AO46" s="64">
        <f t="shared" si="42"/>
        <v>0.028799999999999996</v>
      </c>
      <c r="AP46" s="64">
        <f t="shared" si="43"/>
        <v>0.03380000000000002</v>
      </c>
      <c r="AQ46" s="31">
        <f t="shared" si="44"/>
        <v>0.03899999999999999</v>
      </c>
      <c r="AY46" s="33">
        <v>0.88</v>
      </c>
      <c r="AZ46" s="64">
        <f t="shared" si="45"/>
        <v>0.02959999999999999</v>
      </c>
      <c r="BA46" s="64">
        <f t="shared" si="46"/>
        <v>0.03540000000000001</v>
      </c>
      <c r="BB46" s="64">
        <f t="shared" si="47"/>
        <v>0.04240000000000001</v>
      </c>
      <c r="BC46" s="64">
        <f t="shared" si="48"/>
        <v>0.049599999999999984</v>
      </c>
      <c r="BD46" s="31">
        <v>0</v>
      </c>
    </row>
    <row r="47" spans="1:56" s="1" customFormat="1" ht="16.5" customHeight="1">
      <c r="A47" s="45"/>
      <c r="B47" s="38"/>
      <c r="C47" s="221" t="s">
        <v>172</v>
      </c>
      <c r="D47" s="91">
        <f>+$E$14</f>
        <v>5</v>
      </c>
      <c r="E47" s="93" t="s">
        <v>161</v>
      </c>
      <c r="F47" s="25"/>
      <c r="G47" s="25"/>
      <c r="H47" s="25"/>
      <c r="P47" s="44"/>
      <c r="Y47" s="61">
        <f>+VLOOKUP(X45,W33:X43,2)</f>
        <v>10</v>
      </c>
      <c r="AA47" s="25"/>
      <c r="AE47" s="98">
        <v>0.89</v>
      </c>
      <c r="AF47" s="96">
        <f t="shared" si="37"/>
        <v>0.04079999999999998</v>
      </c>
      <c r="AG47" s="96">
        <f t="shared" si="38"/>
        <v>0.04870000000000001</v>
      </c>
      <c r="AH47" s="96">
        <f t="shared" si="39"/>
        <v>0.057699999999999994</v>
      </c>
      <c r="AI47" s="96">
        <f t="shared" si="40"/>
        <v>0.06680000000000004</v>
      </c>
      <c r="AJ47" s="97">
        <v>0</v>
      </c>
      <c r="AL47" s="95">
        <v>0.89</v>
      </c>
      <c r="AM47" s="96">
        <v>0</v>
      </c>
      <c r="AN47" s="96">
        <f t="shared" si="41"/>
        <v>0.02429999999999999</v>
      </c>
      <c r="AO47" s="96">
        <f t="shared" si="42"/>
        <v>0.028399999999999995</v>
      </c>
      <c r="AP47" s="96">
        <f t="shared" si="43"/>
        <v>0.03340000000000002</v>
      </c>
      <c r="AQ47" s="97">
        <f t="shared" si="44"/>
        <v>0.03849999999999999</v>
      </c>
      <c r="AY47" s="95">
        <v>0.89</v>
      </c>
      <c r="AZ47" s="96">
        <f t="shared" si="45"/>
        <v>0.028799999999999992</v>
      </c>
      <c r="BA47" s="96">
        <f t="shared" si="46"/>
        <v>0.03470000000000001</v>
      </c>
      <c r="BB47" s="96">
        <f t="shared" si="47"/>
        <v>0.04170000000000001</v>
      </c>
      <c r="BC47" s="96">
        <f t="shared" si="48"/>
        <v>0.04879999999999998</v>
      </c>
      <c r="BD47" s="97">
        <v>0</v>
      </c>
    </row>
    <row r="48" spans="1:56" s="1" customFormat="1" ht="15" customHeight="1">
      <c r="A48" s="45"/>
      <c r="B48" s="79">
        <f>$E$14/4</f>
        <v>1.25</v>
      </c>
      <c r="C48" s="267">
        <f>$E$14/2</f>
        <v>2.5</v>
      </c>
      <c r="D48" s="267"/>
      <c r="E48" s="79">
        <f>$E$14/4</f>
        <v>1.25</v>
      </c>
      <c r="F48" s="25"/>
      <c r="G48" s="43"/>
      <c r="H48" s="25"/>
      <c r="P48" s="44"/>
      <c r="X48" s="61">
        <f>+VLOOKUP(W46,W33:X43,2)</f>
        <v>10</v>
      </c>
      <c r="AA48" s="25"/>
      <c r="AE48" s="34">
        <v>0.9</v>
      </c>
      <c r="AF48" s="65">
        <v>0.04</v>
      </c>
      <c r="AG48" s="65">
        <v>0.048</v>
      </c>
      <c r="AH48" s="66">
        <v>0.057</v>
      </c>
      <c r="AI48" s="66">
        <v>0.066</v>
      </c>
      <c r="AJ48" s="32">
        <v>0</v>
      </c>
      <c r="AL48" s="34">
        <v>0.9</v>
      </c>
      <c r="AM48" s="65">
        <v>0</v>
      </c>
      <c r="AN48" s="65">
        <v>0.024</v>
      </c>
      <c r="AO48" s="66">
        <v>0.028</v>
      </c>
      <c r="AP48" s="66">
        <v>0.033</v>
      </c>
      <c r="AQ48" s="32">
        <v>0.038</v>
      </c>
      <c r="AY48" s="103">
        <v>0.9</v>
      </c>
      <c r="AZ48" s="104">
        <v>0.03</v>
      </c>
      <c r="BA48" s="104">
        <v>0.036</v>
      </c>
      <c r="BB48" s="100">
        <v>0.043</v>
      </c>
      <c r="BC48" s="100">
        <v>0.05</v>
      </c>
      <c r="BD48" s="101">
        <v>0.057</v>
      </c>
    </row>
    <row r="49" spans="1:56" s="1" customFormat="1" ht="15" customHeight="1">
      <c r="A49" s="45"/>
      <c r="B49" s="25"/>
      <c r="C49" s="25"/>
      <c r="D49" s="25"/>
      <c r="E49" s="25"/>
      <c r="F49" s="25"/>
      <c r="G49" s="25"/>
      <c r="H49" s="25"/>
      <c r="P49" s="44"/>
      <c r="AA49" s="25"/>
      <c r="AE49" s="33">
        <v>0.91</v>
      </c>
      <c r="AF49" s="64">
        <f aca="true" t="shared" si="49" ref="AF49:AF57">AF48-(0.01*($AF$48-$AF$58)/0.1)</f>
        <v>0.0393</v>
      </c>
      <c r="AG49" s="64">
        <f aca="true" t="shared" si="50" ref="AG49:AG57">AG48-(0.01*($AG$48-$AG$58)/0.1)</f>
        <v>0.0473</v>
      </c>
      <c r="AH49" s="64">
        <f aca="true" t="shared" si="51" ref="AH49:AH57">AH48-(0.01*($AH$48-$AH$58)/0.1)</f>
        <v>0.0562</v>
      </c>
      <c r="AI49" s="64">
        <f aca="true" t="shared" si="52" ref="AI49:AI57">AI48-(0.01*($AI$48-$AI$58)/0.1)</f>
        <v>0.06520000000000001</v>
      </c>
      <c r="AJ49" s="31">
        <v>0</v>
      </c>
      <c r="AL49" s="33">
        <v>0.91</v>
      </c>
      <c r="AM49" s="64">
        <v>0</v>
      </c>
      <c r="AN49" s="64">
        <f aca="true" t="shared" si="53" ref="AN49:AN57">AN48-(0.01*($AN$48-$AN$58)/0.1)</f>
        <v>0.0237</v>
      </c>
      <c r="AO49" s="64">
        <f aca="true" t="shared" si="54" ref="AO49:AO57">AO48-(0.01*($AO$48-$AO$58)/0.1)</f>
        <v>0.027700000000000002</v>
      </c>
      <c r="AP49" s="64">
        <f aca="true" t="shared" si="55" ref="AP49:AP57">AP48-(0.01*($AP$48-$AP$58)/0.1)</f>
        <v>0.032600000000000004</v>
      </c>
      <c r="AQ49" s="31">
        <f aca="true" t="shared" si="56" ref="AQ49:AQ57">AQ48-(0.01*($AQ$48-$AQ$58)/0.1)</f>
        <v>0.0375</v>
      </c>
      <c r="AY49" s="33">
        <v>0.91</v>
      </c>
      <c r="AZ49" s="64">
        <f aca="true" t="shared" si="57" ref="AZ49:AZ57">AZ48-(0.01*($AF$48-$AF$58)/0.1)</f>
        <v>0.0293</v>
      </c>
      <c r="BA49" s="64">
        <f aca="true" t="shared" si="58" ref="BA49:BA57">BA48-(0.01*($AG$48-$AG$58)/0.1)</f>
        <v>0.0353</v>
      </c>
      <c r="BB49" s="64">
        <f aca="true" t="shared" si="59" ref="BB49:BB57">BB48-(0.01*($AH$48-$AH$58)/0.1)</f>
        <v>0.042199999999999994</v>
      </c>
      <c r="BC49" s="64">
        <f aca="true" t="shared" si="60" ref="BC49:BC57">BC48-(0.01*($AI$48-$AI$58)/0.1)</f>
        <v>0.0492</v>
      </c>
      <c r="BD49" s="31">
        <v>0</v>
      </c>
    </row>
    <row r="50" spans="1:56" s="1" customFormat="1" ht="15" customHeight="1">
      <c r="A50" s="45"/>
      <c r="B50" s="197">
        <f>+IF($M$28&gt;0,$F$50/$M$28,0)</f>
        <v>0.3333333333333333</v>
      </c>
      <c r="C50" s="198" t="s">
        <v>104</v>
      </c>
      <c r="D50" s="153">
        <f>+IF($N$28&gt;0,$F$50/$N$28,0)</f>
        <v>0.25</v>
      </c>
      <c r="E50" s="199">
        <f>+IF($O$28&gt;0,$F$50/$O$28,0)</f>
        <v>0.2</v>
      </c>
      <c r="F50" s="268">
        <f>$E$13/4</f>
        <v>1</v>
      </c>
      <c r="G50" s="25"/>
      <c r="H50" s="25"/>
      <c r="P50" s="44"/>
      <c r="Y50" s="25"/>
      <c r="AA50" s="25"/>
      <c r="AE50" s="33">
        <v>0.92</v>
      </c>
      <c r="AF50" s="64">
        <f t="shared" si="49"/>
        <v>0.0386</v>
      </c>
      <c r="AG50" s="64">
        <f t="shared" si="50"/>
        <v>0.0466</v>
      </c>
      <c r="AH50" s="64">
        <f t="shared" si="51"/>
        <v>0.0554</v>
      </c>
      <c r="AI50" s="64">
        <f t="shared" si="52"/>
        <v>0.06440000000000001</v>
      </c>
      <c r="AJ50" s="31">
        <v>0</v>
      </c>
      <c r="AL50" s="33">
        <v>0.92</v>
      </c>
      <c r="AM50" s="64">
        <v>0</v>
      </c>
      <c r="AN50" s="64">
        <f t="shared" si="53"/>
        <v>0.023399999999999997</v>
      </c>
      <c r="AO50" s="64">
        <f t="shared" si="54"/>
        <v>0.0274</v>
      </c>
      <c r="AP50" s="64">
        <f t="shared" si="55"/>
        <v>0.032200000000000006</v>
      </c>
      <c r="AQ50" s="31">
        <f t="shared" si="56"/>
        <v>0.037</v>
      </c>
      <c r="AY50" s="33">
        <v>0.92</v>
      </c>
      <c r="AZ50" s="64">
        <f t="shared" si="57"/>
        <v>0.0286</v>
      </c>
      <c r="BA50" s="64">
        <f t="shared" si="58"/>
        <v>0.0346</v>
      </c>
      <c r="BB50" s="64">
        <f t="shared" si="59"/>
        <v>0.04139999999999999</v>
      </c>
      <c r="BC50" s="64">
        <f t="shared" si="60"/>
        <v>0.0484</v>
      </c>
      <c r="BD50" s="31">
        <v>0</v>
      </c>
    </row>
    <row r="51" spans="1:56" s="1" customFormat="1" ht="15" customHeight="1">
      <c r="A51" s="45"/>
      <c r="B51" s="161"/>
      <c r="C51" s="160"/>
      <c r="D51" s="160"/>
      <c r="E51" s="162"/>
      <c r="F51" s="268"/>
      <c r="G51" s="25"/>
      <c r="H51" s="25"/>
      <c r="P51" s="44"/>
      <c r="AA51" s="25"/>
      <c r="AE51" s="33">
        <v>0.93</v>
      </c>
      <c r="AF51" s="64">
        <f t="shared" si="49"/>
        <v>0.0379</v>
      </c>
      <c r="AG51" s="64">
        <f t="shared" si="50"/>
        <v>0.0459</v>
      </c>
      <c r="AH51" s="64">
        <f t="shared" si="51"/>
        <v>0.054599999999999996</v>
      </c>
      <c r="AI51" s="64">
        <f t="shared" si="52"/>
        <v>0.06360000000000002</v>
      </c>
      <c r="AJ51" s="31">
        <v>0</v>
      </c>
      <c r="AL51" s="33">
        <v>0.93</v>
      </c>
      <c r="AM51" s="64">
        <v>0</v>
      </c>
      <c r="AN51" s="64">
        <f t="shared" si="53"/>
        <v>0.023099999999999996</v>
      </c>
      <c r="AO51" s="64">
        <f t="shared" si="54"/>
        <v>0.0271</v>
      </c>
      <c r="AP51" s="64">
        <f t="shared" si="55"/>
        <v>0.03180000000000001</v>
      </c>
      <c r="AQ51" s="31">
        <f t="shared" si="56"/>
        <v>0.0365</v>
      </c>
      <c r="AY51" s="33">
        <v>0.93</v>
      </c>
      <c r="AZ51" s="64">
        <f t="shared" si="57"/>
        <v>0.0279</v>
      </c>
      <c r="BA51" s="64">
        <f t="shared" si="58"/>
        <v>0.0339</v>
      </c>
      <c r="BB51" s="64">
        <f t="shared" si="59"/>
        <v>0.04059999999999999</v>
      </c>
      <c r="BC51" s="64">
        <f t="shared" si="60"/>
        <v>0.047599999999999996</v>
      </c>
      <c r="BD51" s="31">
        <v>0</v>
      </c>
    </row>
    <row r="52" spans="1:56" s="1" customFormat="1" ht="15" customHeight="1">
      <c r="A52" s="45"/>
      <c r="B52" s="203"/>
      <c r="C52" s="188"/>
      <c r="D52" s="188"/>
      <c r="E52" s="204"/>
      <c r="F52" s="268">
        <f>$E$13/2</f>
        <v>2</v>
      </c>
      <c r="G52" s="25"/>
      <c r="H52" s="25"/>
      <c r="P52" s="44"/>
      <c r="AA52" s="25"/>
      <c r="AE52" s="98">
        <v>0.94</v>
      </c>
      <c r="AF52" s="96">
        <f t="shared" si="49"/>
        <v>0.037200000000000004</v>
      </c>
      <c r="AG52" s="96">
        <f t="shared" si="50"/>
        <v>0.045200000000000004</v>
      </c>
      <c r="AH52" s="96">
        <f t="shared" si="51"/>
        <v>0.053799999999999994</v>
      </c>
      <c r="AI52" s="96">
        <f t="shared" si="52"/>
        <v>0.06280000000000002</v>
      </c>
      <c r="AJ52" s="97">
        <v>0</v>
      </c>
      <c r="AL52" s="95">
        <v>0.94</v>
      </c>
      <c r="AM52" s="96">
        <v>0</v>
      </c>
      <c r="AN52" s="96">
        <f t="shared" si="53"/>
        <v>0.022799999999999994</v>
      </c>
      <c r="AO52" s="96">
        <f t="shared" si="54"/>
        <v>0.026799999999999997</v>
      </c>
      <c r="AP52" s="96">
        <f t="shared" si="55"/>
        <v>0.03140000000000001</v>
      </c>
      <c r="AQ52" s="97">
        <f t="shared" si="56"/>
        <v>0.036</v>
      </c>
      <c r="AY52" s="95">
        <v>0.94</v>
      </c>
      <c r="AZ52" s="96">
        <f t="shared" si="57"/>
        <v>0.027200000000000002</v>
      </c>
      <c r="BA52" s="96">
        <f t="shared" si="58"/>
        <v>0.0332</v>
      </c>
      <c r="BB52" s="96">
        <f t="shared" si="59"/>
        <v>0.03979999999999999</v>
      </c>
      <c r="BC52" s="96">
        <f t="shared" si="60"/>
        <v>0.046799999999999994</v>
      </c>
      <c r="BD52" s="97">
        <v>0</v>
      </c>
    </row>
    <row r="53" spans="1:56" s="1" customFormat="1" ht="15" customHeight="1">
      <c r="A53" s="87" t="s">
        <v>167</v>
      </c>
      <c r="B53" s="205">
        <f>+IF($M$24&gt;0,$F$52/$M$24,0)</f>
        <v>0.2857142857142857</v>
      </c>
      <c r="C53" s="206" t="s">
        <v>105</v>
      </c>
      <c r="D53" s="189">
        <f>+IF($N$24&gt;0,$F$52/$N$24,0)</f>
        <v>0.2</v>
      </c>
      <c r="E53" s="207">
        <f>+IF($O$24&gt;0,$F$52/$O$24,0)</f>
        <v>0.15384615384615385</v>
      </c>
      <c r="F53" s="268"/>
      <c r="G53" s="25"/>
      <c r="H53" s="25"/>
      <c r="P53" s="44"/>
      <c r="AA53" s="25"/>
      <c r="AE53" s="99">
        <v>0.95</v>
      </c>
      <c r="AF53" s="100">
        <f t="shared" si="49"/>
        <v>0.036500000000000005</v>
      </c>
      <c r="AG53" s="100">
        <f t="shared" si="50"/>
        <v>0.044500000000000005</v>
      </c>
      <c r="AH53" s="100">
        <f t="shared" si="51"/>
        <v>0.05299999999999999</v>
      </c>
      <c r="AI53" s="100">
        <f t="shared" si="52"/>
        <v>0.06200000000000002</v>
      </c>
      <c r="AJ53" s="101">
        <v>0</v>
      </c>
      <c r="AL53" s="102">
        <v>0.95</v>
      </c>
      <c r="AM53" s="100">
        <v>0</v>
      </c>
      <c r="AN53" s="100">
        <f t="shared" si="53"/>
        <v>0.022499999999999992</v>
      </c>
      <c r="AO53" s="100">
        <f t="shared" si="54"/>
        <v>0.026499999999999996</v>
      </c>
      <c r="AP53" s="100">
        <f t="shared" si="55"/>
        <v>0.03100000000000001</v>
      </c>
      <c r="AQ53" s="101">
        <f t="shared" si="56"/>
        <v>0.0355</v>
      </c>
      <c r="AY53" s="102">
        <v>0.95</v>
      </c>
      <c r="AZ53" s="100">
        <f t="shared" si="57"/>
        <v>0.026500000000000003</v>
      </c>
      <c r="BA53" s="100">
        <f t="shared" si="58"/>
        <v>0.0325</v>
      </c>
      <c r="BB53" s="100">
        <f t="shared" si="59"/>
        <v>0.038999999999999986</v>
      </c>
      <c r="BC53" s="100">
        <f t="shared" si="60"/>
        <v>0.04599999999999999</v>
      </c>
      <c r="BD53" s="101">
        <v>0</v>
      </c>
    </row>
    <row r="54" spans="1:56" s="1" customFormat="1" ht="15" customHeight="1">
      <c r="A54" s="45"/>
      <c r="B54" s="208"/>
      <c r="C54" s="188"/>
      <c r="D54" s="188"/>
      <c r="E54" s="204"/>
      <c r="F54" s="268"/>
      <c r="G54" s="25"/>
      <c r="H54" s="25"/>
      <c r="P54" s="44"/>
      <c r="AA54" s="25"/>
      <c r="AE54" s="33">
        <v>0.96</v>
      </c>
      <c r="AF54" s="64">
        <f t="shared" si="49"/>
        <v>0.035800000000000005</v>
      </c>
      <c r="AG54" s="64">
        <f t="shared" si="50"/>
        <v>0.043800000000000006</v>
      </c>
      <c r="AH54" s="64">
        <f t="shared" si="51"/>
        <v>0.05219999999999999</v>
      </c>
      <c r="AI54" s="64">
        <f t="shared" si="52"/>
        <v>0.06120000000000002</v>
      </c>
      <c r="AJ54" s="31">
        <v>0</v>
      </c>
      <c r="AL54" s="33">
        <v>0.96</v>
      </c>
      <c r="AM54" s="64">
        <v>0</v>
      </c>
      <c r="AN54" s="64">
        <f t="shared" si="53"/>
        <v>0.02219999999999999</v>
      </c>
      <c r="AO54" s="64">
        <f t="shared" si="54"/>
        <v>0.026199999999999994</v>
      </c>
      <c r="AP54" s="64">
        <f t="shared" si="55"/>
        <v>0.03060000000000001</v>
      </c>
      <c r="AQ54" s="31">
        <f t="shared" si="56"/>
        <v>0.034999999999999996</v>
      </c>
      <c r="AY54" s="33">
        <v>0.96</v>
      </c>
      <c r="AZ54" s="64">
        <f t="shared" si="57"/>
        <v>0.025800000000000003</v>
      </c>
      <c r="BA54" s="64">
        <f t="shared" si="58"/>
        <v>0.0318</v>
      </c>
      <c r="BB54" s="64">
        <f t="shared" si="59"/>
        <v>0.038199999999999984</v>
      </c>
      <c r="BC54" s="64">
        <f t="shared" si="60"/>
        <v>0.04519999999999999</v>
      </c>
      <c r="BD54" s="31">
        <v>0</v>
      </c>
    </row>
    <row r="55" spans="1:56" s="1" customFormat="1" ht="15.75" customHeight="1">
      <c r="A55" s="45"/>
      <c r="B55" s="205"/>
      <c r="C55" s="269"/>
      <c r="D55" s="269"/>
      <c r="E55" s="207"/>
      <c r="F55" s="268"/>
      <c r="G55" s="25"/>
      <c r="H55" s="25"/>
      <c r="P55" s="44"/>
      <c r="AA55" s="25"/>
      <c r="AE55" s="33">
        <v>0.97</v>
      </c>
      <c r="AF55" s="64">
        <f t="shared" si="49"/>
        <v>0.035100000000000006</v>
      </c>
      <c r="AG55" s="64">
        <f t="shared" si="50"/>
        <v>0.043100000000000006</v>
      </c>
      <c r="AH55" s="64">
        <f t="shared" si="51"/>
        <v>0.05139999999999999</v>
      </c>
      <c r="AI55" s="64">
        <f t="shared" si="52"/>
        <v>0.060400000000000016</v>
      </c>
      <c r="AJ55" s="31">
        <v>0</v>
      </c>
      <c r="AL55" s="33">
        <v>0.97</v>
      </c>
      <c r="AM55" s="64">
        <v>0</v>
      </c>
      <c r="AN55" s="64">
        <f t="shared" si="53"/>
        <v>0.02189999999999999</v>
      </c>
      <c r="AO55" s="64">
        <f t="shared" si="54"/>
        <v>0.025899999999999992</v>
      </c>
      <c r="AP55" s="64">
        <f t="shared" si="55"/>
        <v>0.030200000000000008</v>
      </c>
      <c r="AQ55" s="31">
        <f t="shared" si="56"/>
        <v>0.034499999999999996</v>
      </c>
      <c r="AY55" s="33">
        <v>0.97</v>
      </c>
      <c r="AZ55" s="64">
        <f t="shared" si="57"/>
        <v>0.025100000000000004</v>
      </c>
      <c r="BA55" s="64">
        <f t="shared" si="58"/>
        <v>0.031100000000000003</v>
      </c>
      <c r="BB55" s="64">
        <f t="shared" si="59"/>
        <v>0.03739999999999998</v>
      </c>
      <c r="BC55" s="64">
        <f t="shared" si="60"/>
        <v>0.04439999999999999</v>
      </c>
      <c r="BD55" s="31">
        <v>0</v>
      </c>
    </row>
    <row r="56" spans="1:56" s="1" customFormat="1" ht="15" customHeight="1">
      <c r="A56" s="45"/>
      <c r="B56" s="163">
        <f>+IF($M$28&gt;0,$F$56/$M$28,0)</f>
        <v>0.3333333333333333</v>
      </c>
      <c r="C56" s="164" t="s">
        <v>105</v>
      </c>
      <c r="D56" s="154">
        <f>IF($N$28&gt;0,$F$56/$N$28,0)</f>
        <v>0.25</v>
      </c>
      <c r="E56" s="165">
        <f>IF($O$28&gt;0,$F$56/$O$28,0)</f>
        <v>0.2</v>
      </c>
      <c r="F56" s="268">
        <f>$E$13/4</f>
        <v>1</v>
      </c>
      <c r="G56" s="25"/>
      <c r="H56" s="25"/>
      <c r="P56" s="44"/>
      <c r="AA56" s="25"/>
      <c r="AE56" s="33">
        <v>0.98</v>
      </c>
      <c r="AF56" s="64">
        <f t="shared" si="49"/>
        <v>0.03440000000000001</v>
      </c>
      <c r="AG56" s="64">
        <f t="shared" si="50"/>
        <v>0.04240000000000001</v>
      </c>
      <c r="AH56" s="64">
        <f t="shared" si="51"/>
        <v>0.050599999999999985</v>
      </c>
      <c r="AI56" s="64">
        <f t="shared" si="52"/>
        <v>0.059600000000000014</v>
      </c>
      <c r="AJ56" s="31">
        <v>0</v>
      </c>
      <c r="AL56" s="33">
        <v>0.98</v>
      </c>
      <c r="AM56" s="64">
        <v>0</v>
      </c>
      <c r="AN56" s="64">
        <f t="shared" si="53"/>
        <v>0.021599999999999987</v>
      </c>
      <c r="AO56" s="64">
        <f t="shared" si="54"/>
        <v>0.02559999999999999</v>
      </c>
      <c r="AP56" s="64">
        <f t="shared" si="55"/>
        <v>0.029800000000000007</v>
      </c>
      <c r="AQ56" s="31">
        <f t="shared" si="56"/>
        <v>0.033999999999999996</v>
      </c>
      <c r="AY56" s="33">
        <v>0.98</v>
      </c>
      <c r="AZ56" s="64">
        <f t="shared" si="57"/>
        <v>0.024400000000000005</v>
      </c>
      <c r="BA56" s="64">
        <f t="shared" si="58"/>
        <v>0.030400000000000003</v>
      </c>
      <c r="BB56" s="64">
        <f t="shared" si="59"/>
        <v>0.03659999999999998</v>
      </c>
      <c r="BC56" s="64">
        <f t="shared" si="60"/>
        <v>0.043599999999999986</v>
      </c>
      <c r="BD56" s="31">
        <v>0</v>
      </c>
    </row>
    <row r="57" spans="1:56" s="1" customFormat="1" ht="15" customHeight="1">
      <c r="A57" s="45"/>
      <c r="B57" s="200"/>
      <c r="C57" s="201"/>
      <c r="D57" s="201"/>
      <c r="E57" s="202"/>
      <c r="F57" s="268"/>
      <c r="G57" s="25"/>
      <c r="H57" s="25"/>
      <c r="P57" s="44"/>
      <c r="AE57" s="95">
        <v>0.99</v>
      </c>
      <c r="AF57" s="96">
        <f t="shared" si="49"/>
        <v>0.03370000000000001</v>
      </c>
      <c r="AG57" s="96">
        <f t="shared" si="50"/>
        <v>0.04170000000000001</v>
      </c>
      <c r="AH57" s="96">
        <f t="shared" si="51"/>
        <v>0.04979999999999998</v>
      </c>
      <c r="AI57" s="96">
        <f t="shared" si="52"/>
        <v>0.05880000000000001</v>
      </c>
      <c r="AJ57" s="97">
        <v>0</v>
      </c>
      <c r="AL57" s="95">
        <v>0.99</v>
      </c>
      <c r="AM57" s="96">
        <v>0</v>
      </c>
      <c r="AN57" s="96">
        <f t="shared" si="53"/>
        <v>0.021299999999999986</v>
      </c>
      <c r="AO57" s="96">
        <f t="shared" si="54"/>
        <v>0.02529999999999999</v>
      </c>
      <c r="AP57" s="96">
        <f t="shared" si="55"/>
        <v>0.029400000000000006</v>
      </c>
      <c r="AQ57" s="97">
        <f t="shared" si="56"/>
        <v>0.033499999999999995</v>
      </c>
      <c r="AY57" s="95">
        <v>0.99</v>
      </c>
      <c r="AZ57" s="96">
        <f t="shared" si="57"/>
        <v>0.023700000000000006</v>
      </c>
      <c r="BA57" s="96">
        <f t="shared" si="58"/>
        <v>0.029700000000000004</v>
      </c>
      <c r="BB57" s="96">
        <f t="shared" si="59"/>
        <v>0.03579999999999998</v>
      </c>
      <c r="BC57" s="96">
        <f t="shared" si="60"/>
        <v>0.042799999999999984</v>
      </c>
      <c r="BD57" s="97">
        <v>0</v>
      </c>
    </row>
    <row r="58" spans="1:56" s="1" customFormat="1" ht="15" customHeight="1">
      <c r="A58" s="45"/>
      <c r="B58" s="270" t="s">
        <v>156</v>
      </c>
      <c r="C58" s="271"/>
      <c r="D58" s="271"/>
      <c r="E58" s="271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44"/>
      <c r="AE58" s="34">
        <v>1</v>
      </c>
      <c r="AF58" s="65">
        <v>0.033</v>
      </c>
      <c r="AG58" s="65">
        <v>0.041</v>
      </c>
      <c r="AH58" s="66">
        <v>0.049</v>
      </c>
      <c r="AI58" s="66">
        <v>0.058</v>
      </c>
      <c r="AJ58" s="32">
        <v>0</v>
      </c>
      <c r="AL58" s="34">
        <v>1</v>
      </c>
      <c r="AM58" s="65">
        <v>0</v>
      </c>
      <c r="AN58" s="65">
        <v>0.021</v>
      </c>
      <c r="AO58" s="66">
        <v>0.025</v>
      </c>
      <c r="AP58" s="66">
        <v>0.029</v>
      </c>
      <c r="AQ58" s="32">
        <v>0.033</v>
      </c>
      <c r="AY58" s="34">
        <v>1</v>
      </c>
      <c r="AZ58" s="65">
        <v>0.025</v>
      </c>
      <c r="BA58" s="65">
        <v>0.031</v>
      </c>
      <c r="BB58" s="66">
        <v>0.037</v>
      </c>
      <c r="BC58" s="66">
        <v>0.044</v>
      </c>
      <c r="BD58" s="32">
        <v>0.05</v>
      </c>
    </row>
    <row r="59" spans="1:16" s="1" customFormat="1" ht="15" customHeight="1">
      <c r="A59" s="4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44"/>
    </row>
    <row r="60" spans="1:16" s="1" customFormat="1" ht="18" customHeight="1">
      <c r="A60" s="45"/>
      <c r="B60" s="251" t="s">
        <v>171</v>
      </c>
      <c r="C60" s="252"/>
      <c r="D60" s="252"/>
      <c r="E60" s="252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44"/>
    </row>
    <row r="61" spans="1:16" s="1" customFormat="1" ht="15" customHeight="1" thickBo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9"/>
    </row>
    <row r="62" spans="1:56" s="1" customFormat="1" ht="20.25" customHeight="1" thickTop="1">
      <c r="A62" s="222" t="s">
        <v>183</v>
      </c>
      <c r="AE62" s="146">
        <f>+$E$15</f>
        <v>0.8</v>
      </c>
      <c r="AF62" s="146">
        <f>+VLOOKUP(AE62,AE8:AF58,2)</f>
        <v>0.048</v>
      </c>
      <c r="AG62" s="146">
        <f>+VLOOKUP(AE62,AE8:AG58,3)</f>
        <v>0.055</v>
      </c>
      <c r="AH62" s="146">
        <f>+VLOOKUP(AE62,AE8:AH58,4)</f>
        <v>0.064</v>
      </c>
      <c r="AI62" s="146">
        <f>+VLOOKUP(AE62,AE8:AI58,5)</f>
        <v>0.074</v>
      </c>
      <c r="AJ62" s="146">
        <f>+VLOOKUP(AE62,AE8:AJ58,6)</f>
        <v>0</v>
      </c>
      <c r="AL62" s="146">
        <f>+$E$15</f>
        <v>0.8</v>
      </c>
      <c r="AM62" s="146">
        <f>+VLOOKUP(AL62,AL8:AM58,2)</f>
        <v>0</v>
      </c>
      <c r="AN62" s="146">
        <f>+VLOOKUP(AL62,AL8:AN58,3)</f>
        <v>0.027</v>
      </c>
      <c r="AO62" s="146">
        <f>+VLOOKUP(AL62,AL8:AO58,4)</f>
        <v>0.032</v>
      </c>
      <c r="AP62" s="146">
        <f>+VLOOKUP(AL62,AL8:AP58,5)</f>
        <v>0.037</v>
      </c>
      <c r="AQ62" s="146">
        <f>+VLOOKUP(AL62,AL8:AQ58,6)</f>
        <v>0.043</v>
      </c>
      <c r="AY62" s="145">
        <f>+E15</f>
        <v>0.8</v>
      </c>
      <c r="AZ62" s="61">
        <f>+VLOOKUP(AY62,AY8:AZ58,2)</f>
        <v>0.036</v>
      </c>
      <c r="BA62" s="61">
        <f>+VLOOKUP(AY62,AY8:BA58,3)</f>
        <v>0.041</v>
      </c>
      <c r="BB62" s="61">
        <f>+VLOOKUP(AY62,AY8:BB58,4)</f>
        <v>0.048</v>
      </c>
      <c r="BC62" s="61">
        <f>+VLOOKUP(AY62,AY8:BC58,5)</f>
        <v>0.056</v>
      </c>
      <c r="BD62" s="61">
        <f>+VLOOKUP(AY62,AY8:BD58,6)</f>
        <v>0.064</v>
      </c>
    </row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</sheetData>
  <sheetProtection/>
  <mergeCells count="49">
    <mergeCell ref="B60:E60"/>
    <mergeCell ref="C48:D48"/>
    <mergeCell ref="F50:F51"/>
    <mergeCell ref="F52:F55"/>
    <mergeCell ref="C55:D55"/>
    <mergeCell ref="F56:F57"/>
    <mergeCell ref="B58:E58"/>
    <mergeCell ref="B42:B43"/>
    <mergeCell ref="C42:C43"/>
    <mergeCell ref="D42:D43"/>
    <mergeCell ref="B45:B46"/>
    <mergeCell ref="C45:C46"/>
    <mergeCell ref="D45:D46"/>
    <mergeCell ref="M15:O15"/>
    <mergeCell ref="J23:L23"/>
    <mergeCell ref="M23:O23"/>
    <mergeCell ref="J27:L27"/>
    <mergeCell ref="M27:O27"/>
    <mergeCell ref="B39:B40"/>
    <mergeCell ref="I9:K9"/>
    <mergeCell ref="I10:K10"/>
    <mergeCell ref="I11:K11"/>
    <mergeCell ref="I12:K12"/>
    <mergeCell ref="I13:K13"/>
    <mergeCell ref="J15:L15"/>
    <mergeCell ref="AY5:BD5"/>
    <mergeCell ref="V6:V7"/>
    <mergeCell ref="W6:W7"/>
    <mergeCell ref="X6:X7"/>
    <mergeCell ref="Y6:Y7"/>
    <mergeCell ref="Z6:Z7"/>
    <mergeCell ref="AA6:AA7"/>
    <mergeCell ref="U3:AB3"/>
    <mergeCell ref="AP3:AZ3"/>
    <mergeCell ref="U4:U7"/>
    <mergeCell ref="V4:AA4"/>
    <mergeCell ref="AB4:AB7"/>
    <mergeCell ref="AE4:AQ4"/>
    <mergeCell ref="AY4:BD4"/>
    <mergeCell ref="V5:AA5"/>
    <mergeCell ref="AE5:AJ5"/>
    <mergeCell ref="AL5:AQ5"/>
    <mergeCell ref="A1:P1"/>
    <mergeCell ref="B2:D2"/>
    <mergeCell ref="E2:F2"/>
    <mergeCell ref="G2:H2"/>
    <mergeCell ref="I2:J2"/>
    <mergeCell ref="K2:M2"/>
    <mergeCell ref="O2:P2"/>
  </mergeCells>
  <dataValidations count="6">
    <dataValidation type="list" allowBlank="1" showInputMessage="1" showErrorMessage="1" sqref="E12">
      <formula1>"1,2,3,4,5"</formula1>
    </dataValidation>
    <dataValidation type="list" allowBlank="1" showInputMessage="1" showErrorMessage="1" sqref="E4">
      <formula1>"SR-24,SD-30,SD-40"</formula1>
    </dataValidation>
    <dataValidation type="list" allowBlank="1" showInputMessage="1" showErrorMessage="1" sqref="E5">
      <formula1>"9,10,12,15,19,20,25"</formula1>
    </dataValidation>
    <dataValidation type="list" allowBlank="1" showInputMessage="1" showErrorMessage="1" sqref="E6">
      <formula1>"2400,3000,4000,5000"</formula1>
    </dataValidation>
    <dataValidation type="list" allowBlank="1" showInputMessage="1" showErrorMessage="1" sqref="E28">
      <formula1>"0.375,0.45"</formula1>
    </dataValidation>
    <dataValidation type="list" allowBlank="1" showInputMessage="1" showErrorMessage="1" sqref="E35:E36">
      <formula1>"9,10,12,15,16,19,25"</formula1>
    </dataValidation>
  </dataValidations>
  <printOptions/>
  <pageMargins left="0.5511811023622047" right="0.7480314960629921" top="1.1811023622047245" bottom="0.7874015748031497" header="0.6692913385826772" footer="0.7480314960629921"/>
  <pageSetup horizontalDpi="600" verticalDpi="600" orientation="portrait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D62"/>
  <sheetViews>
    <sheetView showGridLines="0" zoomScalePageLayoutView="0" workbookViewId="0" topLeftCell="A1">
      <selection activeCell="O2" sqref="O2:P2"/>
    </sheetView>
  </sheetViews>
  <sheetFormatPr defaultColWidth="9.33203125" defaultRowHeight="21"/>
  <cols>
    <col min="1" max="1" width="8.16015625" style="0" customWidth="1"/>
    <col min="2" max="2" width="11" style="0" customWidth="1"/>
    <col min="3" max="3" width="11.33203125" style="0" customWidth="1"/>
    <col min="4" max="4" width="8.83203125" style="0" customWidth="1"/>
    <col min="5" max="5" width="9.5" style="0" customWidth="1"/>
    <col min="6" max="6" width="9.33203125" style="0" customWidth="1"/>
    <col min="7" max="7" width="7.66015625" style="0" customWidth="1"/>
    <col min="8" max="8" width="4" style="0" customWidth="1"/>
    <col min="9" max="9" width="30.83203125" style="0" customWidth="1"/>
    <col min="10" max="17" width="8.83203125" style="0" customWidth="1"/>
    <col min="18" max="20" width="8.83203125" style="0" hidden="1" customWidth="1"/>
    <col min="21" max="21" width="34.16015625" style="0" customWidth="1"/>
    <col min="22" max="28" width="14.16015625" style="0" customWidth="1"/>
    <col min="29" max="29" width="7.66015625" style="0" customWidth="1"/>
    <col min="31" max="41" width="10.83203125" style="0" customWidth="1"/>
    <col min="42" max="42" width="10.16015625" style="0" customWidth="1"/>
  </cols>
  <sheetData>
    <row r="1" spans="1:20" ht="30.75" customHeight="1" thickBot="1" thickTop="1">
      <c r="A1" s="223" t="s">
        <v>182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5"/>
      <c r="Q1" s="36"/>
      <c r="R1" s="36"/>
      <c r="S1" s="36"/>
      <c r="T1" s="36"/>
    </row>
    <row r="2" spans="1:21" ht="26.25" customHeight="1" thickBot="1">
      <c r="A2" s="209" t="s">
        <v>27</v>
      </c>
      <c r="B2" s="226" t="s">
        <v>175</v>
      </c>
      <c r="C2" s="226"/>
      <c r="D2" s="226"/>
      <c r="E2" s="274" t="s">
        <v>49</v>
      </c>
      <c r="F2" s="275"/>
      <c r="G2" s="226" t="s">
        <v>117</v>
      </c>
      <c r="H2" s="229"/>
      <c r="I2" s="227" t="s">
        <v>125</v>
      </c>
      <c r="J2" s="228"/>
      <c r="K2" s="230"/>
      <c r="L2" s="231"/>
      <c r="M2" s="232"/>
      <c r="N2" s="210" t="s">
        <v>29</v>
      </c>
      <c r="O2" s="233">
        <f ca="1">NOW()</f>
        <v>41255.47610925926</v>
      </c>
      <c r="P2" s="234"/>
      <c r="Q2" s="36"/>
      <c r="R2" s="36"/>
      <c r="S2" s="36"/>
      <c r="T2" s="36"/>
      <c r="U2" s="222"/>
    </row>
    <row r="3" spans="1:52" s="1" customFormat="1" ht="23.25" customHeight="1">
      <c r="A3" s="122" t="s">
        <v>50</v>
      </c>
      <c r="B3" s="25"/>
      <c r="C3" s="25"/>
      <c r="D3" s="25"/>
      <c r="E3" s="25"/>
      <c r="F3" s="25"/>
      <c r="G3" s="25"/>
      <c r="H3" s="25"/>
      <c r="I3" s="121" t="s">
        <v>30</v>
      </c>
      <c r="P3" s="44"/>
      <c r="U3" s="235" t="s">
        <v>178</v>
      </c>
      <c r="V3" s="235"/>
      <c r="W3" s="235"/>
      <c r="X3" s="235"/>
      <c r="Y3" s="235"/>
      <c r="Z3" s="235"/>
      <c r="AA3" s="235"/>
      <c r="AB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</row>
    <row r="4" spans="1:56" s="1" customFormat="1" ht="15" customHeight="1">
      <c r="A4" s="45"/>
      <c r="B4" s="4" t="s">
        <v>51</v>
      </c>
      <c r="C4" s="4"/>
      <c r="D4" s="4" t="s">
        <v>1</v>
      </c>
      <c r="E4" s="211" t="s">
        <v>96</v>
      </c>
      <c r="F4" s="4"/>
      <c r="G4" s="7"/>
      <c r="H4" s="25"/>
      <c r="J4" s="4"/>
      <c r="L4" s="25"/>
      <c r="M4" s="47"/>
      <c r="N4" s="25"/>
      <c r="O4" s="25"/>
      <c r="P4" s="44"/>
      <c r="U4" s="236" t="s">
        <v>36</v>
      </c>
      <c r="V4" s="239" t="s">
        <v>37</v>
      </c>
      <c r="W4" s="239"/>
      <c r="X4" s="239"/>
      <c r="Y4" s="239"/>
      <c r="Z4" s="239"/>
      <c r="AA4" s="239"/>
      <c r="AB4" s="240" t="s">
        <v>40</v>
      </c>
      <c r="AE4" s="243" t="s">
        <v>108</v>
      </c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5"/>
      <c r="AS4" s="25"/>
      <c r="AT4" s="113"/>
      <c r="AU4" s="113"/>
      <c r="AV4" s="113"/>
      <c r="AW4" s="113"/>
      <c r="AX4" s="113"/>
      <c r="AY4" s="243" t="s">
        <v>108</v>
      </c>
      <c r="AZ4" s="244"/>
      <c r="BA4" s="244"/>
      <c r="BB4" s="244"/>
      <c r="BC4" s="244"/>
      <c r="BD4" s="245"/>
    </row>
    <row r="5" spans="1:56" s="1" customFormat="1" ht="18.75" customHeight="1">
      <c r="A5" s="45"/>
      <c r="B5" s="4" t="s">
        <v>53</v>
      </c>
      <c r="C5" s="4"/>
      <c r="D5" s="4" t="s">
        <v>1</v>
      </c>
      <c r="E5" s="211">
        <v>10</v>
      </c>
      <c r="F5" s="4"/>
      <c r="G5" s="7" t="s">
        <v>26</v>
      </c>
      <c r="H5" s="25"/>
      <c r="I5" s="25"/>
      <c r="J5" s="38" t="s">
        <v>177</v>
      </c>
      <c r="K5" s="25"/>
      <c r="L5" s="25" t="s">
        <v>1</v>
      </c>
      <c r="M5" s="75">
        <f>MAX($J$18,$K$18,$L$18,$M$18,$N$18,$O$18)</f>
        <v>431.2</v>
      </c>
      <c r="N5" s="25"/>
      <c r="O5" s="43" t="s">
        <v>31</v>
      </c>
      <c r="P5" s="44"/>
      <c r="U5" s="237"/>
      <c r="V5" s="238" t="s">
        <v>38</v>
      </c>
      <c r="W5" s="238"/>
      <c r="X5" s="238"/>
      <c r="Y5" s="238"/>
      <c r="Z5" s="238"/>
      <c r="AA5" s="238"/>
      <c r="AB5" s="241"/>
      <c r="AE5" s="246" t="s">
        <v>111</v>
      </c>
      <c r="AF5" s="246"/>
      <c r="AG5" s="246"/>
      <c r="AH5" s="246"/>
      <c r="AI5" s="246"/>
      <c r="AJ5" s="246"/>
      <c r="AL5" s="246" t="s">
        <v>110</v>
      </c>
      <c r="AM5" s="246"/>
      <c r="AN5" s="246"/>
      <c r="AO5" s="246"/>
      <c r="AP5" s="246"/>
      <c r="AQ5" s="246"/>
      <c r="AY5" s="247" t="s">
        <v>109</v>
      </c>
      <c r="AZ5" s="248"/>
      <c r="BA5" s="248"/>
      <c r="BB5" s="248"/>
      <c r="BC5" s="248"/>
      <c r="BD5" s="248"/>
    </row>
    <row r="6" spans="1:28" s="1" customFormat="1" ht="15" customHeight="1">
      <c r="A6" s="45"/>
      <c r="B6" s="4" t="s">
        <v>8</v>
      </c>
      <c r="C6" s="4"/>
      <c r="D6" s="4" t="s">
        <v>1</v>
      </c>
      <c r="E6" s="212">
        <v>3000</v>
      </c>
      <c r="F6" s="4"/>
      <c r="G6" s="7" t="s">
        <v>13</v>
      </c>
      <c r="H6" s="25"/>
      <c r="I6" s="25"/>
      <c r="J6" s="38" t="s">
        <v>9</v>
      </c>
      <c r="L6" s="25" t="s">
        <v>1</v>
      </c>
      <c r="M6" s="76">
        <f>1/(1+($E$30/($E$32*$E$29)))</f>
        <v>0.3506493506493506</v>
      </c>
      <c r="O6" s="63"/>
      <c r="P6" s="44"/>
      <c r="U6" s="237"/>
      <c r="V6" s="237">
        <v>1</v>
      </c>
      <c r="W6" s="237">
        <v>0.9</v>
      </c>
      <c r="X6" s="237">
        <v>0.8</v>
      </c>
      <c r="Y6" s="237">
        <v>0.7</v>
      </c>
      <c r="Z6" s="237">
        <v>0.6</v>
      </c>
      <c r="AA6" s="249" t="s">
        <v>39</v>
      </c>
      <c r="AB6" s="241"/>
    </row>
    <row r="7" spans="1:56" s="1" customFormat="1" ht="15" customHeight="1">
      <c r="A7" s="45"/>
      <c r="B7" s="4" t="s">
        <v>7</v>
      </c>
      <c r="C7" s="4"/>
      <c r="D7" s="4" t="s">
        <v>1</v>
      </c>
      <c r="E7" s="211">
        <v>200</v>
      </c>
      <c r="F7" s="4"/>
      <c r="G7" s="7" t="s">
        <v>13</v>
      </c>
      <c r="H7" s="25"/>
      <c r="J7" s="38" t="s">
        <v>10</v>
      </c>
      <c r="K7" s="25"/>
      <c r="L7" s="25" t="s">
        <v>1</v>
      </c>
      <c r="M7" s="76">
        <f>1-($M$6/3)</f>
        <v>0.8831168831168832</v>
      </c>
      <c r="N7" s="25"/>
      <c r="O7" s="43"/>
      <c r="P7" s="44"/>
      <c r="U7" s="238"/>
      <c r="V7" s="238"/>
      <c r="W7" s="238"/>
      <c r="X7" s="238"/>
      <c r="Y7" s="238"/>
      <c r="Z7" s="238"/>
      <c r="AA7" s="250"/>
      <c r="AB7" s="242"/>
      <c r="AE7" s="35" t="s">
        <v>0</v>
      </c>
      <c r="AF7" s="114" t="s">
        <v>56</v>
      </c>
      <c r="AG7" s="115" t="s">
        <v>57</v>
      </c>
      <c r="AH7" s="10" t="s">
        <v>58</v>
      </c>
      <c r="AI7" s="5" t="s">
        <v>59</v>
      </c>
      <c r="AJ7" s="116" t="s">
        <v>60</v>
      </c>
      <c r="AL7" s="35" t="s">
        <v>0</v>
      </c>
      <c r="AM7" s="114" t="s">
        <v>56</v>
      </c>
      <c r="AN7" s="115" t="s">
        <v>57</v>
      </c>
      <c r="AO7" s="10" t="s">
        <v>58</v>
      </c>
      <c r="AP7" s="5" t="s">
        <v>59</v>
      </c>
      <c r="AQ7" s="116" t="s">
        <v>60</v>
      </c>
      <c r="AY7" s="35" t="s">
        <v>0</v>
      </c>
      <c r="AZ7" s="114" t="s">
        <v>56</v>
      </c>
      <c r="BA7" s="115" t="s">
        <v>57</v>
      </c>
      <c r="BB7" s="10" t="s">
        <v>58</v>
      </c>
      <c r="BC7" s="5" t="s">
        <v>59</v>
      </c>
      <c r="BD7" s="116" t="s">
        <v>60</v>
      </c>
    </row>
    <row r="8" spans="1:56" s="1" customFormat="1" ht="15" customHeight="1">
      <c r="A8" s="45"/>
      <c r="B8" s="4" t="s">
        <v>16</v>
      </c>
      <c r="C8" s="4"/>
      <c r="D8" s="4" t="s">
        <v>1</v>
      </c>
      <c r="E8" s="117">
        <v>2040000</v>
      </c>
      <c r="F8" s="4"/>
      <c r="G8" s="7" t="s">
        <v>13</v>
      </c>
      <c r="H8" s="25"/>
      <c r="I8" s="25"/>
      <c r="J8" s="38" t="s">
        <v>17</v>
      </c>
      <c r="K8" s="25"/>
      <c r="L8" s="25" t="s">
        <v>1</v>
      </c>
      <c r="M8" s="49">
        <f>ROUND($E$29*$M$6*$M$7/2,2)</f>
        <v>13.93</v>
      </c>
      <c r="N8" s="25"/>
      <c r="O8" s="43" t="s">
        <v>68</v>
      </c>
      <c r="P8" s="44"/>
      <c r="U8" s="73" t="s">
        <v>41</v>
      </c>
      <c r="V8" s="17"/>
      <c r="W8" s="17"/>
      <c r="X8" s="17"/>
      <c r="Y8" s="17"/>
      <c r="Z8" s="17"/>
      <c r="AA8" s="17"/>
      <c r="AB8" s="70"/>
      <c r="AE8" s="103">
        <v>0.5</v>
      </c>
      <c r="AF8" s="104">
        <v>0.083</v>
      </c>
      <c r="AG8" s="104">
        <v>0.085</v>
      </c>
      <c r="AH8" s="104">
        <v>0.09</v>
      </c>
      <c r="AI8" s="104">
        <v>0.098</v>
      </c>
      <c r="AJ8" s="101">
        <v>0</v>
      </c>
      <c r="AL8" s="103">
        <v>0.5</v>
      </c>
      <c r="AM8" s="104">
        <v>0</v>
      </c>
      <c r="AN8" s="104">
        <v>0.042</v>
      </c>
      <c r="AO8" s="104">
        <v>0.045</v>
      </c>
      <c r="AP8" s="104">
        <v>0.049</v>
      </c>
      <c r="AQ8" s="101">
        <v>0.055</v>
      </c>
      <c r="AY8" s="103">
        <v>0.5</v>
      </c>
      <c r="AZ8" s="104">
        <v>0.062</v>
      </c>
      <c r="BA8" s="104">
        <v>0.064</v>
      </c>
      <c r="BB8" s="104">
        <v>0.068</v>
      </c>
      <c r="BC8" s="104">
        <v>0.074</v>
      </c>
      <c r="BD8" s="101">
        <v>0.083</v>
      </c>
    </row>
    <row r="9" spans="1:56" s="1" customFormat="1" ht="15" customHeight="1">
      <c r="A9" s="45"/>
      <c r="B9" s="4" t="s">
        <v>18</v>
      </c>
      <c r="C9" s="4"/>
      <c r="D9" s="4" t="s">
        <v>1</v>
      </c>
      <c r="E9" s="211">
        <v>2.5</v>
      </c>
      <c r="F9" s="4"/>
      <c r="G9" s="7" t="s">
        <v>6</v>
      </c>
      <c r="H9" s="25"/>
      <c r="I9" s="252" t="s">
        <v>70</v>
      </c>
      <c r="J9" s="252"/>
      <c r="K9" s="252"/>
      <c r="L9" s="46" t="s">
        <v>1</v>
      </c>
      <c r="M9" s="52">
        <f>SQRT($M$5/$M$8)</f>
        <v>5.563701454009438</v>
      </c>
      <c r="N9" s="25"/>
      <c r="O9" s="43" t="s">
        <v>69</v>
      </c>
      <c r="P9" s="44"/>
      <c r="U9" s="27" t="s">
        <v>46</v>
      </c>
      <c r="V9" s="17">
        <v>0.033</v>
      </c>
      <c r="W9" s="28">
        <v>0.04</v>
      </c>
      <c r="X9" s="17">
        <v>0.048</v>
      </c>
      <c r="Y9" s="17">
        <v>0.055</v>
      </c>
      <c r="Z9" s="17">
        <v>0.063</v>
      </c>
      <c r="AA9" s="17">
        <v>0.083</v>
      </c>
      <c r="AB9" s="70">
        <v>0.033</v>
      </c>
      <c r="AE9" s="33">
        <v>0.51</v>
      </c>
      <c r="AF9" s="64">
        <f aca="true" t="shared" si="0" ref="AF9:AF17">AF8-(0.01*($AF$8-$AF$18)/0.1)</f>
        <v>0.081</v>
      </c>
      <c r="AG9" s="64">
        <f aca="true" t="shared" si="1" ref="AG9:AG17">AG8-(0.01*($AG$8-$AG$18)/0.1)</f>
        <v>0.0834</v>
      </c>
      <c r="AH9" s="64">
        <f aca="true" t="shared" si="2" ref="AH9:AH17">AH8-(0.01*($AH$8-$AH$18)/0.1)</f>
        <v>0.08879999999999999</v>
      </c>
      <c r="AI9" s="64">
        <f aca="true" t="shared" si="3" ref="AI9:AI17">AI8-(0.01*($AI$8-$AI$18)/0.1)</f>
        <v>0.09720000000000001</v>
      </c>
      <c r="AJ9" s="31">
        <v>0</v>
      </c>
      <c r="AL9" s="33">
        <v>0.51</v>
      </c>
      <c r="AM9" s="64">
        <v>0</v>
      </c>
      <c r="AN9" s="64">
        <f aca="true" t="shared" si="4" ref="AN9:AN17">AN8-(0.01*($AN$8-$AN$18)/0.1)</f>
        <v>0.0413</v>
      </c>
      <c r="AO9" s="64">
        <f aca="true" t="shared" si="5" ref="AO9:AO17">AO8-(0.01*($AO$8-$AO$18)/0.1)</f>
        <v>0.044399999999999995</v>
      </c>
      <c r="AP9" s="64">
        <f aca="true" t="shared" si="6" ref="AP9:AP17">AP8-(0.01*($AP$8-$AP$18)/0.1)</f>
        <v>0.048600000000000004</v>
      </c>
      <c r="AQ9" s="31">
        <f aca="true" t="shared" si="7" ref="AQ9:AQ17">AQ8-(0.01*($AQ$8-$AQ$18)/0.1)</f>
        <v>0.0548</v>
      </c>
      <c r="AY9" s="33">
        <v>0.51</v>
      </c>
      <c r="AZ9" s="64">
        <f aca="true" t="shared" si="8" ref="AZ9:AZ17">AZ8-(0.01*($AF$8-$AF$18)/0.1)</f>
        <v>0.06</v>
      </c>
      <c r="BA9" s="64">
        <f aca="true" t="shared" si="9" ref="BA9:BA17">BA8-(0.01*($AG$8-$AG$18)/0.1)</f>
        <v>0.062400000000000004</v>
      </c>
      <c r="BB9" s="64">
        <f aca="true" t="shared" si="10" ref="BB9:BB17">BB8-(0.01*($AH$8-$AH$18)/0.1)</f>
        <v>0.0668</v>
      </c>
      <c r="BC9" s="64">
        <f aca="true" t="shared" si="11" ref="BC9:BC17">BC8-(0.01*($AI$8-$AI$18)/0.1)</f>
        <v>0.0732</v>
      </c>
      <c r="BD9" s="31">
        <v>0</v>
      </c>
    </row>
    <row r="10" spans="1:56" s="1" customFormat="1" ht="15" customHeight="1">
      <c r="A10" s="45"/>
      <c r="B10" s="25"/>
      <c r="C10" s="25"/>
      <c r="D10" s="25"/>
      <c r="E10" s="25"/>
      <c r="F10" s="25"/>
      <c r="G10" s="25"/>
      <c r="H10" s="25"/>
      <c r="I10" s="252" t="s">
        <v>74</v>
      </c>
      <c r="J10" s="252"/>
      <c r="K10" s="252"/>
      <c r="L10" s="1" t="s">
        <v>1</v>
      </c>
      <c r="M10" s="77">
        <f>+$E$17-$E$9-($E$5/20)</f>
        <v>7</v>
      </c>
      <c r="N10" s="25"/>
      <c r="O10" s="63" t="s">
        <v>69</v>
      </c>
      <c r="P10" s="44"/>
      <c r="U10" s="26" t="s">
        <v>47</v>
      </c>
      <c r="V10" s="17" t="s">
        <v>48</v>
      </c>
      <c r="W10" s="17" t="s">
        <v>48</v>
      </c>
      <c r="X10" s="17" t="s">
        <v>48</v>
      </c>
      <c r="Y10" s="17" t="s">
        <v>48</v>
      </c>
      <c r="Z10" s="17" t="s">
        <v>48</v>
      </c>
      <c r="AA10" s="17" t="s">
        <v>48</v>
      </c>
      <c r="AB10" s="70">
        <v>0</v>
      </c>
      <c r="AE10" s="33">
        <v>0.52</v>
      </c>
      <c r="AF10" s="64">
        <f t="shared" si="0"/>
        <v>0.079</v>
      </c>
      <c r="AG10" s="64">
        <f t="shared" si="1"/>
        <v>0.0818</v>
      </c>
      <c r="AH10" s="64">
        <f t="shared" si="2"/>
        <v>0.08759999999999998</v>
      </c>
      <c r="AI10" s="64">
        <f t="shared" si="3"/>
        <v>0.09640000000000001</v>
      </c>
      <c r="AJ10" s="31">
        <v>0</v>
      </c>
      <c r="AL10" s="33">
        <v>0.52</v>
      </c>
      <c r="AM10" s="64">
        <v>0</v>
      </c>
      <c r="AN10" s="64">
        <f t="shared" si="4"/>
        <v>0.040600000000000004</v>
      </c>
      <c r="AO10" s="64">
        <f t="shared" si="5"/>
        <v>0.04379999999999999</v>
      </c>
      <c r="AP10" s="64">
        <f t="shared" si="6"/>
        <v>0.04820000000000001</v>
      </c>
      <c r="AQ10" s="31">
        <f t="shared" si="7"/>
        <v>0.0546</v>
      </c>
      <c r="AY10" s="33">
        <v>0.52</v>
      </c>
      <c r="AZ10" s="64">
        <f t="shared" si="8"/>
        <v>0.057999999999999996</v>
      </c>
      <c r="BA10" s="64">
        <f t="shared" si="9"/>
        <v>0.06080000000000001</v>
      </c>
      <c r="BB10" s="64">
        <f t="shared" si="10"/>
        <v>0.06559999999999999</v>
      </c>
      <c r="BC10" s="64">
        <f t="shared" si="11"/>
        <v>0.0724</v>
      </c>
      <c r="BD10" s="31">
        <v>0</v>
      </c>
    </row>
    <row r="11" spans="1:56" s="1" customFormat="1" ht="15" customHeight="1">
      <c r="A11" s="123" t="s">
        <v>52</v>
      </c>
      <c r="B11" s="25"/>
      <c r="C11" s="25"/>
      <c r="D11" s="25"/>
      <c r="E11" s="25"/>
      <c r="F11" s="25"/>
      <c r="G11" s="25"/>
      <c r="H11" s="25"/>
      <c r="I11" s="252" t="s">
        <v>71</v>
      </c>
      <c r="J11" s="252"/>
      <c r="K11" s="252"/>
      <c r="L11" s="1" t="s">
        <v>1</v>
      </c>
      <c r="M11" s="77">
        <f>MAX($M$9,$M$10)</f>
        <v>7</v>
      </c>
      <c r="N11" s="43"/>
      <c r="O11" s="63" t="s">
        <v>69</v>
      </c>
      <c r="P11" s="44"/>
      <c r="U11" s="29" t="s">
        <v>42</v>
      </c>
      <c r="V11" s="18">
        <v>0.025</v>
      </c>
      <c r="W11" s="30">
        <v>0.03</v>
      </c>
      <c r="X11" s="18">
        <v>0.036</v>
      </c>
      <c r="Y11" s="18">
        <v>0.041</v>
      </c>
      <c r="Z11" s="18">
        <v>0.047</v>
      </c>
      <c r="AA11" s="18">
        <v>0.062</v>
      </c>
      <c r="AB11" s="71">
        <v>0.025</v>
      </c>
      <c r="AE11" s="33">
        <v>0.53</v>
      </c>
      <c r="AF11" s="64">
        <f t="shared" si="0"/>
        <v>0.077</v>
      </c>
      <c r="AG11" s="64">
        <f t="shared" si="1"/>
        <v>0.0802</v>
      </c>
      <c r="AH11" s="64">
        <f t="shared" si="2"/>
        <v>0.08639999999999998</v>
      </c>
      <c r="AI11" s="64">
        <f t="shared" si="3"/>
        <v>0.09560000000000002</v>
      </c>
      <c r="AJ11" s="31">
        <v>0</v>
      </c>
      <c r="AL11" s="33">
        <v>0.53</v>
      </c>
      <c r="AM11" s="64">
        <v>0</v>
      </c>
      <c r="AN11" s="64">
        <f t="shared" si="4"/>
        <v>0.039900000000000005</v>
      </c>
      <c r="AO11" s="64">
        <f t="shared" si="5"/>
        <v>0.04319999999999999</v>
      </c>
      <c r="AP11" s="64">
        <f t="shared" si="6"/>
        <v>0.04780000000000001</v>
      </c>
      <c r="AQ11" s="31">
        <f t="shared" si="7"/>
        <v>0.054400000000000004</v>
      </c>
      <c r="AY11" s="33">
        <v>0.53</v>
      </c>
      <c r="AZ11" s="64">
        <f t="shared" si="8"/>
        <v>0.055999999999999994</v>
      </c>
      <c r="BA11" s="64">
        <f t="shared" si="9"/>
        <v>0.05920000000000001</v>
      </c>
      <c r="BB11" s="64">
        <f t="shared" si="10"/>
        <v>0.06439999999999999</v>
      </c>
      <c r="BC11" s="64">
        <f t="shared" si="11"/>
        <v>0.07160000000000001</v>
      </c>
      <c r="BD11" s="31">
        <v>0</v>
      </c>
    </row>
    <row r="12" spans="1:56" s="1" customFormat="1" ht="15" customHeight="1">
      <c r="A12" s="45"/>
      <c r="B12" s="4" t="s">
        <v>119</v>
      </c>
      <c r="C12" s="4"/>
      <c r="D12" s="4" t="s">
        <v>1</v>
      </c>
      <c r="E12" s="213">
        <v>2</v>
      </c>
      <c r="F12" s="25"/>
      <c r="G12" s="25"/>
      <c r="H12" s="25"/>
      <c r="I12" s="253" t="s">
        <v>79</v>
      </c>
      <c r="J12" s="253"/>
      <c r="K12" s="253"/>
      <c r="L12" s="1" t="s">
        <v>1</v>
      </c>
      <c r="M12" s="79">
        <f>+$M$11</f>
        <v>7</v>
      </c>
      <c r="O12" s="63" t="s">
        <v>69</v>
      </c>
      <c r="P12" s="44"/>
      <c r="U12" s="73" t="s">
        <v>43</v>
      </c>
      <c r="V12" s="17"/>
      <c r="W12" s="17"/>
      <c r="X12" s="17"/>
      <c r="Y12" s="17"/>
      <c r="Z12" s="17"/>
      <c r="AA12" s="17"/>
      <c r="AB12" s="70"/>
      <c r="AE12" s="33">
        <v>0.54</v>
      </c>
      <c r="AF12" s="64">
        <f t="shared" si="0"/>
        <v>0.075</v>
      </c>
      <c r="AG12" s="64">
        <f t="shared" si="1"/>
        <v>0.07859999999999999</v>
      </c>
      <c r="AH12" s="64">
        <f t="shared" si="2"/>
        <v>0.08519999999999997</v>
      </c>
      <c r="AI12" s="64">
        <f t="shared" si="3"/>
        <v>0.09480000000000002</v>
      </c>
      <c r="AJ12" s="31">
        <v>0</v>
      </c>
      <c r="AL12" s="33">
        <v>0.54</v>
      </c>
      <c r="AM12" s="64">
        <v>0</v>
      </c>
      <c r="AN12" s="64">
        <f t="shared" si="4"/>
        <v>0.039200000000000006</v>
      </c>
      <c r="AO12" s="64">
        <f t="shared" si="5"/>
        <v>0.042599999999999985</v>
      </c>
      <c r="AP12" s="64">
        <f t="shared" si="6"/>
        <v>0.04740000000000001</v>
      </c>
      <c r="AQ12" s="31">
        <f t="shared" si="7"/>
        <v>0.054200000000000005</v>
      </c>
      <c r="AY12" s="33">
        <v>0.54</v>
      </c>
      <c r="AZ12" s="64">
        <f t="shared" si="8"/>
        <v>0.05399999999999999</v>
      </c>
      <c r="BA12" s="64">
        <f t="shared" si="9"/>
        <v>0.05760000000000001</v>
      </c>
      <c r="BB12" s="64">
        <f t="shared" si="10"/>
        <v>0.06319999999999998</v>
      </c>
      <c r="BC12" s="64">
        <f t="shared" si="11"/>
        <v>0.07080000000000002</v>
      </c>
      <c r="BD12" s="31">
        <v>0</v>
      </c>
    </row>
    <row r="13" spans="1:56" s="1" customFormat="1" ht="15" customHeight="1">
      <c r="A13" s="45"/>
      <c r="B13" s="25" t="s">
        <v>63</v>
      </c>
      <c r="C13" s="25"/>
      <c r="D13" s="25" t="s">
        <v>1</v>
      </c>
      <c r="E13" s="211">
        <v>4</v>
      </c>
      <c r="F13" s="25"/>
      <c r="G13" s="43" t="s">
        <v>0</v>
      </c>
      <c r="H13" s="25"/>
      <c r="I13" s="253" t="s">
        <v>75</v>
      </c>
      <c r="J13" s="253"/>
      <c r="K13" s="253"/>
      <c r="L13" s="1" t="s">
        <v>1</v>
      </c>
      <c r="M13" s="79">
        <f>+$E$17-$E$9-($E$35/10)-($E$36/20)</f>
        <v>6</v>
      </c>
      <c r="O13" s="63" t="s">
        <v>69</v>
      </c>
      <c r="P13" s="44"/>
      <c r="U13" s="27" t="s">
        <v>46</v>
      </c>
      <c r="V13" s="17">
        <v>0.041</v>
      </c>
      <c r="W13" s="17">
        <v>0.048</v>
      </c>
      <c r="X13" s="17">
        <v>0.055</v>
      </c>
      <c r="Y13" s="17">
        <v>0.062</v>
      </c>
      <c r="Z13" s="17">
        <v>0.069</v>
      </c>
      <c r="AA13" s="17">
        <v>0.085</v>
      </c>
      <c r="AB13" s="70">
        <v>0.041</v>
      </c>
      <c r="AE13" s="102">
        <v>0.55</v>
      </c>
      <c r="AF13" s="100">
        <f t="shared" si="0"/>
        <v>0.073</v>
      </c>
      <c r="AG13" s="100">
        <f t="shared" si="1"/>
        <v>0.07699999999999999</v>
      </c>
      <c r="AH13" s="100">
        <f t="shared" si="2"/>
        <v>0.08399999999999996</v>
      </c>
      <c r="AI13" s="100">
        <f t="shared" si="3"/>
        <v>0.09400000000000003</v>
      </c>
      <c r="AJ13" s="101">
        <v>0</v>
      </c>
      <c r="AL13" s="102">
        <v>0.55</v>
      </c>
      <c r="AM13" s="100">
        <v>0</v>
      </c>
      <c r="AN13" s="100">
        <f t="shared" si="4"/>
        <v>0.038500000000000006</v>
      </c>
      <c r="AO13" s="100">
        <f t="shared" si="5"/>
        <v>0.04199999999999998</v>
      </c>
      <c r="AP13" s="100">
        <f t="shared" si="6"/>
        <v>0.047000000000000014</v>
      </c>
      <c r="AQ13" s="101">
        <f t="shared" si="7"/>
        <v>0.054000000000000006</v>
      </c>
      <c r="AY13" s="102">
        <v>0.55</v>
      </c>
      <c r="AZ13" s="100">
        <f t="shared" si="8"/>
        <v>0.05199999999999999</v>
      </c>
      <c r="BA13" s="100">
        <f t="shared" si="9"/>
        <v>0.056000000000000015</v>
      </c>
      <c r="BB13" s="100">
        <f t="shared" si="10"/>
        <v>0.06199999999999998</v>
      </c>
      <c r="BC13" s="100">
        <f t="shared" si="11"/>
        <v>0.07000000000000002</v>
      </c>
      <c r="BD13" s="101">
        <v>0</v>
      </c>
    </row>
    <row r="14" spans="1:56" s="1" customFormat="1" ht="15" customHeight="1">
      <c r="A14" s="45"/>
      <c r="B14" s="25" t="s">
        <v>64</v>
      </c>
      <c r="C14" s="25"/>
      <c r="D14" s="25" t="s">
        <v>1</v>
      </c>
      <c r="E14" s="211">
        <v>5</v>
      </c>
      <c r="F14" s="25"/>
      <c r="G14" s="43" t="s">
        <v>0</v>
      </c>
      <c r="H14" s="25"/>
      <c r="P14" s="44"/>
      <c r="U14" s="26" t="s">
        <v>47</v>
      </c>
      <c r="V14" s="17">
        <v>0.021</v>
      </c>
      <c r="W14" s="17">
        <v>0.024</v>
      </c>
      <c r="X14" s="17">
        <v>0.027</v>
      </c>
      <c r="Y14" s="17">
        <v>0.031</v>
      </c>
      <c r="Z14" s="17">
        <v>0.035</v>
      </c>
      <c r="AA14" s="17">
        <v>0.042</v>
      </c>
      <c r="AB14" s="70">
        <v>0.021</v>
      </c>
      <c r="AE14" s="33">
        <v>0.56</v>
      </c>
      <c r="AF14" s="64">
        <f t="shared" si="0"/>
        <v>0.071</v>
      </c>
      <c r="AG14" s="64">
        <f t="shared" si="1"/>
        <v>0.07539999999999998</v>
      </c>
      <c r="AH14" s="64">
        <f t="shared" si="2"/>
        <v>0.08279999999999996</v>
      </c>
      <c r="AI14" s="64">
        <f t="shared" si="3"/>
        <v>0.09320000000000003</v>
      </c>
      <c r="AJ14" s="31">
        <v>0</v>
      </c>
      <c r="AL14" s="33">
        <v>0.56</v>
      </c>
      <c r="AM14" s="64">
        <v>0</v>
      </c>
      <c r="AN14" s="64">
        <f t="shared" si="4"/>
        <v>0.03780000000000001</v>
      </c>
      <c r="AO14" s="64">
        <f t="shared" si="5"/>
        <v>0.04139999999999998</v>
      </c>
      <c r="AP14" s="64">
        <f t="shared" si="6"/>
        <v>0.046600000000000016</v>
      </c>
      <c r="AQ14" s="31">
        <f t="shared" si="7"/>
        <v>0.05380000000000001</v>
      </c>
      <c r="AY14" s="33">
        <v>0.56</v>
      </c>
      <c r="AZ14" s="64">
        <f t="shared" si="8"/>
        <v>0.04999999999999999</v>
      </c>
      <c r="BA14" s="64">
        <f t="shared" si="9"/>
        <v>0.05440000000000002</v>
      </c>
      <c r="BB14" s="64">
        <f t="shared" si="10"/>
        <v>0.06079999999999998</v>
      </c>
      <c r="BC14" s="64">
        <f t="shared" si="11"/>
        <v>0.06920000000000003</v>
      </c>
      <c r="BD14" s="31">
        <v>0</v>
      </c>
    </row>
    <row r="15" spans="1:56" s="1" customFormat="1" ht="23.25" customHeight="1">
      <c r="A15" s="45"/>
      <c r="B15" s="4" t="s">
        <v>65</v>
      </c>
      <c r="C15" s="4"/>
      <c r="D15" s="4" t="s">
        <v>1</v>
      </c>
      <c r="E15" s="147">
        <f>TRUNC($E$13/$E$14,2)</f>
        <v>0.8</v>
      </c>
      <c r="F15" s="4"/>
      <c r="G15" s="4"/>
      <c r="H15" s="25"/>
      <c r="I15" s="62"/>
      <c r="J15" s="272" t="s">
        <v>81</v>
      </c>
      <c r="K15" s="255"/>
      <c r="L15" s="256"/>
      <c r="M15" s="272" t="s">
        <v>82</v>
      </c>
      <c r="N15" s="255"/>
      <c r="O15" s="256"/>
      <c r="P15" s="44"/>
      <c r="U15" s="29" t="s">
        <v>42</v>
      </c>
      <c r="V15" s="18">
        <v>0.031</v>
      </c>
      <c r="W15" s="18">
        <v>0.036</v>
      </c>
      <c r="X15" s="18">
        <v>0.041</v>
      </c>
      <c r="Y15" s="18">
        <v>0.047</v>
      </c>
      <c r="Z15" s="18">
        <v>0.052</v>
      </c>
      <c r="AA15" s="18">
        <v>0.064</v>
      </c>
      <c r="AB15" s="71">
        <v>0.031</v>
      </c>
      <c r="AE15" s="33">
        <v>0.57</v>
      </c>
      <c r="AF15" s="64">
        <f t="shared" si="0"/>
        <v>0.06899999999999999</v>
      </c>
      <c r="AG15" s="64">
        <f t="shared" si="1"/>
        <v>0.07379999999999998</v>
      </c>
      <c r="AH15" s="64">
        <f t="shared" si="2"/>
        <v>0.08159999999999995</v>
      </c>
      <c r="AI15" s="64">
        <f t="shared" si="3"/>
        <v>0.09240000000000004</v>
      </c>
      <c r="AJ15" s="31">
        <v>0</v>
      </c>
      <c r="AL15" s="33">
        <v>0.57</v>
      </c>
      <c r="AM15" s="64">
        <v>0</v>
      </c>
      <c r="AN15" s="64">
        <f t="shared" si="4"/>
        <v>0.03710000000000001</v>
      </c>
      <c r="AO15" s="64">
        <f t="shared" si="5"/>
        <v>0.040799999999999975</v>
      </c>
      <c r="AP15" s="64">
        <f t="shared" si="6"/>
        <v>0.04620000000000002</v>
      </c>
      <c r="AQ15" s="31">
        <f t="shared" si="7"/>
        <v>0.05360000000000001</v>
      </c>
      <c r="AY15" s="33">
        <v>0.57</v>
      </c>
      <c r="AZ15" s="64">
        <f t="shared" si="8"/>
        <v>0.04799999999999999</v>
      </c>
      <c r="BA15" s="64">
        <f t="shared" si="9"/>
        <v>0.05280000000000002</v>
      </c>
      <c r="BB15" s="64">
        <f t="shared" si="10"/>
        <v>0.05959999999999998</v>
      </c>
      <c r="BC15" s="64">
        <f t="shared" si="11"/>
        <v>0.06840000000000003</v>
      </c>
      <c r="BD15" s="31">
        <v>0</v>
      </c>
    </row>
    <row r="16" spans="1:56" s="1" customFormat="1" ht="21">
      <c r="A16" s="45"/>
      <c r="B16" s="4" t="s">
        <v>78</v>
      </c>
      <c r="C16" s="4"/>
      <c r="D16" s="4" t="s">
        <v>1</v>
      </c>
      <c r="E16" s="148">
        <f>MAX(($E$13+$E$14)*100/90,8)</f>
        <v>10</v>
      </c>
      <c r="F16" s="4"/>
      <c r="G16" s="7" t="s">
        <v>6</v>
      </c>
      <c r="H16" s="25"/>
      <c r="I16" s="29"/>
      <c r="J16" s="132" t="s">
        <v>21</v>
      </c>
      <c r="K16" s="135" t="s">
        <v>22</v>
      </c>
      <c r="L16" s="134" t="s">
        <v>20</v>
      </c>
      <c r="M16" s="132" t="s">
        <v>21</v>
      </c>
      <c r="N16" s="135" t="s">
        <v>22</v>
      </c>
      <c r="O16" s="140" t="s">
        <v>20</v>
      </c>
      <c r="P16" s="44"/>
      <c r="U16" s="73" t="s">
        <v>44</v>
      </c>
      <c r="V16" s="17"/>
      <c r="W16" s="17"/>
      <c r="X16" s="17"/>
      <c r="Y16" s="17"/>
      <c r="Z16" s="17"/>
      <c r="AA16" s="17"/>
      <c r="AB16" s="70"/>
      <c r="AE16" s="33">
        <v>0.58</v>
      </c>
      <c r="AF16" s="64">
        <f t="shared" si="0"/>
        <v>0.06699999999999999</v>
      </c>
      <c r="AG16" s="64">
        <f t="shared" si="1"/>
        <v>0.07219999999999997</v>
      </c>
      <c r="AH16" s="64">
        <f t="shared" si="2"/>
        <v>0.08039999999999994</v>
      </c>
      <c r="AI16" s="64">
        <f t="shared" si="3"/>
        <v>0.09160000000000004</v>
      </c>
      <c r="AJ16" s="31">
        <v>0</v>
      </c>
      <c r="AL16" s="33">
        <v>0.58</v>
      </c>
      <c r="AM16" s="64">
        <v>0</v>
      </c>
      <c r="AN16" s="64">
        <f t="shared" si="4"/>
        <v>0.03640000000000001</v>
      </c>
      <c r="AO16" s="64">
        <f t="shared" si="5"/>
        <v>0.04019999999999997</v>
      </c>
      <c r="AP16" s="64">
        <f t="shared" si="6"/>
        <v>0.04580000000000002</v>
      </c>
      <c r="AQ16" s="31">
        <f t="shared" si="7"/>
        <v>0.05340000000000001</v>
      </c>
      <c r="AY16" s="33">
        <v>0.58</v>
      </c>
      <c r="AZ16" s="64">
        <f t="shared" si="8"/>
        <v>0.045999999999999985</v>
      </c>
      <c r="BA16" s="64">
        <f t="shared" si="9"/>
        <v>0.05120000000000002</v>
      </c>
      <c r="BB16" s="64">
        <f t="shared" si="10"/>
        <v>0.05839999999999998</v>
      </c>
      <c r="BC16" s="64">
        <f t="shared" si="11"/>
        <v>0.06760000000000004</v>
      </c>
      <c r="BD16" s="31">
        <v>0</v>
      </c>
    </row>
    <row r="17" spans="1:56" s="1" customFormat="1" ht="20.25" customHeight="1">
      <c r="A17" s="45"/>
      <c r="B17" s="4" t="s">
        <v>120</v>
      </c>
      <c r="C17" s="4"/>
      <c r="D17" s="4" t="s">
        <v>1</v>
      </c>
      <c r="E17" s="214">
        <v>10</v>
      </c>
      <c r="F17" s="4"/>
      <c r="G17" s="7" t="s">
        <v>6</v>
      </c>
      <c r="H17" s="25"/>
      <c r="I17" s="60" t="s">
        <v>118</v>
      </c>
      <c r="J17" s="22">
        <f>+IF($E$12=1,$AM$62,IF($E$12=2,$AN$62,IF($E$12=3,$AO$62,IF($E$12=4,$AP$62,IF($E$12=5,$AQ$62,0)))))</f>
        <v>0.027</v>
      </c>
      <c r="K17" s="22">
        <f>+IF($E$12=1,$AZ$62,IF($E$12=2,$BA$62,IF($E$12=3,$BB$62,IF($E$12=4,$BC$62,IF($E$12=5,$BD$62,0)))))</f>
        <v>0.041</v>
      </c>
      <c r="L17" s="22">
        <f>+IF($E$12=1,$AF$62,IF($E$12=2,$AG$62,IF($E$12=3,$AH$62,IF($E$12=4,$AI$62,IF($E$12=5,$AJ$62,0)))))</f>
        <v>0.055</v>
      </c>
      <c r="M17" s="22">
        <f>+IF($E$12=1,$AB$10,IF($E$12=2,$AB$14,IF($E$12=3,$AB$18,IF($E$12=4,$AB$22,IF($E$12=5,$AB$26,0)))))</f>
        <v>0.021</v>
      </c>
      <c r="N17" s="22">
        <f>+IF($E$12=1,$AB$11,IF($E$12=2,$AB$15,IF($E$12=3,$AB$19,IF($E$12=4,$AB$23,IF($E$12=5,$AB$27,0)))))</f>
        <v>0.031</v>
      </c>
      <c r="O17" s="22">
        <f>+IF($E$12=1,$AB$9,IF($E$12=2,$AB$13,IF($E$12=3,$AB$17,IF($E$12=4,$AB$21,IF($E$12=5,$AB$25,0)))))</f>
        <v>0.041</v>
      </c>
      <c r="P17" s="44"/>
      <c r="U17" s="27" t="s">
        <v>46</v>
      </c>
      <c r="V17" s="17">
        <v>0.049</v>
      </c>
      <c r="W17" s="17">
        <v>0.057</v>
      </c>
      <c r="X17" s="17">
        <v>0.064</v>
      </c>
      <c r="Y17" s="17">
        <v>0.071</v>
      </c>
      <c r="Z17" s="17">
        <v>0.078</v>
      </c>
      <c r="AA17" s="28">
        <v>0.09</v>
      </c>
      <c r="AB17" s="70">
        <v>0.049</v>
      </c>
      <c r="AE17" s="33">
        <v>0.59</v>
      </c>
      <c r="AF17" s="64">
        <f t="shared" si="0"/>
        <v>0.06499999999999999</v>
      </c>
      <c r="AG17" s="64">
        <f t="shared" si="1"/>
        <v>0.07059999999999997</v>
      </c>
      <c r="AH17" s="64">
        <f t="shared" si="2"/>
        <v>0.07919999999999994</v>
      </c>
      <c r="AI17" s="64">
        <f t="shared" si="3"/>
        <v>0.09080000000000005</v>
      </c>
      <c r="AJ17" s="31">
        <v>0</v>
      </c>
      <c r="AL17" s="33">
        <v>0.59</v>
      </c>
      <c r="AM17" s="64">
        <v>0</v>
      </c>
      <c r="AN17" s="64">
        <f t="shared" si="4"/>
        <v>0.03570000000000001</v>
      </c>
      <c r="AO17" s="64">
        <f t="shared" si="5"/>
        <v>0.03959999999999997</v>
      </c>
      <c r="AP17" s="64">
        <f t="shared" si="6"/>
        <v>0.045400000000000024</v>
      </c>
      <c r="AQ17" s="31">
        <f t="shared" si="7"/>
        <v>0.05320000000000001</v>
      </c>
      <c r="AY17" s="33">
        <v>0.59</v>
      </c>
      <c r="AZ17" s="64">
        <f t="shared" si="8"/>
        <v>0.043999999999999984</v>
      </c>
      <c r="BA17" s="64">
        <f t="shared" si="9"/>
        <v>0.049600000000000026</v>
      </c>
      <c r="BB17" s="64">
        <f t="shared" si="10"/>
        <v>0.05719999999999998</v>
      </c>
      <c r="BC17" s="64">
        <f t="shared" si="11"/>
        <v>0.06680000000000004</v>
      </c>
      <c r="BD17" s="31">
        <v>0</v>
      </c>
    </row>
    <row r="18" spans="1:56" s="1" customFormat="1" ht="21">
      <c r="A18" s="45"/>
      <c r="H18" s="25"/>
      <c r="I18" s="61" t="s">
        <v>112</v>
      </c>
      <c r="J18" s="23">
        <f>$J$17*$E$25*$E$13^2</f>
        <v>211.68</v>
      </c>
      <c r="K18" s="23">
        <f>$K$17*$E$25*$E$13^2</f>
        <v>321.44</v>
      </c>
      <c r="L18" s="23">
        <f>$L$17*$E$25*$E$13^2</f>
        <v>431.2</v>
      </c>
      <c r="M18" s="23">
        <f>$M$17*$E$25*$E$13^2</f>
        <v>164.64000000000001</v>
      </c>
      <c r="N18" s="23">
        <f>$N$17*$E$25*$E$13^2</f>
        <v>243.04</v>
      </c>
      <c r="O18" s="23">
        <f>$O$17*$E$25*$E$13^2</f>
        <v>321.44</v>
      </c>
      <c r="P18" s="44"/>
      <c r="U18" s="26" t="s">
        <v>47</v>
      </c>
      <c r="V18" s="17">
        <v>0.025</v>
      </c>
      <c r="W18" s="17">
        <v>0.028</v>
      </c>
      <c r="X18" s="17">
        <v>0.032</v>
      </c>
      <c r="Y18" s="17">
        <v>0.036</v>
      </c>
      <c r="Z18" s="17">
        <v>0.039</v>
      </c>
      <c r="AA18" s="17">
        <v>0.045</v>
      </c>
      <c r="AB18" s="70">
        <v>0.025</v>
      </c>
      <c r="AE18" s="103">
        <v>0.6</v>
      </c>
      <c r="AF18" s="104">
        <v>0.063</v>
      </c>
      <c r="AG18" s="104">
        <v>0.069</v>
      </c>
      <c r="AH18" s="100">
        <v>0.078</v>
      </c>
      <c r="AI18" s="100">
        <v>0.09</v>
      </c>
      <c r="AJ18" s="101">
        <v>0</v>
      </c>
      <c r="AL18" s="103">
        <v>0.6</v>
      </c>
      <c r="AM18" s="104">
        <v>0</v>
      </c>
      <c r="AN18" s="104">
        <v>0.035</v>
      </c>
      <c r="AO18" s="100">
        <v>0.039</v>
      </c>
      <c r="AP18" s="100">
        <v>0.045</v>
      </c>
      <c r="AQ18" s="101">
        <v>0.053</v>
      </c>
      <c r="AY18" s="103">
        <v>0.6</v>
      </c>
      <c r="AZ18" s="104">
        <v>0.047</v>
      </c>
      <c r="BA18" s="104">
        <v>0.052</v>
      </c>
      <c r="BB18" s="100">
        <v>0.059</v>
      </c>
      <c r="BC18" s="100">
        <v>0.068</v>
      </c>
      <c r="BD18" s="101">
        <v>0.08</v>
      </c>
    </row>
    <row r="19" spans="1:56" s="1" customFormat="1" ht="20.25" customHeight="1">
      <c r="A19" s="124" t="s">
        <v>32</v>
      </c>
      <c r="B19" s="7"/>
      <c r="C19" s="7"/>
      <c r="D19" s="14"/>
      <c r="E19" s="7"/>
      <c r="F19" s="7"/>
      <c r="G19" s="7"/>
      <c r="H19" s="25"/>
      <c r="I19" s="80" t="s">
        <v>114</v>
      </c>
      <c r="J19" s="110">
        <f>$J$18*100/($E$30*$M$7*$M$12)</f>
        <v>2.2828235294117643</v>
      </c>
      <c r="K19" s="110">
        <f>$K$18*100/($E$30*$M$7*$M$12)</f>
        <v>3.4665098039215683</v>
      </c>
      <c r="L19" s="110">
        <f>$L$18*100/($E$30*$M$7*$M$12)</f>
        <v>4.650196078431372</v>
      </c>
      <c r="M19" s="110">
        <f>$M$18*100/($E$30*$M$7*$M$13)</f>
        <v>2.071450980392157</v>
      </c>
      <c r="N19" s="110">
        <f>$N$18*100/($E$30*$M$7*$M$13)</f>
        <v>3.0578562091503265</v>
      </c>
      <c r="O19" s="110">
        <f>$O$18*100/($E$30*$M$7*$M$13)</f>
        <v>4.044261437908497</v>
      </c>
      <c r="P19" s="44"/>
      <c r="U19" s="29" t="s">
        <v>42</v>
      </c>
      <c r="V19" s="18">
        <v>0.037</v>
      </c>
      <c r="W19" s="18">
        <v>0.043</v>
      </c>
      <c r="X19" s="18">
        <v>0.048</v>
      </c>
      <c r="Y19" s="18">
        <v>0.054</v>
      </c>
      <c r="Z19" s="18">
        <v>0.059</v>
      </c>
      <c r="AA19" s="18">
        <v>0.068</v>
      </c>
      <c r="AB19" s="71">
        <v>0.037</v>
      </c>
      <c r="AE19" s="33">
        <v>0.61</v>
      </c>
      <c r="AF19" s="64">
        <f aca="true" t="shared" si="12" ref="AF19:AF27">AF18-(0.01*($AF$18-$AF$28)/0.1)</f>
        <v>0.0622</v>
      </c>
      <c r="AG19" s="64">
        <f aca="true" t="shared" si="13" ref="AG19:AG27">AG18-(0.01*($AG$18-$AG$28)/0.1)</f>
        <v>0.0683</v>
      </c>
      <c r="AH19" s="64">
        <f aca="true" t="shared" si="14" ref="AH19:AH27">AH18-(0.01*($AH$18-$AH$28)/0.1)</f>
        <v>0.0773</v>
      </c>
      <c r="AI19" s="64">
        <f aca="true" t="shared" si="15" ref="AI19:AI27">AI18-(0.01*($AI$18-$AI$28)/0.1)</f>
        <v>0.0892</v>
      </c>
      <c r="AJ19" s="31">
        <v>0</v>
      </c>
      <c r="AL19" s="33">
        <v>0.61</v>
      </c>
      <c r="AM19" s="64">
        <v>0</v>
      </c>
      <c r="AN19" s="64">
        <f aca="true" t="shared" si="16" ref="AN19:AN27">AN18-(0.01*($AN$18-$AN$28)/0.1)</f>
        <v>0.034600000000000006</v>
      </c>
      <c r="AO19" s="64">
        <f aca="true" t="shared" si="17" ref="AO19:AO27">AO18-(0.01*($AO$18-$AO$28)/0.1)</f>
        <v>0.0387</v>
      </c>
      <c r="AP19" s="64">
        <f aca="true" t="shared" si="18" ref="AP19:AP27">AP18-(0.01*($AP$18-$AP$28)/0.1)</f>
        <v>0.0446</v>
      </c>
      <c r="AQ19" s="31">
        <f aca="true" t="shared" si="19" ref="AQ19:AQ27">AQ18-(0.01*($AQ$18-$AQ$28)/0.1)</f>
        <v>0.0524</v>
      </c>
      <c r="AY19" s="33">
        <v>0.61</v>
      </c>
      <c r="AZ19" s="64">
        <f aca="true" t="shared" si="20" ref="AZ19:AZ27">AZ18-(0.01*($AF$18-$AF$28)/0.1)</f>
        <v>0.0462</v>
      </c>
      <c r="BA19" s="64">
        <f aca="true" t="shared" si="21" ref="BA19:BA27">BA18-(0.01*($AG$18-$AG$28)/0.1)</f>
        <v>0.0513</v>
      </c>
      <c r="BB19" s="64">
        <f aca="true" t="shared" si="22" ref="BB19:BB27">BB18-(0.01*($AH$18-$AH$28)/0.1)</f>
        <v>0.0583</v>
      </c>
      <c r="BC19" s="64">
        <f aca="true" t="shared" si="23" ref="BC19:BC27">BC18-(0.01*($AI$18-$AI$28)/0.1)</f>
        <v>0.06720000000000001</v>
      </c>
      <c r="BD19" s="31">
        <v>0</v>
      </c>
    </row>
    <row r="20" spans="1:56" s="1" customFormat="1" ht="21.75" customHeight="1">
      <c r="A20" s="51"/>
      <c r="B20" s="14" t="s">
        <v>121</v>
      </c>
      <c r="C20" s="7"/>
      <c r="D20" s="14" t="s">
        <v>1</v>
      </c>
      <c r="E20" s="149">
        <f>2400*$E$17/100</f>
        <v>240</v>
      </c>
      <c r="F20" s="7"/>
      <c r="G20" s="7" t="s">
        <v>94</v>
      </c>
      <c r="H20" s="25"/>
      <c r="I20" s="61" t="s">
        <v>113</v>
      </c>
      <c r="J20" s="24">
        <f>IF($E$4="SR-24",0.0025*100*$M$12,0.002*100*$M$12)</f>
        <v>1.4000000000000001</v>
      </c>
      <c r="K20" s="24">
        <f>IF($F$4="SR-24",0.0025*100*$N$12,0.002*100*$M$12)</f>
        <v>1.4000000000000001</v>
      </c>
      <c r="L20" s="24">
        <f>IF($G$4="SR-24",0.0025*100*$O$12,0.002*100*$M$12)</f>
        <v>1.4000000000000001</v>
      </c>
      <c r="M20" s="24">
        <f>IF($H$4="SR-24",0.0025*100*$P$12,0.002*100*$M$13)</f>
        <v>1.2000000000000002</v>
      </c>
      <c r="N20" s="24">
        <f>IF($I$4="SR-24",0.0025*100*$Q$12,0.002*100*$M$13)</f>
        <v>1.2000000000000002</v>
      </c>
      <c r="O20" s="24">
        <f>IF($J$4="SR-24",0.0025*100*$R$12,0.002*100*$M$13)</f>
        <v>1.2000000000000002</v>
      </c>
      <c r="P20" s="44"/>
      <c r="U20" s="73" t="s">
        <v>45</v>
      </c>
      <c r="V20" s="17"/>
      <c r="W20" s="17"/>
      <c r="X20" s="17"/>
      <c r="Y20" s="17"/>
      <c r="Z20" s="17"/>
      <c r="AA20" s="17"/>
      <c r="AB20" s="70"/>
      <c r="AE20" s="33">
        <v>0.62</v>
      </c>
      <c r="AF20" s="64">
        <f t="shared" si="12"/>
        <v>0.061399999999999996</v>
      </c>
      <c r="AG20" s="64">
        <f t="shared" si="13"/>
        <v>0.0676</v>
      </c>
      <c r="AH20" s="64">
        <f t="shared" si="14"/>
        <v>0.07659999999999999</v>
      </c>
      <c r="AI20" s="64">
        <f t="shared" si="15"/>
        <v>0.0884</v>
      </c>
      <c r="AJ20" s="31">
        <v>0</v>
      </c>
      <c r="AL20" s="33">
        <v>0.62</v>
      </c>
      <c r="AM20" s="64">
        <v>0</v>
      </c>
      <c r="AN20" s="64">
        <f t="shared" si="16"/>
        <v>0.03420000000000001</v>
      </c>
      <c r="AO20" s="64">
        <f t="shared" si="17"/>
        <v>0.0384</v>
      </c>
      <c r="AP20" s="64">
        <f t="shared" si="18"/>
        <v>0.0442</v>
      </c>
      <c r="AQ20" s="31">
        <f t="shared" si="19"/>
        <v>0.0518</v>
      </c>
      <c r="AY20" s="33">
        <v>0.62</v>
      </c>
      <c r="AZ20" s="64">
        <f t="shared" si="20"/>
        <v>0.045399999999999996</v>
      </c>
      <c r="BA20" s="64">
        <f t="shared" si="21"/>
        <v>0.0506</v>
      </c>
      <c r="BB20" s="64">
        <f t="shared" si="22"/>
        <v>0.0576</v>
      </c>
      <c r="BC20" s="64">
        <f t="shared" si="23"/>
        <v>0.06640000000000001</v>
      </c>
      <c r="BD20" s="31">
        <v>0</v>
      </c>
    </row>
    <row r="21" spans="1:56" s="1" customFormat="1" ht="18.75" customHeight="1">
      <c r="A21" s="51"/>
      <c r="B21" s="14" t="s">
        <v>3</v>
      </c>
      <c r="C21" s="7"/>
      <c r="D21" s="14" t="s">
        <v>1</v>
      </c>
      <c r="E21" s="214">
        <v>50</v>
      </c>
      <c r="F21" s="7"/>
      <c r="G21" s="7" t="s">
        <v>94</v>
      </c>
      <c r="H21" s="25"/>
      <c r="P21" s="44"/>
      <c r="U21" s="27" t="s">
        <v>46</v>
      </c>
      <c r="V21" s="17">
        <v>0.058</v>
      </c>
      <c r="W21" s="17">
        <v>0.066</v>
      </c>
      <c r="X21" s="17">
        <v>0.074</v>
      </c>
      <c r="Y21" s="17">
        <v>0.082</v>
      </c>
      <c r="Z21" s="28">
        <v>0.09</v>
      </c>
      <c r="AA21" s="17">
        <v>0.098</v>
      </c>
      <c r="AB21" s="70">
        <v>0.058</v>
      </c>
      <c r="AE21" s="33">
        <v>0.63</v>
      </c>
      <c r="AF21" s="64">
        <f t="shared" si="12"/>
        <v>0.060599999999999994</v>
      </c>
      <c r="AG21" s="64">
        <f t="shared" si="13"/>
        <v>0.06689999999999999</v>
      </c>
      <c r="AH21" s="64">
        <f t="shared" si="14"/>
        <v>0.07589999999999998</v>
      </c>
      <c r="AI21" s="64">
        <f t="shared" si="15"/>
        <v>0.08760000000000001</v>
      </c>
      <c r="AJ21" s="31">
        <v>0</v>
      </c>
      <c r="AL21" s="33">
        <v>0.63</v>
      </c>
      <c r="AM21" s="64">
        <v>0</v>
      </c>
      <c r="AN21" s="64">
        <f t="shared" si="16"/>
        <v>0.03380000000000001</v>
      </c>
      <c r="AO21" s="64">
        <f t="shared" si="17"/>
        <v>0.038099999999999995</v>
      </c>
      <c r="AP21" s="64">
        <f t="shared" si="18"/>
        <v>0.043800000000000006</v>
      </c>
      <c r="AQ21" s="31">
        <f t="shared" si="19"/>
        <v>0.051199999999999996</v>
      </c>
      <c r="AY21" s="33">
        <v>0.63</v>
      </c>
      <c r="AZ21" s="64">
        <f t="shared" si="20"/>
        <v>0.044599999999999994</v>
      </c>
      <c r="BA21" s="64">
        <f t="shared" si="21"/>
        <v>0.0499</v>
      </c>
      <c r="BB21" s="64">
        <f t="shared" si="22"/>
        <v>0.0569</v>
      </c>
      <c r="BC21" s="64">
        <f t="shared" si="23"/>
        <v>0.06560000000000002</v>
      </c>
      <c r="BD21" s="31">
        <v>0</v>
      </c>
    </row>
    <row r="22" spans="1:56" s="1" customFormat="1" ht="22.5" customHeight="1">
      <c r="A22" s="51"/>
      <c r="B22" s="14" t="s">
        <v>5</v>
      </c>
      <c r="C22" s="7"/>
      <c r="D22" s="14" t="s">
        <v>1</v>
      </c>
      <c r="E22" s="214">
        <v>0</v>
      </c>
      <c r="F22" s="7"/>
      <c r="G22" s="7" t="s">
        <v>94</v>
      </c>
      <c r="H22" s="25"/>
      <c r="I22" s="128" t="s">
        <v>124</v>
      </c>
      <c r="J22" s="131">
        <f>+$J$19*$C$48</f>
        <v>5.707058823529411</v>
      </c>
      <c r="K22" s="136">
        <f>+$K$19*$C$48</f>
        <v>8.666274509803921</v>
      </c>
      <c r="L22" s="138">
        <f>+$L$19*$C$48</f>
        <v>11.62549019607843</v>
      </c>
      <c r="M22" s="131">
        <f>+$M$19*$F$52</f>
        <v>4.142901960784314</v>
      </c>
      <c r="N22" s="136">
        <f>+$N$19*$F$52</f>
        <v>6.115712418300653</v>
      </c>
      <c r="O22" s="138">
        <f>+$O$19*$F$52</f>
        <v>8.088522875816993</v>
      </c>
      <c r="P22" s="44"/>
      <c r="U22" s="26" t="s">
        <v>47</v>
      </c>
      <c r="V22" s="17">
        <v>0.029</v>
      </c>
      <c r="W22" s="17">
        <v>0.033</v>
      </c>
      <c r="X22" s="17">
        <v>0.037</v>
      </c>
      <c r="Y22" s="17">
        <v>0.041</v>
      </c>
      <c r="Z22" s="17">
        <v>0.045</v>
      </c>
      <c r="AA22" s="17">
        <v>0.049</v>
      </c>
      <c r="AB22" s="70">
        <v>0.029</v>
      </c>
      <c r="AE22" s="33">
        <v>0.64</v>
      </c>
      <c r="AF22" s="64">
        <f t="shared" si="12"/>
        <v>0.05979999999999999</v>
      </c>
      <c r="AG22" s="64">
        <f t="shared" si="13"/>
        <v>0.06619999999999998</v>
      </c>
      <c r="AH22" s="64">
        <f t="shared" si="14"/>
        <v>0.07519999999999998</v>
      </c>
      <c r="AI22" s="64">
        <f t="shared" si="15"/>
        <v>0.08680000000000002</v>
      </c>
      <c r="AJ22" s="31">
        <v>0</v>
      </c>
      <c r="AL22" s="33">
        <v>0.64</v>
      </c>
      <c r="AM22" s="64">
        <v>0</v>
      </c>
      <c r="AN22" s="64">
        <f t="shared" si="16"/>
        <v>0.03340000000000001</v>
      </c>
      <c r="AO22" s="64">
        <f t="shared" si="17"/>
        <v>0.03779999999999999</v>
      </c>
      <c r="AP22" s="64">
        <f t="shared" si="18"/>
        <v>0.04340000000000001</v>
      </c>
      <c r="AQ22" s="31">
        <f t="shared" si="19"/>
        <v>0.05059999999999999</v>
      </c>
      <c r="AY22" s="33">
        <v>0.64</v>
      </c>
      <c r="AZ22" s="64">
        <f t="shared" si="20"/>
        <v>0.04379999999999999</v>
      </c>
      <c r="BA22" s="64">
        <f t="shared" si="21"/>
        <v>0.0492</v>
      </c>
      <c r="BB22" s="64">
        <f t="shared" si="22"/>
        <v>0.0562</v>
      </c>
      <c r="BC22" s="64">
        <f t="shared" si="23"/>
        <v>0.06480000000000002</v>
      </c>
      <c r="BD22" s="31">
        <v>0</v>
      </c>
    </row>
    <row r="23" spans="1:56" s="1" customFormat="1" ht="20.25" customHeight="1">
      <c r="A23" s="51"/>
      <c r="B23" s="14" t="s">
        <v>4</v>
      </c>
      <c r="C23" s="7"/>
      <c r="D23" s="14" t="s">
        <v>1</v>
      </c>
      <c r="E23" s="214">
        <v>200</v>
      </c>
      <c r="F23" s="7"/>
      <c r="G23" s="7" t="s">
        <v>94</v>
      </c>
      <c r="H23" s="25"/>
      <c r="I23" s="94" t="s">
        <v>115</v>
      </c>
      <c r="J23" s="257" t="s">
        <v>81</v>
      </c>
      <c r="K23" s="258"/>
      <c r="L23" s="259"/>
      <c r="M23" s="273" t="s">
        <v>82</v>
      </c>
      <c r="N23" s="258"/>
      <c r="O23" s="259"/>
      <c r="P23" s="44"/>
      <c r="U23" s="29" t="s">
        <v>42</v>
      </c>
      <c r="V23" s="18">
        <v>0.044</v>
      </c>
      <c r="W23" s="30">
        <v>0.05</v>
      </c>
      <c r="X23" s="18">
        <v>0.056</v>
      </c>
      <c r="Y23" s="18">
        <v>0.062</v>
      </c>
      <c r="Z23" s="18">
        <v>0.068</v>
      </c>
      <c r="AA23" s="18">
        <v>0.074</v>
      </c>
      <c r="AB23" s="71">
        <v>0.044</v>
      </c>
      <c r="AE23" s="102">
        <v>0.65</v>
      </c>
      <c r="AF23" s="100">
        <f t="shared" si="12"/>
        <v>0.05899999999999999</v>
      </c>
      <c r="AG23" s="100">
        <f t="shared" si="13"/>
        <v>0.06549999999999997</v>
      </c>
      <c r="AH23" s="100">
        <f t="shared" si="14"/>
        <v>0.07449999999999997</v>
      </c>
      <c r="AI23" s="100">
        <f t="shared" si="15"/>
        <v>0.08600000000000002</v>
      </c>
      <c r="AJ23" s="101">
        <v>0</v>
      </c>
      <c r="AL23" s="102">
        <v>0.65</v>
      </c>
      <c r="AM23" s="100">
        <v>0</v>
      </c>
      <c r="AN23" s="100">
        <f t="shared" si="16"/>
        <v>0.033000000000000015</v>
      </c>
      <c r="AO23" s="100">
        <f t="shared" si="17"/>
        <v>0.03749999999999999</v>
      </c>
      <c r="AP23" s="100">
        <f t="shared" si="18"/>
        <v>0.04300000000000001</v>
      </c>
      <c r="AQ23" s="101">
        <f t="shared" si="19"/>
        <v>0.04999999999999999</v>
      </c>
      <c r="AY23" s="102">
        <v>0.65</v>
      </c>
      <c r="AZ23" s="100">
        <f t="shared" si="20"/>
        <v>0.04299999999999999</v>
      </c>
      <c r="BA23" s="100">
        <f t="shared" si="21"/>
        <v>0.0485</v>
      </c>
      <c r="BB23" s="100">
        <f t="shared" si="22"/>
        <v>0.0555</v>
      </c>
      <c r="BC23" s="100">
        <f t="shared" si="23"/>
        <v>0.06400000000000003</v>
      </c>
      <c r="BD23" s="101">
        <v>0</v>
      </c>
    </row>
    <row r="24" spans="1:56" s="1" customFormat="1" ht="20.25" customHeight="1">
      <c r="A24" s="45"/>
      <c r="B24" s="16" t="s">
        <v>54</v>
      </c>
      <c r="C24" s="7"/>
      <c r="D24" s="14" t="s">
        <v>1</v>
      </c>
      <c r="E24" s="150">
        <f>$E$20+$E$21</f>
        <v>290</v>
      </c>
      <c r="F24" s="7"/>
      <c r="G24" s="7" t="s">
        <v>94</v>
      </c>
      <c r="H24" s="25"/>
      <c r="I24" s="94" t="s">
        <v>123</v>
      </c>
      <c r="J24" s="184">
        <f>+ROUNDUP($J$22/(PI()*POWER($Y$47/10,2)/4),0)</f>
        <v>8</v>
      </c>
      <c r="K24" s="185">
        <f>+ROUNDUP($K$22/(PI()*POWER($Y$47/10,2)/4),0)</f>
        <v>12</v>
      </c>
      <c r="L24" s="185">
        <f>+ROUNDUP($L$22/(PI()*POWER($Y$47/10,2)/4),0)</f>
        <v>15</v>
      </c>
      <c r="M24" s="185">
        <f>+ROUNDUP($M$22/(PI()*POWER($Y$47/10,2)/4),0)</f>
        <v>6</v>
      </c>
      <c r="N24" s="185">
        <f>+ROUNDUP($N$22/(PI()*POWER($Y$47/10,2)/4),0)</f>
        <v>8</v>
      </c>
      <c r="O24" s="185">
        <f>+ROUNDUP($O$22/(PI()*POWER($Y$47/10,2)/4),0)</f>
        <v>11</v>
      </c>
      <c r="P24" s="44"/>
      <c r="U24" s="73" t="s">
        <v>61</v>
      </c>
      <c r="V24" s="17"/>
      <c r="W24" s="17"/>
      <c r="X24" s="17"/>
      <c r="Y24" s="17"/>
      <c r="Z24" s="17"/>
      <c r="AA24" s="17"/>
      <c r="AB24" s="70"/>
      <c r="AE24" s="33">
        <v>0.66</v>
      </c>
      <c r="AF24" s="64">
        <f t="shared" si="12"/>
        <v>0.05819999999999999</v>
      </c>
      <c r="AG24" s="64">
        <f t="shared" si="13"/>
        <v>0.06479999999999997</v>
      </c>
      <c r="AH24" s="64">
        <f t="shared" si="14"/>
        <v>0.07379999999999996</v>
      </c>
      <c r="AI24" s="64">
        <f t="shared" si="15"/>
        <v>0.08520000000000003</v>
      </c>
      <c r="AJ24" s="31">
        <v>0</v>
      </c>
      <c r="AL24" s="33">
        <v>0.66</v>
      </c>
      <c r="AM24" s="64">
        <v>0</v>
      </c>
      <c r="AN24" s="64">
        <f t="shared" si="16"/>
        <v>0.03260000000000002</v>
      </c>
      <c r="AO24" s="64">
        <f t="shared" si="17"/>
        <v>0.03719999999999999</v>
      </c>
      <c r="AP24" s="64">
        <f t="shared" si="18"/>
        <v>0.04260000000000001</v>
      </c>
      <c r="AQ24" s="31">
        <f t="shared" si="19"/>
        <v>0.049399999999999986</v>
      </c>
      <c r="AY24" s="33">
        <v>0.66</v>
      </c>
      <c r="AZ24" s="64">
        <f t="shared" si="20"/>
        <v>0.04219999999999999</v>
      </c>
      <c r="BA24" s="64">
        <f t="shared" si="21"/>
        <v>0.0478</v>
      </c>
      <c r="BB24" s="64">
        <f t="shared" si="22"/>
        <v>0.0548</v>
      </c>
      <c r="BC24" s="64">
        <f t="shared" si="23"/>
        <v>0.06320000000000003</v>
      </c>
      <c r="BD24" s="31">
        <v>0</v>
      </c>
    </row>
    <row r="25" spans="1:56" s="1" customFormat="1" ht="18" customHeight="1">
      <c r="A25" s="45"/>
      <c r="C25" s="16" t="s">
        <v>122</v>
      </c>
      <c r="D25" s="14" t="s">
        <v>1</v>
      </c>
      <c r="E25" s="150">
        <f>SUM($E$20:$E$23)</f>
        <v>490</v>
      </c>
      <c r="F25" s="7"/>
      <c r="G25" s="7" t="s">
        <v>94</v>
      </c>
      <c r="H25" s="25"/>
      <c r="P25" s="44"/>
      <c r="U25" s="27" t="s">
        <v>46</v>
      </c>
      <c r="V25" s="17" t="s">
        <v>48</v>
      </c>
      <c r="W25" s="17" t="s">
        <v>48</v>
      </c>
      <c r="X25" s="17" t="s">
        <v>48</v>
      </c>
      <c r="Y25" s="17" t="s">
        <v>48</v>
      </c>
      <c r="Z25" s="17" t="s">
        <v>48</v>
      </c>
      <c r="AA25" s="17" t="s">
        <v>48</v>
      </c>
      <c r="AB25" s="70">
        <v>0</v>
      </c>
      <c r="AE25" s="33">
        <v>0.67</v>
      </c>
      <c r="AF25" s="64">
        <f t="shared" si="12"/>
        <v>0.057399999999999986</v>
      </c>
      <c r="AG25" s="64">
        <f t="shared" si="13"/>
        <v>0.06409999999999996</v>
      </c>
      <c r="AH25" s="64">
        <f t="shared" si="14"/>
        <v>0.07309999999999996</v>
      </c>
      <c r="AI25" s="64">
        <f t="shared" si="15"/>
        <v>0.08440000000000003</v>
      </c>
      <c r="AJ25" s="31">
        <v>0</v>
      </c>
      <c r="AL25" s="33">
        <v>0.67</v>
      </c>
      <c r="AM25" s="64">
        <v>0</v>
      </c>
      <c r="AN25" s="64">
        <f t="shared" si="16"/>
        <v>0.03220000000000002</v>
      </c>
      <c r="AO25" s="64">
        <f t="shared" si="17"/>
        <v>0.03689999999999999</v>
      </c>
      <c r="AP25" s="64">
        <f t="shared" si="18"/>
        <v>0.042200000000000015</v>
      </c>
      <c r="AQ25" s="31">
        <f t="shared" si="19"/>
        <v>0.04879999999999998</v>
      </c>
      <c r="AY25" s="33">
        <v>0.67</v>
      </c>
      <c r="AZ25" s="64">
        <f t="shared" si="20"/>
        <v>0.041399999999999985</v>
      </c>
      <c r="BA25" s="64">
        <f t="shared" si="21"/>
        <v>0.0471</v>
      </c>
      <c r="BB25" s="64">
        <f t="shared" si="22"/>
        <v>0.0541</v>
      </c>
      <c r="BC25" s="64">
        <f t="shared" si="23"/>
        <v>0.06240000000000003</v>
      </c>
      <c r="BD25" s="31">
        <v>0</v>
      </c>
    </row>
    <row r="26" spans="1:56" s="1" customFormat="1" ht="22.5" customHeight="1">
      <c r="A26" s="45"/>
      <c r="B26" s="25"/>
      <c r="C26" s="25"/>
      <c r="D26" s="25"/>
      <c r="E26" s="25"/>
      <c r="F26" s="25"/>
      <c r="G26" s="25"/>
      <c r="H26" s="25"/>
      <c r="I26" s="80" t="s">
        <v>84</v>
      </c>
      <c r="J26" s="133">
        <f>+$J$22/3</f>
        <v>1.9023529411764704</v>
      </c>
      <c r="K26" s="137">
        <f>+$K$22/3</f>
        <v>2.8887581699346403</v>
      </c>
      <c r="L26" s="139">
        <f>+$L$22/3</f>
        <v>3.8751633986928096</v>
      </c>
      <c r="M26" s="133">
        <f>+$M$22/3</f>
        <v>1.3809673202614379</v>
      </c>
      <c r="N26" s="137">
        <f>+$N$22/3</f>
        <v>2.0385708061002177</v>
      </c>
      <c r="O26" s="139">
        <f>+$O$22/3</f>
        <v>2.696174291938998</v>
      </c>
      <c r="P26" s="44"/>
      <c r="U26" s="26" t="s">
        <v>47</v>
      </c>
      <c r="V26" s="17">
        <v>0.033</v>
      </c>
      <c r="W26" s="17">
        <v>0.038</v>
      </c>
      <c r="X26" s="17">
        <v>0.043</v>
      </c>
      <c r="Y26" s="17">
        <v>0.047</v>
      </c>
      <c r="Z26" s="17">
        <v>0.053</v>
      </c>
      <c r="AA26" s="17">
        <v>0.055</v>
      </c>
      <c r="AB26" s="70">
        <v>0.033</v>
      </c>
      <c r="AE26" s="33">
        <v>0.68</v>
      </c>
      <c r="AF26" s="64">
        <f t="shared" si="12"/>
        <v>0.056599999999999984</v>
      </c>
      <c r="AG26" s="64">
        <f t="shared" si="13"/>
        <v>0.06339999999999996</v>
      </c>
      <c r="AH26" s="64">
        <f t="shared" si="14"/>
        <v>0.07239999999999995</v>
      </c>
      <c r="AI26" s="64">
        <f t="shared" si="15"/>
        <v>0.08360000000000004</v>
      </c>
      <c r="AJ26" s="31">
        <v>0</v>
      </c>
      <c r="AL26" s="33">
        <v>0.68</v>
      </c>
      <c r="AM26" s="64">
        <v>0</v>
      </c>
      <c r="AN26" s="64">
        <f t="shared" si="16"/>
        <v>0.03180000000000002</v>
      </c>
      <c r="AO26" s="64">
        <f t="shared" si="17"/>
        <v>0.03659999999999999</v>
      </c>
      <c r="AP26" s="64">
        <f t="shared" si="18"/>
        <v>0.04180000000000002</v>
      </c>
      <c r="AQ26" s="31">
        <f t="shared" si="19"/>
        <v>0.04819999999999998</v>
      </c>
      <c r="AY26" s="33">
        <v>0.68</v>
      </c>
      <c r="AZ26" s="64">
        <f t="shared" si="20"/>
        <v>0.04059999999999998</v>
      </c>
      <c r="BA26" s="64">
        <f t="shared" si="21"/>
        <v>0.046400000000000004</v>
      </c>
      <c r="BB26" s="64">
        <f t="shared" si="22"/>
        <v>0.0534</v>
      </c>
      <c r="BC26" s="64">
        <f t="shared" si="23"/>
        <v>0.06160000000000003</v>
      </c>
      <c r="BD26" s="31">
        <v>0</v>
      </c>
    </row>
    <row r="27" spans="1:56" s="1" customFormat="1" ht="21" customHeight="1">
      <c r="A27" s="124" t="s">
        <v>33</v>
      </c>
      <c r="B27" s="25"/>
      <c r="C27" s="25"/>
      <c r="D27" s="25"/>
      <c r="E27" s="52"/>
      <c r="F27" s="25"/>
      <c r="G27" s="43"/>
      <c r="H27" s="25"/>
      <c r="I27" s="94" t="s">
        <v>107</v>
      </c>
      <c r="J27" s="257" t="s">
        <v>81</v>
      </c>
      <c r="K27" s="258"/>
      <c r="L27" s="259"/>
      <c r="M27" s="273" t="s">
        <v>82</v>
      </c>
      <c r="N27" s="258"/>
      <c r="O27" s="259"/>
      <c r="P27" s="44"/>
      <c r="U27" s="29" t="s">
        <v>42</v>
      </c>
      <c r="V27" s="30">
        <v>0.05</v>
      </c>
      <c r="W27" s="18">
        <v>0.057</v>
      </c>
      <c r="X27" s="18">
        <v>0.064</v>
      </c>
      <c r="Y27" s="18">
        <v>0.072</v>
      </c>
      <c r="Z27" s="30">
        <v>0.08</v>
      </c>
      <c r="AA27" s="18">
        <v>0.083</v>
      </c>
      <c r="AB27" s="72">
        <v>0.05</v>
      </c>
      <c r="AE27" s="33">
        <v>0.69</v>
      </c>
      <c r="AF27" s="64">
        <f t="shared" si="12"/>
        <v>0.05579999999999998</v>
      </c>
      <c r="AG27" s="64">
        <f t="shared" si="13"/>
        <v>0.06269999999999995</v>
      </c>
      <c r="AH27" s="64">
        <f t="shared" si="14"/>
        <v>0.07169999999999994</v>
      </c>
      <c r="AI27" s="64">
        <f t="shared" si="15"/>
        <v>0.08280000000000004</v>
      </c>
      <c r="AJ27" s="31">
        <v>0</v>
      </c>
      <c r="AL27" s="33">
        <v>0.69</v>
      </c>
      <c r="AM27" s="64">
        <v>0</v>
      </c>
      <c r="AN27" s="64">
        <f t="shared" si="16"/>
        <v>0.031400000000000025</v>
      </c>
      <c r="AO27" s="64">
        <f t="shared" si="17"/>
        <v>0.036299999999999985</v>
      </c>
      <c r="AP27" s="64">
        <f t="shared" si="18"/>
        <v>0.04140000000000002</v>
      </c>
      <c r="AQ27" s="31">
        <f t="shared" si="19"/>
        <v>0.047599999999999976</v>
      </c>
      <c r="AY27" s="33">
        <v>0.69</v>
      </c>
      <c r="AZ27" s="64">
        <f t="shared" si="20"/>
        <v>0.03979999999999998</v>
      </c>
      <c r="BA27" s="64">
        <f t="shared" si="21"/>
        <v>0.045700000000000005</v>
      </c>
      <c r="BB27" s="64">
        <f t="shared" si="22"/>
        <v>0.052700000000000004</v>
      </c>
      <c r="BC27" s="64">
        <f t="shared" si="23"/>
        <v>0.06080000000000003</v>
      </c>
      <c r="BD27" s="31">
        <v>0</v>
      </c>
    </row>
    <row r="28" spans="1:56" s="1" customFormat="1" ht="20.25" customHeight="1">
      <c r="A28" s="45"/>
      <c r="B28" s="14" t="s">
        <v>34</v>
      </c>
      <c r="C28" s="7"/>
      <c r="D28" s="14" t="s">
        <v>1</v>
      </c>
      <c r="E28" s="215">
        <v>0.45</v>
      </c>
      <c r="F28" s="7"/>
      <c r="G28" s="7"/>
      <c r="H28" s="25"/>
      <c r="I28" s="94" t="s">
        <v>123</v>
      </c>
      <c r="J28" s="191">
        <f>+ROUNDUP($J$26/(PI()*POWER($X$48/10,2)/4),0)</f>
        <v>3</v>
      </c>
      <c r="K28" s="191">
        <f>+ROUNDUP($K$26/(PI()*POWER($X$48/10,2)/4),0)</f>
        <v>4</v>
      </c>
      <c r="L28" s="191">
        <f>+ROUNDUP($L$26/(PI()*POWER($X$48/10,2)/4),0)</f>
        <v>5</v>
      </c>
      <c r="M28" s="191">
        <f>+ROUNDUP($M$26/(PI()*POWER($X$48/10,2)/4),0)</f>
        <v>2</v>
      </c>
      <c r="N28" s="191">
        <f>+ROUNDUP($N$26/(PI()*POWER($X$48/10,2)/4),0)</f>
        <v>3</v>
      </c>
      <c r="O28" s="191">
        <f>+ROUNDUP($O$26/(PI()*POWER($X$48/10,2)/4),0)</f>
        <v>4</v>
      </c>
      <c r="P28" s="54"/>
      <c r="Q28" s="6"/>
      <c r="R28" s="6"/>
      <c r="S28" s="6"/>
      <c r="T28" s="6"/>
      <c r="AE28" s="106">
        <v>0.7</v>
      </c>
      <c r="AF28" s="104">
        <v>0.055</v>
      </c>
      <c r="AG28" s="104">
        <v>0.062</v>
      </c>
      <c r="AH28" s="100">
        <v>0.071</v>
      </c>
      <c r="AI28" s="100">
        <v>0.082</v>
      </c>
      <c r="AJ28" s="101">
        <v>0</v>
      </c>
      <c r="AL28" s="103">
        <v>0.7</v>
      </c>
      <c r="AM28" s="104">
        <v>0</v>
      </c>
      <c r="AN28" s="104">
        <v>0.031</v>
      </c>
      <c r="AO28" s="100">
        <v>0.036</v>
      </c>
      <c r="AP28" s="100">
        <v>0.041</v>
      </c>
      <c r="AQ28" s="101">
        <v>0.047</v>
      </c>
      <c r="AY28" s="103">
        <v>0.7</v>
      </c>
      <c r="AZ28" s="104">
        <v>0.041</v>
      </c>
      <c r="BA28" s="104">
        <v>0.047</v>
      </c>
      <c r="BB28" s="100">
        <v>0.054</v>
      </c>
      <c r="BC28" s="100">
        <v>0.062</v>
      </c>
      <c r="BD28" s="101">
        <v>0.072</v>
      </c>
    </row>
    <row r="29" spans="1:56" s="1" customFormat="1" ht="15" customHeight="1">
      <c r="A29" s="45"/>
      <c r="B29" s="14" t="s">
        <v>11</v>
      </c>
      <c r="C29" s="7"/>
      <c r="D29" s="14" t="s">
        <v>1</v>
      </c>
      <c r="E29" s="148">
        <f>IF($E$28=0.375,65,$E$28*$E$7)</f>
        <v>90</v>
      </c>
      <c r="F29" s="7"/>
      <c r="G29" s="7" t="s">
        <v>13</v>
      </c>
      <c r="H29" s="25"/>
      <c r="P29" s="44"/>
      <c r="AE29" s="33">
        <v>0.71</v>
      </c>
      <c r="AF29" s="64">
        <f aca="true" t="shared" si="24" ref="AF29:AF37">AF28-(0.01*($AF$28-$AF$38)/0.1)</f>
        <v>0.0543</v>
      </c>
      <c r="AG29" s="64">
        <f aca="true" t="shared" si="25" ref="AG29:AG37">AG28-(0.01*($AG$28-$AG$38)/0.1)</f>
        <v>0.0613</v>
      </c>
      <c r="AH29" s="64">
        <f aca="true" t="shared" si="26" ref="AH29:AH37">AH28-(0.01*($AH$28-$AH$38)/0.1)</f>
        <v>0.0703</v>
      </c>
      <c r="AI29" s="64">
        <f aca="true" t="shared" si="27" ref="AI29:AI37">AI28-(0.01*($AI$28-$AI$38)/0.1)</f>
        <v>0.08120000000000001</v>
      </c>
      <c r="AJ29" s="31">
        <v>0</v>
      </c>
      <c r="AL29" s="33">
        <v>0.71</v>
      </c>
      <c r="AM29" s="64">
        <v>0</v>
      </c>
      <c r="AN29" s="64">
        <f aca="true" t="shared" si="28" ref="AN29:AN37">AN28-(0.01*($AN$28-$AN$38)/0.1)</f>
        <v>0.0306</v>
      </c>
      <c r="AO29" s="64">
        <f aca="true" t="shared" si="29" ref="AO29:AO37">AO28-(0.01*($AO$28-$AO$38)/0.1)</f>
        <v>0.0356</v>
      </c>
      <c r="AP29" s="64">
        <f aca="true" t="shared" si="30" ref="AP29:AP37">AP28-(0.01*($AP$28-$AP$38)/0.1)</f>
        <v>0.040600000000000004</v>
      </c>
      <c r="AQ29" s="31">
        <f aca="true" t="shared" si="31" ref="AQ29:AQ37">AQ28-(0.01*($AQ$28-$AQ$38)/0.1)</f>
        <v>0.0466</v>
      </c>
      <c r="AY29" s="33">
        <v>0.71</v>
      </c>
      <c r="AZ29" s="64">
        <f aca="true" t="shared" si="32" ref="AZ29:AZ37">AZ28-(0.01*($AF$28-$AF$38)/0.1)</f>
        <v>0.0403</v>
      </c>
      <c r="BA29" s="64">
        <f aca="true" t="shared" si="33" ref="BA29:BA37">BA28-(0.01*($AG$28-$AG$38)/0.1)</f>
        <v>0.0463</v>
      </c>
      <c r="BB29" s="64">
        <f aca="true" t="shared" si="34" ref="BB29:BB37">BB28-(0.01*($AH$28-$AH$38)/0.1)</f>
        <v>0.0533</v>
      </c>
      <c r="BC29" s="64">
        <f aca="true" t="shared" si="35" ref="BC29:BC37">BC28-(0.01*($AI$28-$AI$38)/0.1)</f>
        <v>0.0612</v>
      </c>
      <c r="BD29" s="31">
        <v>0</v>
      </c>
    </row>
    <row r="30" spans="1:56" s="1" customFormat="1" ht="15" customHeight="1">
      <c r="A30" s="45"/>
      <c r="B30" s="14" t="s">
        <v>12</v>
      </c>
      <c r="C30" s="7"/>
      <c r="D30" s="14" t="s">
        <v>1</v>
      </c>
      <c r="E30" s="149">
        <f>+IF($E$6=2400,1200,IF($E$6=3000,1500,IF($E$6=4000,1500,1700)))</f>
        <v>1500</v>
      </c>
      <c r="F30" s="7"/>
      <c r="G30" s="7" t="s">
        <v>13</v>
      </c>
      <c r="H30" s="25"/>
      <c r="I30" s="25"/>
      <c r="J30" s="126"/>
      <c r="K30" s="126"/>
      <c r="L30" s="126"/>
      <c r="M30" s="126"/>
      <c r="N30" s="126"/>
      <c r="O30" s="126"/>
      <c r="P30" s="44"/>
      <c r="AE30" s="33">
        <v>0.72</v>
      </c>
      <c r="AF30" s="64">
        <f t="shared" si="24"/>
        <v>0.0536</v>
      </c>
      <c r="AG30" s="64">
        <f t="shared" si="25"/>
        <v>0.0606</v>
      </c>
      <c r="AH30" s="64">
        <f t="shared" si="26"/>
        <v>0.0696</v>
      </c>
      <c r="AI30" s="64">
        <f t="shared" si="27"/>
        <v>0.08040000000000001</v>
      </c>
      <c r="AJ30" s="31">
        <v>0</v>
      </c>
      <c r="AL30" s="33">
        <v>0.72</v>
      </c>
      <c r="AM30" s="64">
        <v>0</v>
      </c>
      <c r="AN30" s="64">
        <f t="shared" si="28"/>
        <v>0.030199999999999998</v>
      </c>
      <c r="AO30" s="64">
        <f t="shared" si="29"/>
        <v>0.0352</v>
      </c>
      <c r="AP30" s="64">
        <f t="shared" si="30"/>
        <v>0.04020000000000001</v>
      </c>
      <c r="AQ30" s="31">
        <f t="shared" si="31"/>
        <v>0.046200000000000005</v>
      </c>
      <c r="AY30" s="33">
        <v>0.72</v>
      </c>
      <c r="AZ30" s="64">
        <f t="shared" si="32"/>
        <v>0.0396</v>
      </c>
      <c r="BA30" s="64">
        <f t="shared" si="33"/>
        <v>0.0456</v>
      </c>
      <c r="BB30" s="64">
        <f t="shared" si="34"/>
        <v>0.0526</v>
      </c>
      <c r="BC30" s="64">
        <f t="shared" si="35"/>
        <v>0.060399999999999995</v>
      </c>
      <c r="BD30" s="31">
        <v>0</v>
      </c>
    </row>
    <row r="31" spans="1:56" s="1" customFormat="1" ht="15" customHeight="1">
      <c r="A31" s="45"/>
      <c r="B31" s="14" t="s">
        <v>15</v>
      </c>
      <c r="C31" s="7"/>
      <c r="D31" s="14" t="s">
        <v>1</v>
      </c>
      <c r="E31" s="149">
        <f>15120*SQRT($E$7)</f>
        <v>213829.090630812</v>
      </c>
      <c r="F31" s="7"/>
      <c r="G31" s="7" t="s">
        <v>13</v>
      </c>
      <c r="H31" s="25"/>
      <c r="I31" s="120" t="s">
        <v>23</v>
      </c>
      <c r="J31" s="25"/>
      <c r="K31" s="25"/>
      <c r="L31" s="25"/>
      <c r="M31" s="25"/>
      <c r="N31" s="25"/>
      <c r="O31" s="25"/>
      <c r="P31" s="44"/>
      <c r="AE31" s="33">
        <v>0.73</v>
      </c>
      <c r="AF31" s="64">
        <f t="shared" si="24"/>
        <v>0.0529</v>
      </c>
      <c r="AG31" s="64">
        <f t="shared" si="25"/>
        <v>0.0599</v>
      </c>
      <c r="AH31" s="64">
        <f t="shared" si="26"/>
        <v>0.06889999999999999</v>
      </c>
      <c r="AI31" s="64">
        <f t="shared" si="27"/>
        <v>0.07960000000000002</v>
      </c>
      <c r="AJ31" s="31">
        <v>0</v>
      </c>
      <c r="AL31" s="33">
        <v>0.73</v>
      </c>
      <c r="AM31" s="64">
        <v>0</v>
      </c>
      <c r="AN31" s="64">
        <f t="shared" si="28"/>
        <v>0.029799999999999997</v>
      </c>
      <c r="AO31" s="64">
        <f t="shared" si="29"/>
        <v>0.034800000000000005</v>
      </c>
      <c r="AP31" s="64">
        <f t="shared" si="30"/>
        <v>0.03980000000000001</v>
      </c>
      <c r="AQ31" s="31">
        <f t="shared" si="31"/>
        <v>0.04580000000000001</v>
      </c>
      <c r="AY31" s="33">
        <v>0.73</v>
      </c>
      <c r="AZ31" s="64">
        <f t="shared" si="32"/>
        <v>0.038900000000000004</v>
      </c>
      <c r="BA31" s="64">
        <f t="shared" si="33"/>
        <v>0.0449</v>
      </c>
      <c r="BB31" s="64">
        <f t="shared" si="34"/>
        <v>0.0519</v>
      </c>
      <c r="BC31" s="64">
        <f t="shared" si="35"/>
        <v>0.05959999999999999</v>
      </c>
      <c r="BD31" s="31">
        <v>0</v>
      </c>
    </row>
    <row r="32" spans="1:56" s="1" customFormat="1" ht="15" customHeight="1">
      <c r="A32" s="45"/>
      <c r="B32" s="14" t="s">
        <v>14</v>
      </c>
      <c r="C32" s="7"/>
      <c r="D32" s="14" t="s">
        <v>1</v>
      </c>
      <c r="E32" s="149">
        <f>ROUNDDOWN($E$8/$E$31,0)</f>
        <v>9</v>
      </c>
      <c r="F32" s="7"/>
      <c r="G32" s="7"/>
      <c r="H32" s="25"/>
      <c r="I32" s="25"/>
      <c r="J32" s="143" t="s">
        <v>24</v>
      </c>
      <c r="K32" s="25"/>
      <c r="L32" s="25" t="s">
        <v>1</v>
      </c>
      <c r="M32" s="53">
        <f>0.29*SQRT($E$7)*100*(($M$12+$M$13)*0.5)</f>
        <v>2665.792565073284</v>
      </c>
      <c r="N32" s="25"/>
      <c r="O32" s="43" t="s">
        <v>97</v>
      </c>
      <c r="P32" s="44"/>
      <c r="W32" s="129" t="s">
        <v>184</v>
      </c>
      <c r="X32" s="129" t="s">
        <v>185</v>
      </c>
      <c r="Y32" s="129" t="s">
        <v>186</v>
      </c>
      <c r="AE32" s="33">
        <v>0.74</v>
      </c>
      <c r="AF32" s="64">
        <f t="shared" si="24"/>
        <v>0.0522</v>
      </c>
      <c r="AG32" s="64">
        <f t="shared" si="25"/>
        <v>0.0592</v>
      </c>
      <c r="AH32" s="64">
        <f t="shared" si="26"/>
        <v>0.06819999999999998</v>
      </c>
      <c r="AI32" s="64">
        <f t="shared" si="27"/>
        <v>0.07880000000000002</v>
      </c>
      <c r="AJ32" s="31">
        <v>0</v>
      </c>
      <c r="AL32" s="95">
        <v>0.74</v>
      </c>
      <c r="AM32" s="96">
        <v>0</v>
      </c>
      <c r="AN32" s="96">
        <f t="shared" si="28"/>
        <v>0.029399999999999996</v>
      </c>
      <c r="AO32" s="96">
        <f t="shared" si="29"/>
        <v>0.03440000000000001</v>
      </c>
      <c r="AP32" s="96">
        <f t="shared" si="30"/>
        <v>0.03940000000000001</v>
      </c>
      <c r="AQ32" s="97">
        <f t="shared" si="31"/>
        <v>0.04540000000000001</v>
      </c>
      <c r="AY32" s="95">
        <v>0.74</v>
      </c>
      <c r="AZ32" s="96">
        <f t="shared" si="32"/>
        <v>0.038200000000000005</v>
      </c>
      <c r="BA32" s="96">
        <f t="shared" si="33"/>
        <v>0.0442</v>
      </c>
      <c r="BB32" s="96">
        <f t="shared" si="34"/>
        <v>0.0512</v>
      </c>
      <c r="BC32" s="96">
        <f t="shared" si="35"/>
        <v>0.05879999999999999</v>
      </c>
      <c r="BD32" s="97">
        <v>0</v>
      </c>
    </row>
    <row r="33" spans="1:56" s="1" customFormat="1" ht="15" customHeight="1">
      <c r="A33" s="45"/>
      <c r="B33" s="84"/>
      <c r="C33" s="84"/>
      <c r="D33" s="84"/>
      <c r="E33" s="85"/>
      <c r="F33" s="84"/>
      <c r="G33" s="85"/>
      <c r="H33" s="25"/>
      <c r="I33" s="25"/>
      <c r="J33" s="143" t="s">
        <v>95</v>
      </c>
      <c r="K33" s="25"/>
      <c r="L33" s="25" t="s">
        <v>1</v>
      </c>
      <c r="M33" s="53">
        <f>1.15*$E$25*$E$13/4</f>
        <v>563.5</v>
      </c>
      <c r="N33" s="25"/>
      <c r="O33" s="43" t="s">
        <v>97</v>
      </c>
      <c r="P33" s="44"/>
      <c r="W33" s="1">
        <v>1</v>
      </c>
      <c r="X33" s="1">
        <v>6</v>
      </c>
      <c r="Y33" s="130">
        <f>+PI()*POWER(X33/10,2)/4</f>
        <v>0.2827433388230814</v>
      </c>
      <c r="AE33" s="103">
        <v>0.75</v>
      </c>
      <c r="AF33" s="104">
        <f t="shared" si="24"/>
        <v>0.051500000000000004</v>
      </c>
      <c r="AG33" s="104">
        <f t="shared" si="25"/>
        <v>0.0585</v>
      </c>
      <c r="AH33" s="104">
        <f t="shared" si="26"/>
        <v>0.06749999999999998</v>
      </c>
      <c r="AI33" s="104">
        <f t="shared" si="27"/>
        <v>0.07800000000000003</v>
      </c>
      <c r="AJ33" s="105">
        <v>0</v>
      </c>
      <c r="AL33" s="103">
        <v>0.75</v>
      </c>
      <c r="AM33" s="104">
        <v>0</v>
      </c>
      <c r="AN33" s="104">
        <f t="shared" si="28"/>
        <v>0.028999999999999995</v>
      </c>
      <c r="AO33" s="104">
        <f t="shared" si="29"/>
        <v>0.03400000000000001</v>
      </c>
      <c r="AP33" s="104">
        <f t="shared" si="30"/>
        <v>0.039000000000000014</v>
      </c>
      <c r="AQ33" s="105">
        <f t="shared" si="31"/>
        <v>0.04500000000000001</v>
      </c>
      <c r="AR33" s="3"/>
      <c r="AY33" s="103">
        <v>0.75</v>
      </c>
      <c r="AZ33" s="104">
        <f t="shared" si="32"/>
        <v>0.037500000000000006</v>
      </c>
      <c r="BA33" s="104">
        <f t="shared" si="33"/>
        <v>0.043500000000000004</v>
      </c>
      <c r="BB33" s="104">
        <f t="shared" si="34"/>
        <v>0.0505</v>
      </c>
      <c r="BC33" s="104">
        <f t="shared" si="35"/>
        <v>0.05799999999999999</v>
      </c>
      <c r="BD33" s="105">
        <v>0</v>
      </c>
    </row>
    <row r="34" spans="1:56" s="1" customFormat="1" ht="19.5" customHeight="1">
      <c r="A34" s="45"/>
      <c r="B34" s="78" t="s">
        <v>77</v>
      </c>
      <c r="C34" s="25"/>
      <c r="D34" s="25"/>
      <c r="E34" s="43"/>
      <c r="F34" s="25"/>
      <c r="G34" s="43"/>
      <c r="H34" s="25"/>
      <c r="I34" s="25"/>
      <c r="J34" s="143" t="s">
        <v>24</v>
      </c>
      <c r="L34" s="142" t="str">
        <f>IF(M32&gt;M33,"&gt;","&lt;")</f>
        <v>&gt;</v>
      </c>
      <c r="M34" s="43" t="s">
        <v>25</v>
      </c>
      <c r="N34" s="141" t="str">
        <f>IF(M32&gt;M33,"O.K.","Try Again")</f>
        <v>O.K.</v>
      </c>
      <c r="O34" s="141"/>
      <c r="P34" s="44"/>
      <c r="W34" s="1">
        <v>2</v>
      </c>
      <c r="X34" s="1">
        <v>9</v>
      </c>
      <c r="Y34" s="130">
        <f aca="true" t="shared" si="36" ref="Y34:Y43">+PI()*POWER(X34/10,2)/4</f>
        <v>0.6361725123519332</v>
      </c>
      <c r="AE34" s="33">
        <v>0.76</v>
      </c>
      <c r="AF34" s="64">
        <f t="shared" si="24"/>
        <v>0.050800000000000005</v>
      </c>
      <c r="AG34" s="64">
        <f t="shared" si="25"/>
        <v>0.057800000000000004</v>
      </c>
      <c r="AH34" s="64">
        <f t="shared" si="26"/>
        <v>0.06679999999999997</v>
      </c>
      <c r="AI34" s="64">
        <f t="shared" si="27"/>
        <v>0.07720000000000003</v>
      </c>
      <c r="AJ34" s="31">
        <v>0</v>
      </c>
      <c r="AL34" s="33">
        <v>0.76</v>
      </c>
      <c r="AM34" s="64">
        <v>0</v>
      </c>
      <c r="AN34" s="64">
        <f t="shared" si="28"/>
        <v>0.028599999999999993</v>
      </c>
      <c r="AO34" s="64">
        <f t="shared" si="29"/>
        <v>0.03360000000000001</v>
      </c>
      <c r="AP34" s="64">
        <f t="shared" si="30"/>
        <v>0.038600000000000016</v>
      </c>
      <c r="AQ34" s="31">
        <f t="shared" si="31"/>
        <v>0.044600000000000015</v>
      </c>
      <c r="AY34" s="33">
        <v>0.76</v>
      </c>
      <c r="AZ34" s="64">
        <f t="shared" si="32"/>
        <v>0.036800000000000006</v>
      </c>
      <c r="BA34" s="64">
        <f t="shared" si="33"/>
        <v>0.042800000000000005</v>
      </c>
      <c r="BB34" s="64">
        <f t="shared" si="34"/>
        <v>0.049800000000000004</v>
      </c>
      <c r="BC34" s="64">
        <f t="shared" si="35"/>
        <v>0.05719999999999999</v>
      </c>
      <c r="BD34" s="31">
        <v>0</v>
      </c>
    </row>
    <row r="35" spans="1:56" s="1" customFormat="1" ht="15" customHeight="1">
      <c r="A35" s="45"/>
      <c r="B35" s="19" t="s">
        <v>72</v>
      </c>
      <c r="C35" s="1" t="s">
        <v>76</v>
      </c>
      <c r="D35" s="1" t="s">
        <v>1</v>
      </c>
      <c r="E35" s="119">
        <v>10</v>
      </c>
      <c r="G35" s="63" t="s">
        <v>26</v>
      </c>
      <c r="H35" s="25"/>
      <c r="P35" s="44"/>
      <c r="W35" s="1">
        <v>3</v>
      </c>
      <c r="X35" s="1">
        <v>10</v>
      </c>
      <c r="Y35" s="130">
        <f t="shared" si="36"/>
        <v>0.7853981633974483</v>
      </c>
      <c r="AE35" s="33">
        <v>0.77</v>
      </c>
      <c r="AF35" s="64">
        <f t="shared" si="24"/>
        <v>0.050100000000000006</v>
      </c>
      <c r="AG35" s="64">
        <f t="shared" si="25"/>
        <v>0.057100000000000005</v>
      </c>
      <c r="AH35" s="64">
        <f t="shared" si="26"/>
        <v>0.06609999999999996</v>
      </c>
      <c r="AI35" s="64">
        <f t="shared" si="27"/>
        <v>0.07640000000000004</v>
      </c>
      <c r="AJ35" s="31">
        <v>0</v>
      </c>
      <c r="AL35" s="33">
        <v>0.77</v>
      </c>
      <c r="AM35" s="64">
        <v>0</v>
      </c>
      <c r="AN35" s="64">
        <f t="shared" si="28"/>
        <v>0.028199999999999992</v>
      </c>
      <c r="AO35" s="64">
        <f t="shared" si="29"/>
        <v>0.033200000000000014</v>
      </c>
      <c r="AP35" s="64">
        <f t="shared" si="30"/>
        <v>0.03820000000000002</v>
      </c>
      <c r="AQ35" s="31">
        <f t="shared" si="31"/>
        <v>0.04420000000000002</v>
      </c>
      <c r="AY35" s="33">
        <v>0.77</v>
      </c>
      <c r="AZ35" s="64">
        <f t="shared" si="32"/>
        <v>0.03610000000000001</v>
      </c>
      <c r="BA35" s="64">
        <f t="shared" si="33"/>
        <v>0.042100000000000005</v>
      </c>
      <c r="BB35" s="64">
        <f t="shared" si="34"/>
        <v>0.049100000000000005</v>
      </c>
      <c r="BC35" s="64">
        <f t="shared" si="35"/>
        <v>0.056399999999999985</v>
      </c>
      <c r="BD35" s="31">
        <v>0</v>
      </c>
    </row>
    <row r="36" spans="1:56" s="1" customFormat="1" ht="18" customHeight="1">
      <c r="A36" s="45"/>
      <c r="B36" s="19" t="s">
        <v>73</v>
      </c>
      <c r="C36" s="25" t="s">
        <v>76</v>
      </c>
      <c r="D36" s="25" t="s">
        <v>1</v>
      </c>
      <c r="E36" s="119">
        <v>10</v>
      </c>
      <c r="F36" s="25"/>
      <c r="G36" s="43" t="s">
        <v>26</v>
      </c>
      <c r="H36" s="25"/>
      <c r="I36" s="125" t="s">
        <v>173</v>
      </c>
      <c r="K36" s="144"/>
      <c r="P36" s="44"/>
      <c r="W36" s="1">
        <v>4</v>
      </c>
      <c r="X36" s="1">
        <v>12</v>
      </c>
      <c r="Y36" s="130">
        <f t="shared" si="36"/>
        <v>1.1309733552923256</v>
      </c>
      <c r="AE36" s="33">
        <v>0.78</v>
      </c>
      <c r="AF36" s="64">
        <f t="shared" si="24"/>
        <v>0.049400000000000006</v>
      </c>
      <c r="AG36" s="64">
        <f t="shared" si="25"/>
        <v>0.056400000000000006</v>
      </c>
      <c r="AH36" s="64">
        <f t="shared" si="26"/>
        <v>0.06539999999999996</v>
      </c>
      <c r="AI36" s="64">
        <f t="shared" si="27"/>
        <v>0.07560000000000004</v>
      </c>
      <c r="AJ36" s="31">
        <v>0</v>
      </c>
      <c r="AL36" s="33">
        <v>0.78</v>
      </c>
      <c r="AM36" s="64">
        <v>0</v>
      </c>
      <c r="AN36" s="64">
        <f t="shared" si="28"/>
        <v>0.02779999999999999</v>
      </c>
      <c r="AO36" s="64">
        <f t="shared" si="29"/>
        <v>0.03280000000000002</v>
      </c>
      <c r="AP36" s="64">
        <f t="shared" si="30"/>
        <v>0.03780000000000002</v>
      </c>
      <c r="AQ36" s="31">
        <f t="shared" si="31"/>
        <v>0.04380000000000002</v>
      </c>
      <c r="AY36" s="33">
        <v>0.78</v>
      </c>
      <c r="AZ36" s="64">
        <f t="shared" si="32"/>
        <v>0.03540000000000001</v>
      </c>
      <c r="BA36" s="64">
        <f t="shared" si="33"/>
        <v>0.041400000000000006</v>
      </c>
      <c r="BB36" s="64">
        <f t="shared" si="34"/>
        <v>0.048400000000000006</v>
      </c>
      <c r="BC36" s="64">
        <f t="shared" si="35"/>
        <v>0.05559999999999998</v>
      </c>
      <c r="BD36" s="31">
        <v>0</v>
      </c>
    </row>
    <row r="37" spans="1:56" s="1" customFormat="1" ht="15" customHeight="1">
      <c r="A37" s="45"/>
      <c r="H37" s="25"/>
      <c r="P37" s="44"/>
      <c r="W37" s="1">
        <v>5</v>
      </c>
      <c r="X37" s="1">
        <v>15</v>
      </c>
      <c r="Y37" s="130">
        <f t="shared" si="36"/>
        <v>1.7671458676442586</v>
      </c>
      <c r="AE37" s="98">
        <v>0.79</v>
      </c>
      <c r="AF37" s="96">
        <f t="shared" si="24"/>
        <v>0.04870000000000001</v>
      </c>
      <c r="AG37" s="96">
        <f t="shared" si="25"/>
        <v>0.055700000000000006</v>
      </c>
      <c r="AH37" s="96">
        <f t="shared" si="26"/>
        <v>0.06469999999999995</v>
      </c>
      <c r="AI37" s="96">
        <f t="shared" si="27"/>
        <v>0.07480000000000005</v>
      </c>
      <c r="AJ37" s="97">
        <v>0</v>
      </c>
      <c r="AL37" s="95">
        <v>0.79</v>
      </c>
      <c r="AM37" s="96">
        <v>0</v>
      </c>
      <c r="AN37" s="96">
        <f t="shared" si="28"/>
        <v>0.02739999999999999</v>
      </c>
      <c r="AO37" s="96">
        <f t="shared" si="29"/>
        <v>0.03240000000000002</v>
      </c>
      <c r="AP37" s="96">
        <f t="shared" si="30"/>
        <v>0.037400000000000024</v>
      </c>
      <c r="AQ37" s="97">
        <f t="shared" si="31"/>
        <v>0.04340000000000002</v>
      </c>
      <c r="AY37" s="95">
        <v>0.79</v>
      </c>
      <c r="AZ37" s="96">
        <f t="shared" si="32"/>
        <v>0.03470000000000001</v>
      </c>
      <c r="BA37" s="96">
        <f t="shared" si="33"/>
        <v>0.04070000000000001</v>
      </c>
      <c r="BB37" s="96">
        <f t="shared" si="34"/>
        <v>0.047700000000000006</v>
      </c>
      <c r="BC37" s="96">
        <f t="shared" si="35"/>
        <v>0.05479999999999998</v>
      </c>
      <c r="BD37" s="97">
        <v>0</v>
      </c>
    </row>
    <row r="38" spans="1:56" s="1" customFormat="1" ht="15" customHeight="1">
      <c r="A38" s="45"/>
      <c r="B38" s="79">
        <f>+$B$48</f>
        <v>1.25</v>
      </c>
      <c r="C38" s="88">
        <f>+$C$48</f>
        <v>2.5</v>
      </c>
      <c r="D38" s="89"/>
      <c r="E38" s="79">
        <f>+$E$48</f>
        <v>1.25</v>
      </c>
      <c r="H38" s="25"/>
      <c r="I38" s="84"/>
      <c r="J38" s="127"/>
      <c r="K38" s="127"/>
      <c r="L38" s="127"/>
      <c r="M38" s="127"/>
      <c r="N38" s="127"/>
      <c r="O38" s="127"/>
      <c r="P38" s="44"/>
      <c r="W38" s="1">
        <v>6</v>
      </c>
      <c r="X38" s="1">
        <v>16</v>
      </c>
      <c r="Y38" s="130">
        <f t="shared" si="36"/>
        <v>2.0106192982974678</v>
      </c>
      <c r="AE38" s="103">
        <v>0.8</v>
      </c>
      <c r="AF38" s="104">
        <v>0.048</v>
      </c>
      <c r="AG38" s="104">
        <v>0.055</v>
      </c>
      <c r="AH38" s="100">
        <v>0.064</v>
      </c>
      <c r="AI38" s="100">
        <v>0.074</v>
      </c>
      <c r="AJ38" s="101">
        <v>0</v>
      </c>
      <c r="AL38" s="103">
        <v>0.8</v>
      </c>
      <c r="AM38" s="104">
        <v>0</v>
      </c>
      <c r="AN38" s="104">
        <v>0.027</v>
      </c>
      <c r="AO38" s="100">
        <v>0.032</v>
      </c>
      <c r="AP38" s="100">
        <v>0.037</v>
      </c>
      <c r="AQ38" s="101">
        <v>0.043</v>
      </c>
      <c r="AY38" s="103">
        <v>0.8</v>
      </c>
      <c r="AZ38" s="104">
        <v>0.036</v>
      </c>
      <c r="BA38" s="104">
        <v>0.041</v>
      </c>
      <c r="BB38" s="100">
        <v>0.048</v>
      </c>
      <c r="BC38" s="100">
        <v>0.056</v>
      </c>
      <c r="BD38" s="101">
        <v>0.064</v>
      </c>
    </row>
    <row r="39" spans="1:56" s="1" customFormat="1" ht="15" customHeight="1">
      <c r="A39" s="45"/>
      <c r="B39" s="260">
        <f>+IF($J$28&gt;0,$B$48/$J$28,0)</f>
        <v>0.4166666666666667</v>
      </c>
      <c r="C39" s="186" t="s">
        <v>103</v>
      </c>
      <c r="D39" s="187">
        <f>+IF($J$24&gt;0,$C$48/$J$24,0)</f>
        <v>0.3125</v>
      </c>
      <c r="E39" s="192"/>
      <c r="F39" s="84"/>
      <c r="G39" s="85"/>
      <c r="H39" s="25"/>
      <c r="I39" s="25"/>
      <c r="J39" s="126"/>
      <c r="K39" s="126"/>
      <c r="L39" s="126"/>
      <c r="M39" s="126"/>
      <c r="N39" s="126"/>
      <c r="O39" s="126"/>
      <c r="P39" s="44"/>
      <c r="W39" s="1">
        <v>7</v>
      </c>
      <c r="X39" s="1">
        <v>19</v>
      </c>
      <c r="Y39" s="130">
        <f t="shared" si="36"/>
        <v>2.8352873698647882</v>
      </c>
      <c r="AE39" s="33">
        <v>0.81</v>
      </c>
      <c r="AF39" s="64">
        <f aca="true" t="shared" si="37" ref="AF39:AF47">AF38-(0.01*($AF$38-$AF$48)/0.1)</f>
        <v>0.0472</v>
      </c>
      <c r="AG39" s="64">
        <f aca="true" t="shared" si="38" ref="AG39:AG47">AG38-(0.01*($AG$38-$AG$48)/0.1)</f>
        <v>0.0543</v>
      </c>
      <c r="AH39" s="64">
        <f aca="true" t="shared" si="39" ref="AH39:AH47">AH38-(0.01*($AH$38-$AH$48)/0.1)</f>
        <v>0.0633</v>
      </c>
      <c r="AI39" s="64">
        <f aca="true" t="shared" si="40" ref="AI39:AI47">AI38-(0.01*($AI$38-$AI$48)/0.1)</f>
        <v>0.0732</v>
      </c>
      <c r="AJ39" s="31">
        <v>0</v>
      </c>
      <c r="AL39" s="33">
        <v>0.81</v>
      </c>
      <c r="AM39" s="64">
        <v>0</v>
      </c>
      <c r="AN39" s="64">
        <f aca="true" t="shared" si="41" ref="AN39:AN47">AN38-(0.01*($AN$38-$AN$48)/0.1)</f>
        <v>0.0267</v>
      </c>
      <c r="AO39" s="64">
        <f aca="true" t="shared" si="42" ref="AO39:AO47">AO38-(0.01*($AO$38-$AO$48)/0.1)</f>
        <v>0.0316</v>
      </c>
      <c r="AP39" s="64">
        <f aca="true" t="shared" si="43" ref="AP39:AP47">AP38-(0.01*($AP$38-$AP$48)/0.1)</f>
        <v>0.0366</v>
      </c>
      <c r="AQ39" s="31">
        <f aca="true" t="shared" si="44" ref="AQ39:AQ47">AQ38-(0.01*($AQ$38-$AQ$48)/0.1)</f>
        <v>0.042499999999999996</v>
      </c>
      <c r="AY39" s="33">
        <v>0.81</v>
      </c>
      <c r="AZ39" s="64">
        <f aca="true" t="shared" si="45" ref="AZ39:AZ47">AZ38-(0.01*($AF$38-$AF$48)/0.1)</f>
        <v>0.035199999999999995</v>
      </c>
      <c r="BA39" s="64">
        <f aca="true" t="shared" si="46" ref="BA39:BA47">BA38-(0.01*($AG$38-$AG$48)/0.1)</f>
        <v>0.0403</v>
      </c>
      <c r="BB39" s="64">
        <f aca="true" t="shared" si="47" ref="BB39:BB47">BB38-(0.01*($AH$38-$AH$48)/0.1)</f>
        <v>0.0473</v>
      </c>
      <c r="BC39" s="64">
        <f aca="true" t="shared" si="48" ref="BC39:BC47">BC38-(0.01*($AI$38-$AI$48)/0.1)</f>
        <v>0.0552</v>
      </c>
      <c r="BD39" s="31">
        <v>0</v>
      </c>
    </row>
    <row r="40" spans="1:56" s="1" customFormat="1" ht="15" customHeight="1">
      <c r="A40" s="45"/>
      <c r="B40" s="261"/>
      <c r="C40" s="188"/>
      <c r="D40" s="189"/>
      <c r="E40" s="193"/>
      <c r="F40" s="84"/>
      <c r="G40" s="85"/>
      <c r="H40" s="25"/>
      <c r="I40" s="25"/>
      <c r="J40" s="126"/>
      <c r="K40" s="126"/>
      <c r="L40" s="126"/>
      <c r="M40" s="126"/>
      <c r="N40" s="126"/>
      <c r="O40" s="126"/>
      <c r="P40" s="44"/>
      <c r="W40" s="1">
        <v>8</v>
      </c>
      <c r="X40" s="1">
        <v>20</v>
      </c>
      <c r="Y40" s="130">
        <f t="shared" si="36"/>
        <v>3.141592653589793</v>
      </c>
      <c r="AE40" s="33">
        <v>0.82</v>
      </c>
      <c r="AF40" s="64">
        <f t="shared" si="37"/>
        <v>0.0464</v>
      </c>
      <c r="AG40" s="64">
        <f t="shared" si="38"/>
        <v>0.0536</v>
      </c>
      <c r="AH40" s="64">
        <f t="shared" si="39"/>
        <v>0.06259999999999999</v>
      </c>
      <c r="AI40" s="64">
        <f t="shared" si="40"/>
        <v>0.0724</v>
      </c>
      <c r="AJ40" s="31">
        <v>0</v>
      </c>
      <c r="AL40" s="33">
        <v>0.82</v>
      </c>
      <c r="AM40" s="64">
        <v>0</v>
      </c>
      <c r="AN40" s="64">
        <f t="shared" si="41"/>
        <v>0.0264</v>
      </c>
      <c r="AO40" s="64">
        <f t="shared" si="42"/>
        <v>0.031200000000000002</v>
      </c>
      <c r="AP40" s="64">
        <f t="shared" si="43"/>
        <v>0.0362</v>
      </c>
      <c r="AQ40" s="31">
        <f t="shared" si="44"/>
        <v>0.041999999999999996</v>
      </c>
      <c r="AY40" s="33">
        <v>0.82</v>
      </c>
      <c r="AZ40" s="64">
        <f t="shared" si="45"/>
        <v>0.03439999999999999</v>
      </c>
      <c r="BA40" s="64">
        <f t="shared" si="46"/>
        <v>0.0396</v>
      </c>
      <c r="BB40" s="64">
        <f t="shared" si="47"/>
        <v>0.0466</v>
      </c>
      <c r="BC40" s="64">
        <f t="shared" si="48"/>
        <v>0.0544</v>
      </c>
      <c r="BD40" s="31">
        <v>0</v>
      </c>
    </row>
    <row r="41" spans="1:56" s="1" customFormat="1" ht="15" customHeight="1">
      <c r="A41" s="45"/>
      <c r="B41" s="161"/>
      <c r="C41" s="188"/>
      <c r="D41" s="190"/>
      <c r="E41" s="193"/>
      <c r="F41" s="25"/>
      <c r="G41" s="43"/>
      <c r="H41" s="25"/>
      <c r="I41" s="25"/>
      <c r="J41" s="126"/>
      <c r="K41" s="126"/>
      <c r="L41" s="126"/>
      <c r="M41" s="126"/>
      <c r="N41" s="126"/>
      <c r="O41" s="126"/>
      <c r="P41" s="44"/>
      <c r="W41" s="1">
        <v>9</v>
      </c>
      <c r="X41" s="1">
        <v>25</v>
      </c>
      <c r="Y41" s="130">
        <f t="shared" si="36"/>
        <v>4.908738521234052</v>
      </c>
      <c r="AE41" s="33">
        <v>0.83</v>
      </c>
      <c r="AF41" s="64">
        <f t="shared" si="37"/>
        <v>0.045599999999999995</v>
      </c>
      <c r="AG41" s="64">
        <f t="shared" si="38"/>
        <v>0.0529</v>
      </c>
      <c r="AH41" s="64">
        <f t="shared" si="39"/>
        <v>0.06189999999999999</v>
      </c>
      <c r="AI41" s="64">
        <f t="shared" si="40"/>
        <v>0.07160000000000001</v>
      </c>
      <c r="AJ41" s="31">
        <v>0</v>
      </c>
      <c r="AL41" s="33">
        <v>0.83</v>
      </c>
      <c r="AM41" s="64">
        <v>0</v>
      </c>
      <c r="AN41" s="64">
        <f t="shared" si="41"/>
        <v>0.026099999999999998</v>
      </c>
      <c r="AO41" s="64">
        <f t="shared" si="42"/>
        <v>0.0308</v>
      </c>
      <c r="AP41" s="64">
        <f t="shared" si="43"/>
        <v>0.035800000000000005</v>
      </c>
      <c r="AQ41" s="31">
        <f t="shared" si="44"/>
        <v>0.041499999999999995</v>
      </c>
      <c r="AY41" s="33">
        <v>0.83</v>
      </c>
      <c r="AZ41" s="64">
        <f t="shared" si="45"/>
        <v>0.03359999999999999</v>
      </c>
      <c r="BA41" s="64">
        <f t="shared" si="46"/>
        <v>0.038900000000000004</v>
      </c>
      <c r="BB41" s="64">
        <f t="shared" si="47"/>
        <v>0.0459</v>
      </c>
      <c r="BC41" s="64">
        <f t="shared" si="48"/>
        <v>0.053599999999999995</v>
      </c>
      <c r="BD41" s="31">
        <v>0</v>
      </c>
    </row>
    <row r="42" spans="1:56" s="1" customFormat="1" ht="15" customHeight="1">
      <c r="A42" s="112" t="s">
        <v>80</v>
      </c>
      <c r="B42" s="261">
        <f>+IF($K$28&gt;0,$B$48/$K$28,0)</f>
        <v>0.3125</v>
      </c>
      <c r="C42" s="262" t="s">
        <v>102</v>
      </c>
      <c r="D42" s="263">
        <f>+IF($K$24&gt;0,$C$48/$K$24,0)</f>
        <v>0.20833333333333334</v>
      </c>
      <c r="E42" s="193"/>
      <c r="F42" s="92">
        <f>+$E$13</f>
        <v>4</v>
      </c>
      <c r="G42" s="46" t="s">
        <v>101</v>
      </c>
      <c r="H42" s="25"/>
      <c r="I42" s="25"/>
      <c r="J42" s="126"/>
      <c r="K42" s="126"/>
      <c r="L42" s="126"/>
      <c r="M42" s="126"/>
      <c r="N42" s="126"/>
      <c r="O42" s="126"/>
      <c r="P42" s="44"/>
      <c r="W42" s="1">
        <v>10</v>
      </c>
      <c r="X42" s="1">
        <v>28</v>
      </c>
      <c r="Y42" s="130">
        <f t="shared" si="36"/>
        <v>6.157521601035993</v>
      </c>
      <c r="AE42" s="95">
        <v>0.84</v>
      </c>
      <c r="AF42" s="96">
        <f t="shared" si="37"/>
        <v>0.04479999999999999</v>
      </c>
      <c r="AG42" s="96">
        <f t="shared" si="38"/>
        <v>0.0522</v>
      </c>
      <c r="AH42" s="96">
        <f t="shared" si="39"/>
        <v>0.06119999999999999</v>
      </c>
      <c r="AI42" s="96">
        <f t="shared" si="40"/>
        <v>0.07080000000000002</v>
      </c>
      <c r="AJ42" s="97">
        <v>0</v>
      </c>
      <c r="AL42" s="95">
        <v>0.84</v>
      </c>
      <c r="AM42" s="96">
        <v>0</v>
      </c>
      <c r="AN42" s="96">
        <f t="shared" si="41"/>
        <v>0.025799999999999997</v>
      </c>
      <c r="AO42" s="96">
        <f t="shared" si="42"/>
        <v>0.0304</v>
      </c>
      <c r="AP42" s="96">
        <f t="shared" si="43"/>
        <v>0.03540000000000001</v>
      </c>
      <c r="AQ42" s="97">
        <f t="shared" si="44"/>
        <v>0.040999999999999995</v>
      </c>
      <c r="AY42" s="95">
        <v>0.84</v>
      </c>
      <c r="AZ42" s="96">
        <f t="shared" si="45"/>
        <v>0.03279999999999999</v>
      </c>
      <c r="BA42" s="96">
        <f t="shared" si="46"/>
        <v>0.038200000000000005</v>
      </c>
      <c r="BB42" s="96">
        <f t="shared" si="47"/>
        <v>0.045200000000000004</v>
      </c>
      <c r="BC42" s="96">
        <f t="shared" si="48"/>
        <v>0.05279999999999999</v>
      </c>
      <c r="BD42" s="97">
        <v>0</v>
      </c>
    </row>
    <row r="43" spans="1:56" s="1" customFormat="1" ht="15" customHeight="1">
      <c r="A43" s="111" t="s">
        <v>98</v>
      </c>
      <c r="B43" s="261"/>
      <c r="C43" s="262"/>
      <c r="D43" s="263"/>
      <c r="E43" s="194"/>
      <c r="F43" s="25"/>
      <c r="G43" s="43"/>
      <c r="H43" s="25"/>
      <c r="I43" s="25"/>
      <c r="J43" s="126"/>
      <c r="K43" s="126"/>
      <c r="L43" s="126"/>
      <c r="M43" s="126"/>
      <c r="N43" s="126"/>
      <c r="O43" s="126"/>
      <c r="P43" s="44"/>
      <c r="W43" s="1">
        <v>11</v>
      </c>
      <c r="X43" s="1">
        <v>32</v>
      </c>
      <c r="Y43" s="130">
        <f t="shared" si="36"/>
        <v>8.042477193189871</v>
      </c>
      <c r="AA43" s="25"/>
      <c r="AE43" s="102">
        <v>0.85</v>
      </c>
      <c r="AF43" s="100">
        <f t="shared" si="37"/>
        <v>0.04399999999999999</v>
      </c>
      <c r="AG43" s="100">
        <f t="shared" si="38"/>
        <v>0.051500000000000004</v>
      </c>
      <c r="AH43" s="100">
        <f t="shared" si="39"/>
        <v>0.06049999999999999</v>
      </c>
      <c r="AI43" s="100">
        <f t="shared" si="40"/>
        <v>0.07000000000000002</v>
      </c>
      <c r="AJ43" s="101">
        <v>0</v>
      </c>
      <c r="AL43" s="102">
        <v>0.85</v>
      </c>
      <c r="AM43" s="100">
        <v>0</v>
      </c>
      <c r="AN43" s="100">
        <f t="shared" si="41"/>
        <v>0.025499999999999995</v>
      </c>
      <c r="AO43" s="100">
        <f t="shared" si="42"/>
        <v>0.03</v>
      </c>
      <c r="AP43" s="100">
        <f t="shared" si="43"/>
        <v>0.03500000000000001</v>
      </c>
      <c r="AQ43" s="101">
        <f t="shared" si="44"/>
        <v>0.040499999999999994</v>
      </c>
      <c r="AY43" s="102">
        <v>0.85</v>
      </c>
      <c r="AZ43" s="100">
        <f t="shared" si="45"/>
        <v>0.03199999999999999</v>
      </c>
      <c r="BA43" s="100">
        <f t="shared" si="46"/>
        <v>0.037500000000000006</v>
      </c>
      <c r="BB43" s="100">
        <f t="shared" si="47"/>
        <v>0.044500000000000005</v>
      </c>
      <c r="BC43" s="100">
        <f t="shared" si="48"/>
        <v>0.05199999999999999</v>
      </c>
      <c r="BD43" s="101">
        <v>0</v>
      </c>
    </row>
    <row r="44" spans="1:56" s="1" customFormat="1" ht="15" customHeight="1">
      <c r="A44" s="56"/>
      <c r="B44" s="161"/>
      <c r="C44" s="188"/>
      <c r="D44" s="190"/>
      <c r="E44" s="194"/>
      <c r="F44" s="25"/>
      <c r="G44" s="43"/>
      <c r="H44" s="25"/>
      <c r="I44" s="25"/>
      <c r="J44" s="126"/>
      <c r="K44" s="126"/>
      <c r="L44" s="126"/>
      <c r="M44" s="126"/>
      <c r="N44" s="126"/>
      <c r="O44" s="126"/>
      <c r="P44" s="44"/>
      <c r="AA44" s="25"/>
      <c r="AE44" s="33">
        <v>0.86</v>
      </c>
      <c r="AF44" s="64">
        <f t="shared" si="37"/>
        <v>0.04319999999999999</v>
      </c>
      <c r="AG44" s="64">
        <f t="shared" si="38"/>
        <v>0.050800000000000005</v>
      </c>
      <c r="AH44" s="64">
        <f t="shared" si="39"/>
        <v>0.05979999999999999</v>
      </c>
      <c r="AI44" s="64">
        <f t="shared" si="40"/>
        <v>0.06920000000000003</v>
      </c>
      <c r="AJ44" s="31">
        <v>0</v>
      </c>
      <c r="AL44" s="33">
        <v>0.86</v>
      </c>
      <c r="AM44" s="64">
        <v>0</v>
      </c>
      <c r="AN44" s="64">
        <f t="shared" si="41"/>
        <v>0.025199999999999993</v>
      </c>
      <c r="AO44" s="64">
        <f t="shared" si="42"/>
        <v>0.029599999999999998</v>
      </c>
      <c r="AP44" s="64">
        <f t="shared" si="43"/>
        <v>0.03460000000000001</v>
      </c>
      <c r="AQ44" s="31">
        <f t="shared" si="44"/>
        <v>0.039999999999999994</v>
      </c>
      <c r="AY44" s="33">
        <v>0.86</v>
      </c>
      <c r="AZ44" s="64">
        <f t="shared" si="45"/>
        <v>0.031199999999999988</v>
      </c>
      <c r="BA44" s="64">
        <f t="shared" si="46"/>
        <v>0.036800000000000006</v>
      </c>
      <c r="BB44" s="64">
        <f t="shared" si="47"/>
        <v>0.043800000000000006</v>
      </c>
      <c r="BC44" s="64">
        <f t="shared" si="48"/>
        <v>0.05119999999999999</v>
      </c>
      <c r="BD44" s="31">
        <v>0</v>
      </c>
    </row>
    <row r="45" spans="1:56" s="1" customFormat="1" ht="15" customHeight="1">
      <c r="A45" s="56"/>
      <c r="B45" s="261">
        <f>+IF($L$28&gt;0,$B$48/$L$28,0)</f>
        <v>0.25</v>
      </c>
      <c r="C45" s="262" t="s">
        <v>102</v>
      </c>
      <c r="D45" s="263">
        <f>+IF($L$24&gt;0,$C$48/$L$24,0)</f>
        <v>0.16666666666666666</v>
      </c>
      <c r="E45" s="195"/>
      <c r="F45" s="25"/>
      <c r="G45" s="43"/>
      <c r="H45" s="25"/>
      <c r="P45" s="44"/>
      <c r="W45" s="61">
        <v>4</v>
      </c>
      <c r="X45" s="61">
        <v>3</v>
      </c>
      <c r="AA45" s="25"/>
      <c r="AE45" s="33">
        <v>0.87</v>
      </c>
      <c r="AF45" s="64">
        <f t="shared" si="37"/>
        <v>0.042399999999999986</v>
      </c>
      <c r="AG45" s="64">
        <f t="shared" si="38"/>
        <v>0.050100000000000006</v>
      </c>
      <c r="AH45" s="64">
        <f t="shared" si="39"/>
        <v>0.05909999999999999</v>
      </c>
      <c r="AI45" s="64">
        <f t="shared" si="40"/>
        <v>0.06840000000000003</v>
      </c>
      <c r="AJ45" s="31">
        <v>0</v>
      </c>
      <c r="AL45" s="33">
        <v>0.87</v>
      </c>
      <c r="AM45" s="64">
        <v>0</v>
      </c>
      <c r="AN45" s="64">
        <f t="shared" si="41"/>
        <v>0.02489999999999999</v>
      </c>
      <c r="AO45" s="64">
        <f t="shared" si="42"/>
        <v>0.029199999999999997</v>
      </c>
      <c r="AP45" s="64">
        <f t="shared" si="43"/>
        <v>0.034200000000000015</v>
      </c>
      <c r="AQ45" s="31">
        <f t="shared" si="44"/>
        <v>0.03949999999999999</v>
      </c>
      <c r="AY45" s="33">
        <v>0.87</v>
      </c>
      <c r="AZ45" s="64">
        <f t="shared" si="45"/>
        <v>0.03039999999999999</v>
      </c>
      <c r="BA45" s="64">
        <f t="shared" si="46"/>
        <v>0.03610000000000001</v>
      </c>
      <c r="BB45" s="64">
        <f t="shared" si="47"/>
        <v>0.043100000000000006</v>
      </c>
      <c r="BC45" s="64">
        <f t="shared" si="48"/>
        <v>0.050399999999999986</v>
      </c>
      <c r="BD45" s="31">
        <v>0</v>
      </c>
    </row>
    <row r="46" spans="1:56" s="1" customFormat="1" ht="15.75" customHeight="1">
      <c r="A46" s="56"/>
      <c r="B46" s="264"/>
      <c r="C46" s="265"/>
      <c r="D46" s="266"/>
      <c r="E46" s="196"/>
      <c r="F46" s="25"/>
      <c r="G46" s="25"/>
      <c r="H46" s="25"/>
      <c r="P46" s="44"/>
      <c r="W46" s="61">
        <v>3</v>
      </c>
      <c r="AA46" s="25"/>
      <c r="AE46" s="33">
        <v>0.88</v>
      </c>
      <c r="AF46" s="64">
        <f t="shared" si="37"/>
        <v>0.041599999999999984</v>
      </c>
      <c r="AG46" s="64">
        <f t="shared" si="38"/>
        <v>0.049400000000000006</v>
      </c>
      <c r="AH46" s="64">
        <f t="shared" si="39"/>
        <v>0.058399999999999994</v>
      </c>
      <c r="AI46" s="64">
        <f t="shared" si="40"/>
        <v>0.06760000000000004</v>
      </c>
      <c r="AJ46" s="31">
        <v>0</v>
      </c>
      <c r="AL46" s="33">
        <v>0.88</v>
      </c>
      <c r="AM46" s="64">
        <v>0</v>
      </c>
      <c r="AN46" s="64">
        <f t="shared" si="41"/>
        <v>0.02459999999999999</v>
      </c>
      <c r="AO46" s="64">
        <f t="shared" si="42"/>
        <v>0.028799999999999996</v>
      </c>
      <c r="AP46" s="64">
        <f t="shared" si="43"/>
        <v>0.03380000000000002</v>
      </c>
      <c r="AQ46" s="31">
        <f t="shared" si="44"/>
        <v>0.03899999999999999</v>
      </c>
      <c r="AY46" s="33">
        <v>0.88</v>
      </c>
      <c r="AZ46" s="64">
        <f t="shared" si="45"/>
        <v>0.02959999999999999</v>
      </c>
      <c r="BA46" s="64">
        <f t="shared" si="46"/>
        <v>0.03540000000000001</v>
      </c>
      <c r="BB46" s="64">
        <f t="shared" si="47"/>
        <v>0.04240000000000001</v>
      </c>
      <c r="BC46" s="64">
        <f t="shared" si="48"/>
        <v>0.049599999999999984</v>
      </c>
      <c r="BD46" s="31">
        <v>0</v>
      </c>
    </row>
    <row r="47" spans="1:56" s="1" customFormat="1" ht="16.5" customHeight="1">
      <c r="A47" s="45"/>
      <c r="B47" s="38"/>
      <c r="C47" s="90" t="s">
        <v>100</v>
      </c>
      <c r="D47" s="91">
        <f>+$E$14</f>
        <v>5</v>
      </c>
      <c r="E47" s="93" t="s">
        <v>101</v>
      </c>
      <c r="F47" s="25"/>
      <c r="G47" s="25"/>
      <c r="H47" s="25"/>
      <c r="P47" s="44"/>
      <c r="Y47" s="61">
        <f>+VLOOKUP(X45,W33:X43,2)</f>
        <v>10</v>
      </c>
      <c r="AA47" s="25"/>
      <c r="AE47" s="98">
        <v>0.89</v>
      </c>
      <c r="AF47" s="96">
        <f t="shared" si="37"/>
        <v>0.04079999999999998</v>
      </c>
      <c r="AG47" s="96">
        <f t="shared" si="38"/>
        <v>0.04870000000000001</v>
      </c>
      <c r="AH47" s="96">
        <f t="shared" si="39"/>
        <v>0.057699999999999994</v>
      </c>
      <c r="AI47" s="96">
        <f t="shared" si="40"/>
        <v>0.06680000000000004</v>
      </c>
      <c r="AJ47" s="97">
        <v>0</v>
      </c>
      <c r="AL47" s="95">
        <v>0.89</v>
      </c>
      <c r="AM47" s="96">
        <v>0</v>
      </c>
      <c r="AN47" s="96">
        <f t="shared" si="41"/>
        <v>0.02429999999999999</v>
      </c>
      <c r="AO47" s="96">
        <f t="shared" si="42"/>
        <v>0.028399999999999995</v>
      </c>
      <c r="AP47" s="96">
        <f t="shared" si="43"/>
        <v>0.03340000000000002</v>
      </c>
      <c r="AQ47" s="97">
        <f t="shared" si="44"/>
        <v>0.03849999999999999</v>
      </c>
      <c r="AY47" s="95">
        <v>0.89</v>
      </c>
      <c r="AZ47" s="96">
        <f t="shared" si="45"/>
        <v>0.028799999999999992</v>
      </c>
      <c r="BA47" s="96">
        <f t="shared" si="46"/>
        <v>0.03470000000000001</v>
      </c>
      <c r="BB47" s="96">
        <f t="shared" si="47"/>
        <v>0.04170000000000001</v>
      </c>
      <c r="BC47" s="96">
        <f t="shared" si="48"/>
        <v>0.04879999999999998</v>
      </c>
      <c r="BD47" s="97">
        <v>0</v>
      </c>
    </row>
    <row r="48" spans="1:56" s="1" customFormat="1" ht="15" customHeight="1">
      <c r="A48" s="45"/>
      <c r="B48" s="79">
        <f>$E$14/4</f>
        <v>1.25</v>
      </c>
      <c r="C48" s="267">
        <f>$E$14/2</f>
        <v>2.5</v>
      </c>
      <c r="D48" s="267"/>
      <c r="E48" s="79">
        <f>$E$14/4</f>
        <v>1.25</v>
      </c>
      <c r="F48" s="25"/>
      <c r="G48" s="43"/>
      <c r="H48" s="25"/>
      <c r="P48" s="44"/>
      <c r="X48" s="61">
        <f>+VLOOKUP(W46,W33:X43,2)</f>
        <v>10</v>
      </c>
      <c r="AA48" s="25"/>
      <c r="AE48" s="34">
        <v>0.9</v>
      </c>
      <c r="AF48" s="65">
        <v>0.04</v>
      </c>
      <c r="AG48" s="65">
        <v>0.048</v>
      </c>
      <c r="AH48" s="66">
        <v>0.057</v>
      </c>
      <c r="AI48" s="66">
        <v>0.066</v>
      </c>
      <c r="AJ48" s="32">
        <v>0</v>
      </c>
      <c r="AL48" s="34">
        <v>0.9</v>
      </c>
      <c r="AM48" s="65">
        <v>0</v>
      </c>
      <c r="AN48" s="65">
        <v>0.024</v>
      </c>
      <c r="AO48" s="66">
        <v>0.028</v>
      </c>
      <c r="AP48" s="66">
        <v>0.033</v>
      </c>
      <c r="AQ48" s="32">
        <v>0.038</v>
      </c>
      <c r="AY48" s="103">
        <v>0.9</v>
      </c>
      <c r="AZ48" s="104">
        <v>0.03</v>
      </c>
      <c r="BA48" s="104">
        <v>0.036</v>
      </c>
      <c r="BB48" s="100">
        <v>0.043</v>
      </c>
      <c r="BC48" s="100">
        <v>0.05</v>
      </c>
      <c r="BD48" s="101">
        <v>0.057</v>
      </c>
    </row>
    <row r="49" spans="1:56" s="1" customFormat="1" ht="15" customHeight="1">
      <c r="A49" s="45"/>
      <c r="B49" s="25"/>
      <c r="C49" s="25"/>
      <c r="D49" s="25"/>
      <c r="E49" s="25"/>
      <c r="F49" s="25"/>
      <c r="G49" s="25"/>
      <c r="H49" s="25"/>
      <c r="P49" s="44"/>
      <c r="AA49" s="25"/>
      <c r="AE49" s="33">
        <v>0.91</v>
      </c>
      <c r="AF49" s="64">
        <f aca="true" t="shared" si="49" ref="AF49:AF57">AF48-(0.01*($AF$48-$AF$58)/0.1)</f>
        <v>0.0393</v>
      </c>
      <c r="AG49" s="64">
        <f aca="true" t="shared" si="50" ref="AG49:AG57">AG48-(0.01*($AG$48-$AG$58)/0.1)</f>
        <v>0.0473</v>
      </c>
      <c r="AH49" s="64">
        <f aca="true" t="shared" si="51" ref="AH49:AH57">AH48-(0.01*($AH$48-$AH$58)/0.1)</f>
        <v>0.0562</v>
      </c>
      <c r="AI49" s="64">
        <f aca="true" t="shared" si="52" ref="AI49:AI57">AI48-(0.01*($AI$48-$AI$58)/0.1)</f>
        <v>0.06520000000000001</v>
      </c>
      <c r="AJ49" s="31">
        <v>0</v>
      </c>
      <c r="AL49" s="33">
        <v>0.91</v>
      </c>
      <c r="AM49" s="64">
        <v>0</v>
      </c>
      <c r="AN49" s="64">
        <f aca="true" t="shared" si="53" ref="AN49:AN57">AN48-(0.01*($AN$48-$AN$58)/0.1)</f>
        <v>0.0237</v>
      </c>
      <c r="AO49" s="64">
        <f aca="true" t="shared" si="54" ref="AO49:AO57">AO48-(0.01*($AO$48-$AO$58)/0.1)</f>
        <v>0.027700000000000002</v>
      </c>
      <c r="AP49" s="64">
        <f aca="true" t="shared" si="55" ref="AP49:AP57">AP48-(0.01*($AP$48-$AP$58)/0.1)</f>
        <v>0.032600000000000004</v>
      </c>
      <c r="AQ49" s="31">
        <f aca="true" t="shared" si="56" ref="AQ49:AQ57">AQ48-(0.01*($AQ$48-$AQ$58)/0.1)</f>
        <v>0.0375</v>
      </c>
      <c r="AY49" s="33">
        <v>0.91</v>
      </c>
      <c r="AZ49" s="64">
        <f aca="true" t="shared" si="57" ref="AZ49:AZ57">AZ48-(0.01*($AF$48-$AF$58)/0.1)</f>
        <v>0.0293</v>
      </c>
      <c r="BA49" s="64">
        <f aca="true" t="shared" si="58" ref="BA49:BA57">BA48-(0.01*($AG$48-$AG$58)/0.1)</f>
        <v>0.0353</v>
      </c>
      <c r="BB49" s="64">
        <f aca="true" t="shared" si="59" ref="BB49:BB57">BB48-(0.01*($AH$48-$AH$58)/0.1)</f>
        <v>0.042199999999999994</v>
      </c>
      <c r="BC49" s="64">
        <f aca="true" t="shared" si="60" ref="BC49:BC57">BC48-(0.01*($AI$48-$AI$58)/0.1)</f>
        <v>0.0492</v>
      </c>
      <c r="BD49" s="31">
        <v>0</v>
      </c>
    </row>
    <row r="50" spans="1:56" s="1" customFormat="1" ht="15" customHeight="1">
      <c r="A50" s="45"/>
      <c r="B50" s="197">
        <f>+IF($M$28&gt;0,$F$50/$M$28,0)</f>
        <v>0.5</v>
      </c>
      <c r="C50" s="198" t="s">
        <v>104</v>
      </c>
      <c r="D50" s="153">
        <f>+IF($N$28&gt;0,$F$50/$N$28,0)</f>
        <v>0.3333333333333333</v>
      </c>
      <c r="E50" s="199">
        <f>+IF($O$28&gt;0,$F$50/$O$28,0)</f>
        <v>0.25</v>
      </c>
      <c r="F50" s="268">
        <f>$E$13/4</f>
        <v>1</v>
      </c>
      <c r="G50" s="25"/>
      <c r="H50" s="25"/>
      <c r="P50" s="44"/>
      <c r="Y50" s="25"/>
      <c r="AA50" s="25"/>
      <c r="AE50" s="33">
        <v>0.92</v>
      </c>
      <c r="AF50" s="64">
        <f t="shared" si="49"/>
        <v>0.0386</v>
      </c>
      <c r="AG50" s="64">
        <f t="shared" si="50"/>
        <v>0.0466</v>
      </c>
      <c r="AH50" s="64">
        <f t="shared" si="51"/>
        <v>0.0554</v>
      </c>
      <c r="AI50" s="64">
        <f t="shared" si="52"/>
        <v>0.06440000000000001</v>
      </c>
      <c r="AJ50" s="31">
        <v>0</v>
      </c>
      <c r="AL50" s="33">
        <v>0.92</v>
      </c>
      <c r="AM50" s="64">
        <v>0</v>
      </c>
      <c r="AN50" s="64">
        <f t="shared" si="53"/>
        <v>0.023399999999999997</v>
      </c>
      <c r="AO50" s="64">
        <f t="shared" si="54"/>
        <v>0.0274</v>
      </c>
      <c r="AP50" s="64">
        <f t="shared" si="55"/>
        <v>0.032200000000000006</v>
      </c>
      <c r="AQ50" s="31">
        <f t="shared" si="56"/>
        <v>0.037</v>
      </c>
      <c r="AY50" s="33">
        <v>0.92</v>
      </c>
      <c r="AZ50" s="64">
        <f t="shared" si="57"/>
        <v>0.0286</v>
      </c>
      <c r="BA50" s="64">
        <f t="shared" si="58"/>
        <v>0.0346</v>
      </c>
      <c r="BB50" s="64">
        <f t="shared" si="59"/>
        <v>0.04139999999999999</v>
      </c>
      <c r="BC50" s="64">
        <f t="shared" si="60"/>
        <v>0.0484</v>
      </c>
      <c r="BD50" s="31">
        <v>0</v>
      </c>
    </row>
    <row r="51" spans="1:56" s="1" customFormat="1" ht="15" customHeight="1">
      <c r="A51" s="45"/>
      <c r="B51" s="161"/>
      <c r="C51" s="160"/>
      <c r="D51" s="160"/>
      <c r="E51" s="162"/>
      <c r="F51" s="268"/>
      <c r="G51" s="25"/>
      <c r="H51" s="25"/>
      <c r="P51" s="44"/>
      <c r="AA51" s="25"/>
      <c r="AE51" s="33">
        <v>0.93</v>
      </c>
      <c r="AF51" s="64">
        <f t="shared" si="49"/>
        <v>0.0379</v>
      </c>
      <c r="AG51" s="64">
        <f t="shared" si="50"/>
        <v>0.0459</v>
      </c>
      <c r="AH51" s="64">
        <f t="shared" si="51"/>
        <v>0.054599999999999996</v>
      </c>
      <c r="AI51" s="64">
        <f t="shared" si="52"/>
        <v>0.06360000000000002</v>
      </c>
      <c r="AJ51" s="31">
        <v>0</v>
      </c>
      <c r="AL51" s="33">
        <v>0.93</v>
      </c>
      <c r="AM51" s="64">
        <v>0</v>
      </c>
      <c r="AN51" s="64">
        <f t="shared" si="53"/>
        <v>0.023099999999999996</v>
      </c>
      <c r="AO51" s="64">
        <f t="shared" si="54"/>
        <v>0.0271</v>
      </c>
      <c r="AP51" s="64">
        <f t="shared" si="55"/>
        <v>0.03180000000000001</v>
      </c>
      <c r="AQ51" s="31">
        <f t="shared" si="56"/>
        <v>0.0365</v>
      </c>
      <c r="AY51" s="33">
        <v>0.93</v>
      </c>
      <c r="AZ51" s="64">
        <f t="shared" si="57"/>
        <v>0.0279</v>
      </c>
      <c r="BA51" s="64">
        <f t="shared" si="58"/>
        <v>0.0339</v>
      </c>
      <c r="BB51" s="64">
        <f t="shared" si="59"/>
        <v>0.04059999999999999</v>
      </c>
      <c r="BC51" s="64">
        <f t="shared" si="60"/>
        <v>0.047599999999999996</v>
      </c>
      <c r="BD51" s="31">
        <v>0</v>
      </c>
    </row>
    <row r="52" spans="1:56" s="1" customFormat="1" ht="15" customHeight="1">
      <c r="A52" s="45"/>
      <c r="B52" s="203"/>
      <c r="C52" s="188"/>
      <c r="D52" s="188"/>
      <c r="E52" s="204"/>
      <c r="F52" s="268">
        <f>$E$13/2</f>
        <v>2</v>
      </c>
      <c r="G52" s="25"/>
      <c r="H52" s="25"/>
      <c r="P52" s="44"/>
      <c r="AA52" s="25"/>
      <c r="AE52" s="98">
        <v>0.94</v>
      </c>
      <c r="AF52" s="96">
        <f t="shared" si="49"/>
        <v>0.037200000000000004</v>
      </c>
      <c r="AG52" s="96">
        <f t="shared" si="50"/>
        <v>0.045200000000000004</v>
      </c>
      <c r="AH52" s="96">
        <f t="shared" si="51"/>
        <v>0.053799999999999994</v>
      </c>
      <c r="AI52" s="96">
        <f t="shared" si="52"/>
        <v>0.06280000000000002</v>
      </c>
      <c r="AJ52" s="97">
        <v>0</v>
      </c>
      <c r="AL52" s="95">
        <v>0.94</v>
      </c>
      <c r="AM52" s="96">
        <v>0</v>
      </c>
      <c r="AN52" s="96">
        <f t="shared" si="53"/>
        <v>0.022799999999999994</v>
      </c>
      <c r="AO52" s="96">
        <f t="shared" si="54"/>
        <v>0.026799999999999997</v>
      </c>
      <c r="AP52" s="96">
        <f t="shared" si="55"/>
        <v>0.03140000000000001</v>
      </c>
      <c r="AQ52" s="97">
        <f t="shared" si="56"/>
        <v>0.036</v>
      </c>
      <c r="AY52" s="95">
        <v>0.94</v>
      </c>
      <c r="AZ52" s="96">
        <f t="shared" si="57"/>
        <v>0.027200000000000002</v>
      </c>
      <c r="BA52" s="96">
        <f t="shared" si="58"/>
        <v>0.0332</v>
      </c>
      <c r="BB52" s="96">
        <f t="shared" si="59"/>
        <v>0.03979999999999999</v>
      </c>
      <c r="BC52" s="96">
        <f t="shared" si="60"/>
        <v>0.046799999999999994</v>
      </c>
      <c r="BD52" s="97">
        <v>0</v>
      </c>
    </row>
    <row r="53" spans="1:56" s="1" customFormat="1" ht="15" customHeight="1">
      <c r="A53" s="86" t="s">
        <v>80</v>
      </c>
      <c r="B53" s="205">
        <f>+IF($M$24&gt;0,$F$52/$M$24,0)</f>
        <v>0.3333333333333333</v>
      </c>
      <c r="C53" s="206" t="s">
        <v>105</v>
      </c>
      <c r="D53" s="189">
        <f>+IF($N$24&gt;0,$F$52/$N$24,0)</f>
        <v>0.25</v>
      </c>
      <c r="E53" s="207">
        <f>+IF($O$24&gt;0,$F$52/$O$24,0)</f>
        <v>0.18181818181818182</v>
      </c>
      <c r="F53" s="268"/>
      <c r="G53" s="25"/>
      <c r="H53" s="25"/>
      <c r="P53" s="44"/>
      <c r="AA53" s="25"/>
      <c r="AE53" s="99">
        <v>0.95</v>
      </c>
      <c r="AF53" s="100">
        <f t="shared" si="49"/>
        <v>0.036500000000000005</v>
      </c>
      <c r="AG53" s="100">
        <f t="shared" si="50"/>
        <v>0.044500000000000005</v>
      </c>
      <c r="AH53" s="100">
        <f t="shared" si="51"/>
        <v>0.05299999999999999</v>
      </c>
      <c r="AI53" s="100">
        <f t="shared" si="52"/>
        <v>0.06200000000000002</v>
      </c>
      <c r="AJ53" s="101">
        <v>0</v>
      </c>
      <c r="AL53" s="102">
        <v>0.95</v>
      </c>
      <c r="AM53" s="100">
        <v>0</v>
      </c>
      <c r="AN53" s="100">
        <f t="shared" si="53"/>
        <v>0.022499999999999992</v>
      </c>
      <c r="AO53" s="100">
        <f t="shared" si="54"/>
        <v>0.026499999999999996</v>
      </c>
      <c r="AP53" s="100">
        <f t="shared" si="55"/>
        <v>0.03100000000000001</v>
      </c>
      <c r="AQ53" s="101">
        <f t="shared" si="56"/>
        <v>0.0355</v>
      </c>
      <c r="AY53" s="102">
        <v>0.95</v>
      </c>
      <c r="AZ53" s="100">
        <f t="shared" si="57"/>
        <v>0.026500000000000003</v>
      </c>
      <c r="BA53" s="100">
        <f t="shared" si="58"/>
        <v>0.0325</v>
      </c>
      <c r="BB53" s="100">
        <f t="shared" si="59"/>
        <v>0.038999999999999986</v>
      </c>
      <c r="BC53" s="100">
        <f t="shared" si="60"/>
        <v>0.04599999999999999</v>
      </c>
      <c r="BD53" s="101">
        <v>0</v>
      </c>
    </row>
    <row r="54" spans="1:56" s="1" customFormat="1" ht="15" customHeight="1">
      <c r="A54" s="45"/>
      <c r="B54" s="208"/>
      <c r="C54" s="188"/>
      <c r="D54" s="188"/>
      <c r="E54" s="204"/>
      <c r="F54" s="268"/>
      <c r="G54" s="25"/>
      <c r="H54" s="25"/>
      <c r="P54" s="44"/>
      <c r="AA54" s="25"/>
      <c r="AE54" s="33">
        <v>0.96</v>
      </c>
      <c r="AF54" s="64">
        <f t="shared" si="49"/>
        <v>0.035800000000000005</v>
      </c>
      <c r="AG54" s="64">
        <f t="shared" si="50"/>
        <v>0.043800000000000006</v>
      </c>
      <c r="AH54" s="64">
        <f t="shared" si="51"/>
        <v>0.05219999999999999</v>
      </c>
      <c r="AI54" s="64">
        <f t="shared" si="52"/>
        <v>0.06120000000000002</v>
      </c>
      <c r="AJ54" s="31">
        <v>0</v>
      </c>
      <c r="AL54" s="33">
        <v>0.96</v>
      </c>
      <c r="AM54" s="64">
        <v>0</v>
      </c>
      <c r="AN54" s="64">
        <f t="shared" si="53"/>
        <v>0.02219999999999999</v>
      </c>
      <c r="AO54" s="64">
        <f t="shared" si="54"/>
        <v>0.026199999999999994</v>
      </c>
      <c r="AP54" s="64">
        <f t="shared" si="55"/>
        <v>0.03060000000000001</v>
      </c>
      <c r="AQ54" s="31">
        <f t="shared" si="56"/>
        <v>0.034999999999999996</v>
      </c>
      <c r="AY54" s="33">
        <v>0.96</v>
      </c>
      <c r="AZ54" s="64">
        <f t="shared" si="57"/>
        <v>0.025800000000000003</v>
      </c>
      <c r="BA54" s="64">
        <f t="shared" si="58"/>
        <v>0.0318</v>
      </c>
      <c r="BB54" s="64">
        <f t="shared" si="59"/>
        <v>0.038199999999999984</v>
      </c>
      <c r="BC54" s="64">
        <f t="shared" si="60"/>
        <v>0.04519999999999999</v>
      </c>
      <c r="BD54" s="31">
        <v>0</v>
      </c>
    </row>
    <row r="55" spans="1:56" s="1" customFormat="1" ht="15.75" customHeight="1">
      <c r="A55" s="45"/>
      <c r="B55" s="205"/>
      <c r="C55" s="269"/>
      <c r="D55" s="269"/>
      <c r="E55" s="207"/>
      <c r="F55" s="268"/>
      <c r="G55" s="25"/>
      <c r="H55" s="25"/>
      <c r="P55" s="44"/>
      <c r="AA55" s="25"/>
      <c r="AE55" s="33">
        <v>0.97</v>
      </c>
      <c r="AF55" s="64">
        <f t="shared" si="49"/>
        <v>0.035100000000000006</v>
      </c>
      <c r="AG55" s="64">
        <f t="shared" si="50"/>
        <v>0.043100000000000006</v>
      </c>
      <c r="AH55" s="64">
        <f t="shared" si="51"/>
        <v>0.05139999999999999</v>
      </c>
      <c r="AI55" s="64">
        <f t="shared" si="52"/>
        <v>0.060400000000000016</v>
      </c>
      <c r="AJ55" s="31">
        <v>0</v>
      </c>
      <c r="AL55" s="33">
        <v>0.97</v>
      </c>
      <c r="AM55" s="64">
        <v>0</v>
      </c>
      <c r="AN55" s="64">
        <f t="shared" si="53"/>
        <v>0.02189999999999999</v>
      </c>
      <c r="AO55" s="64">
        <f t="shared" si="54"/>
        <v>0.025899999999999992</v>
      </c>
      <c r="AP55" s="64">
        <f t="shared" si="55"/>
        <v>0.030200000000000008</v>
      </c>
      <c r="AQ55" s="31">
        <f t="shared" si="56"/>
        <v>0.034499999999999996</v>
      </c>
      <c r="AY55" s="33">
        <v>0.97</v>
      </c>
      <c r="AZ55" s="64">
        <f t="shared" si="57"/>
        <v>0.025100000000000004</v>
      </c>
      <c r="BA55" s="64">
        <f t="shared" si="58"/>
        <v>0.031100000000000003</v>
      </c>
      <c r="BB55" s="64">
        <f t="shared" si="59"/>
        <v>0.03739999999999998</v>
      </c>
      <c r="BC55" s="64">
        <f t="shared" si="60"/>
        <v>0.04439999999999999</v>
      </c>
      <c r="BD55" s="31">
        <v>0</v>
      </c>
    </row>
    <row r="56" spans="1:56" s="1" customFormat="1" ht="15" customHeight="1">
      <c r="A56" s="45"/>
      <c r="B56" s="163">
        <f>+IF($M$28&gt;0,$F$56/$M$28,0)</f>
        <v>0.5</v>
      </c>
      <c r="C56" s="164" t="s">
        <v>105</v>
      </c>
      <c r="D56" s="154">
        <f>IF($N$28&gt;0,$F$56/$N$28,0)</f>
        <v>0.3333333333333333</v>
      </c>
      <c r="E56" s="165">
        <f>IF($O$28&gt;0,$F$56/$O$28,0)</f>
        <v>0.25</v>
      </c>
      <c r="F56" s="268">
        <f>$E$13/4</f>
        <v>1</v>
      </c>
      <c r="G56" s="25"/>
      <c r="H56" s="25"/>
      <c r="P56" s="44"/>
      <c r="AA56" s="25"/>
      <c r="AE56" s="33">
        <v>0.98</v>
      </c>
      <c r="AF56" s="64">
        <f t="shared" si="49"/>
        <v>0.03440000000000001</v>
      </c>
      <c r="AG56" s="64">
        <f t="shared" si="50"/>
        <v>0.04240000000000001</v>
      </c>
      <c r="AH56" s="64">
        <f t="shared" si="51"/>
        <v>0.050599999999999985</v>
      </c>
      <c r="AI56" s="64">
        <f t="shared" si="52"/>
        <v>0.059600000000000014</v>
      </c>
      <c r="AJ56" s="31">
        <v>0</v>
      </c>
      <c r="AL56" s="33">
        <v>0.98</v>
      </c>
      <c r="AM56" s="64">
        <v>0</v>
      </c>
      <c r="AN56" s="64">
        <f t="shared" si="53"/>
        <v>0.021599999999999987</v>
      </c>
      <c r="AO56" s="64">
        <f t="shared" si="54"/>
        <v>0.02559999999999999</v>
      </c>
      <c r="AP56" s="64">
        <f t="shared" si="55"/>
        <v>0.029800000000000007</v>
      </c>
      <c r="AQ56" s="31">
        <f t="shared" si="56"/>
        <v>0.033999999999999996</v>
      </c>
      <c r="AY56" s="33">
        <v>0.98</v>
      </c>
      <c r="AZ56" s="64">
        <f t="shared" si="57"/>
        <v>0.024400000000000005</v>
      </c>
      <c r="BA56" s="64">
        <f t="shared" si="58"/>
        <v>0.030400000000000003</v>
      </c>
      <c r="BB56" s="64">
        <f t="shared" si="59"/>
        <v>0.03659999999999998</v>
      </c>
      <c r="BC56" s="64">
        <f t="shared" si="60"/>
        <v>0.043599999999999986</v>
      </c>
      <c r="BD56" s="31">
        <v>0</v>
      </c>
    </row>
    <row r="57" spans="1:56" s="1" customFormat="1" ht="15" customHeight="1">
      <c r="A57" s="45"/>
      <c r="B57" s="200"/>
      <c r="C57" s="201"/>
      <c r="D57" s="201"/>
      <c r="E57" s="202"/>
      <c r="F57" s="268"/>
      <c r="G57" s="25"/>
      <c r="H57" s="25"/>
      <c r="P57" s="44"/>
      <c r="AE57" s="95">
        <v>0.99</v>
      </c>
      <c r="AF57" s="96">
        <f t="shared" si="49"/>
        <v>0.03370000000000001</v>
      </c>
      <c r="AG57" s="96">
        <f t="shared" si="50"/>
        <v>0.04170000000000001</v>
      </c>
      <c r="AH57" s="96">
        <f t="shared" si="51"/>
        <v>0.04979999999999998</v>
      </c>
      <c r="AI57" s="96">
        <f t="shared" si="52"/>
        <v>0.05880000000000001</v>
      </c>
      <c r="AJ57" s="97">
        <v>0</v>
      </c>
      <c r="AL57" s="95">
        <v>0.99</v>
      </c>
      <c r="AM57" s="96">
        <v>0</v>
      </c>
      <c r="AN57" s="96">
        <f t="shared" si="53"/>
        <v>0.021299999999999986</v>
      </c>
      <c r="AO57" s="96">
        <f t="shared" si="54"/>
        <v>0.02529999999999999</v>
      </c>
      <c r="AP57" s="96">
        <f t="shared" si="55"/>
        <v>0.029400000000000006</v>
      </c>
      <c r="AQ57" s="97">
        <f t="shared" si="56"/>
        <v>0.033499999999999995</v>
      </c>
      <c r="AY57" s="95">
        <v>0.99</v>
      </c>
      <c r="AZ57" s="96">
        <f t="shared" si="57"/>
        <v>0.023700000000000006</v>
      </c>
      <c r="BA57" s="96">
        <f t="shared" si="58"/>
        <v>0.029700000000000004</v>
      </c>
      <c r="BB57" s="96">
        <f t="shared" si="59"/>
        <v>0.03579999999999998</v>
      </c>
      <c r="BC57" s="96">
        <f t="shared" si="60"/>
        <v>0.042799999999999984</v>
      </c>
      <c r="BD57" s="97">
        <v>0</v>
      </c>
    </row>
    <row r="58" spans="1:56" s="1" customFormat="1" ht="15" customHeight="1">
      <c r="A58" s="45"/>
      <c r="B58" s="271" t="s">
        <v>99</v>
      </c>
      <c r="C58" s="271"/>
      <c r="D58" s="271"/>
      <c r="E58" s="271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44"/>
      <c r="AE58" s="34">
        <v>1</v>
      </c>
      <c r="AF58" s="65">
        <v>0.033</v>
      </c>
      <c r="AG58" s="65">
        <v>0.041</v>
      </c>
      <c r="AH58" s="66">
        <v>0.049</v>
      </c>
      <c r="AI58" s="66">
        <v>0.058</v>
      </c>
      <c r="AJ58" s="32">
        <v>0</v>
      </c>
      <c r="AL58" s="34">
        <v>1</v>
      </c>
      <c r="AM58" s="65">
        <v>0</v>
      </c>
      <c r="AN58" s="65">
        <v>0.021</v>
      </c>
      <c r="AO58" s="66">
        <v>0.025</v>
      </c>
      <c r="AP58" s="66">
        <v>0.029</v>
      </c>
      <c r="AQ58" s="32">
        <v>0.033</v>
      </c>
      <c r="AY58" s="34">
        <v>1</v>
      </c>
      <c r="AZ58" s="65">
        <v>0.025</v>
      </c>
      <c r="BA58" s="65">
        <v>0.031</v>
      </c>
      <c r="BB58" s="66">
        <v>0.037</v>
      </c>
      <c r="BC58" s="66">
        <v>0.044</v>
      </c>
      <c r="BD58" s="32">
        <v>0.05</v>
      </c>
    </row>
    <row r="59" spans="1:16" s="1" customFormat="1" ht="15" customHeight="1">
      <c r="A59" s="4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44"/>
    </row>
    <row r="60" spans="1:16" s="1" customFormat="1" ht="15" customHeight="1">
      <c r="A60" s="45"/>
      <c r="B60" s="252" t="s">
        <v>106</v>
      </c>
      <c r="C60" s="252"/>
      <c r="D60" s="252"/>
      <c r="E60" s="252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44"/>
    </row>
    <row r="61" spans="1:16" s="1" customFormat="1" ht="15" customHeight="1" thickBo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9"/>
    </row>
    <row r="62" spans="1:56" s="1" customFormat="1" ht="18.75" customHeight="1" thickTop="1">
      <c r="A62" s="222" t="s">
        <v>183</v>
      </c>
      <c r="AE62" s="146">
        <f>+$E$15</f>
        <v>0.8</v>
      </c>
      <c r="AF62" s="146">
        <f>+VLOOKUP(AE62,AE8:AF58,2)</f>
        <v>0.048</v>
      </c>
      <c r="AG62" s="146">
        <f>+VLOOKUP(AE62,AE8:AG58,3)</f>
        <v>0.055</v>
      </c>
      <c r="AH62" s="146">
        <f>+VLOOKUP(AE62,AE8:AH58,4)</f>
        <v>0.064</v>
      </c>
      <c r="AI62" s="146">
        <f>+VLOOKUP(AE62,AE8:AI58,5)</f>
        <v>0.074</v>
      </c>
      <c r="AJ62" s="146">
        <f>+VLOOKUP(AE62,AE8:AJ58,6)</f>
        <v>0</v>
      </c>
      <c r="AL62" s="146">
        <f>+$E$15</f>
        <v>0.8</v>
      </c>
      <c r="AM62" s="146">
        <f>+VLOOKUP(AL62,AL8:AM58,2)</f>
        <v>0</v>
      </c>
      <c r="AN62" s="146">
        <f>+VLOOKUP(AL62,AL8:AN58,3)</f>
        <v>0.027</v>
      </c>
      <c r="AO62" s="146">
        <f>+VLOOKUP(AL62,AL8:AO58,4)</f>
        <v>0.032</v>
      </c>
      <c r="AP62" s="146">
        <f>+VLOOKUP(AL62,AL8:AP58,5)</f>
        <v>0.037</v>
      </c>
      <c r="AQ62" s="146">
        <f>+VLOOKUP(AL62,AL8:AQ58,6)</f>
        <v>0.043</v>
      </c>
      <c r="AY62" s="145">
        <f>+E15</f>
        <v>0.8</v>
      </c>
      <c r="AZ62" s="61">
        <f>+VLOOKUP(AY62,AY8:AZ58,2)</f>
        <v>0.036</v>
      </c>
      <c r="BA62" s="61">
        <f>+VLOOKUP(AY62,AY8:BA58,3)</f>
        <v>0.041</v>
      </c>
      <c r="BB62" s="61">
        <f>+VLOOKUP(AY62,AY8:BB58,4)</f>
        <v>0.048</v>
      </c>
      <c r="BC62" s="61">
        <f>+VLOOKUP(AY62,AY8:BC58,5)</f>
        <v>0.056</v>
      </c>
      <c r="BD62" s="61">
        <f>+VLOOKUP(AY62,AY8:BD58,6)</f>
        <v>0.064</v>
      </c>
    </row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</sheetData>
  <sheetProtection/>
  <mergeCells count="49">
    <mergeCell ref="A1:P1"/>
    <mergeCell ref="B2:D2"/>
    <mergeCell ref="E2:F2"/>
    <mergeCell ref="G2:H2"/>
    <mergeCell ref="I2:J2"/>
    <mergeCell ref="K2:M2"/>
    <mergeCell ref="O2:P2"/>
    <mergeCell ref="U3:AB3"/>
    <mergeCell ref="AP3:AZ3"/>
    <mergeCell ref="U4:U7"/>
    <mergeCell ref="V4:AA4"/>
    <mergeCell ref="AB4:AB7"/>
    <mergeCell ref="AE4:AQ4"/>
    <mergeCell ref="AY4:BD4"/>
    <mergeCell ref="V5:AA5"/>
    <mergeCell ref="AE5:AJ5"/>
    <mergeCell ref="AL5:AQ5"/>
    <mergeCell ref="AY5:BD5"/>
    <mergeCell ref="V6:V7"/>
    <mergeCell ref="W6:W7"/>
    <mergeCell ref="X6:X7"/>
    <mergeCell ref="Y6:Y7"/>
    <mergeCell ref="Z6:Z7"/>
    <mergeCell ref="AA6:AA7"/>
    <mergeCell ref="I9:K9"/>
    <mergeCell ref="I10:K10"/>
    <mergeCell ref="I11:K11"/>
    <mergeCell ref="I12:K12"/>
    <mergeCell ref="I13:K13"/>
    <mergeCell ref="J15:L15"/>
    <mergeCell ref="M15:O15"/>
    <mergeCell ref="J23:L23"/>
    <mergeCell ref="M23:O23"/>
    <mergeCell ref="J27:L27"/>
    <mergeCell ref="M27:O27"/>
    <mergeCell ref="B39:B40"/>
    <mergeCell ref="B42:B43"/>
    <mergeCell ref="C42:C43"/>
    <mergeCell ref="D42:D43"/>
    <mergeCell ref="B45:B46"/>
    <mergeCell ref="C45:C46"/>
    <mergeCell ref="D45:D46"/>
    <mergeCell ref="B60:E60"/>
    <mergeCell ref="C48:D48"/>
    <mergeCell ref="F50:F51"/>
    <mergeCell ref="F52:F55"/>
    <mergeCell ref="C55:D55"/>
    <mergeCell ref="F56:F57"/>
    <mergeCell ref="B58:E58"/>
  </mergeCells>
  <dataValidations count="6">
    <dataValidation type="list" allowBlank="1" showInputMessage="1" showErrorMessage="1" sqref="E35:E36">
      <formula1>"9,10,12,15,16,19,25"</formula1>
    </dataValidation>
    <dataValidation type="list" allowBlank="1" showInputMessage="1" showErrorMessage="1" sqref="E28">
      <formula1>"0.375,0.45"</formula1>
    </dataValidation>
    <dataValidation type="list" allowBlank="1" showInputMessage="1" showErrorMessage="1" sqref="E6">
      <formula1>"2400,3000,4000,5000"</formula1>
    </dataValidation>
    <dataValidation type="list" allowBlank="1" showInputMessage="1" showErrorMessage="1" sqref="E5">
      <formula1>"9,10,12,15,19,20,25"</formula1>
    </dataValidation>
    <dataValidation type="list" allowBlank="1" showInputMessage="1" showErrorMessage="1" sqref="E4">
      <formula1>"SR-24,SD-30,SD-40"</formula1>
    </dataValidation>
    <dataValidation type="list" allowBlank="1" showInputMessage="1" showErrorMessage="1" sqref="E12">
      <formula1>"1,2,3,4,5"</formula1>
    </dataValidation>
  </dataValidations>
  <printOptions/>
  <pageMargins left="0.5511811023622047" right="0.7480314960629921" top="1.1811023622047245" bottom="0.7874015748031497" header="0.6692913385826772" footer="0.7480314960629921"/>
  <pageSetup horizontalDpi="600" verticalDpi="600" orientation="portrait" scale="7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Z61"/>
  <sheetViews>
    <sheetView showGridLines="0" zoomScalePageLayoutView="0" workbookViewId="0" topLeftCell="A10">
      <selection activeCell="U4" sqref="U4:U7"/>
    </sheetView>
  </sheetViews>
  <sheetFormatPr defaultColWidth="9.33203125" defaultRowHeight="21"/>
  <cols>
    <col min="1" max="1" width="8.5" style="0" customWidth="1"/>
    <col min="2" max="2" width="10.16015625" style="0" customWidth="1"/>
    <col min="3" max="3" width="11.33203125" style="0" customWidth="1"/>
    <col min="4" max="4" width="8.83203125" style="0" customWidth="1"/>
    <col min="5" max="5" width="9.5" style="0" customWidth="1"/>
    <col min="6" max="7" width="8.83203125" style="0" customWidth="1"/>
    <col min="8" max="8" width="4" style="0" customWidth="1"/>
    <col min="9" max="9" width="25.33203125" style="0" customWidth="1"/>
    <col min="10" max="17" width="8.83203125" style="0" customWidth="1"/>
    <col min="18" max="20" width="8.83203125" style="0" hidden="1" customWidth="1"/>
    <col min="21" max="21" width="34.16015625" style="0" customWidth="1"/>
    <col min="22" max="28" width="14.16015625" style="0" customWidth="1"/>
    <col min="31" max="42" width="10.83203125" style="0" customWidth="1"/>
  </cols>
  <sheetData>
    <row r="1" spans="1:20" ht="27" customHeight="1" thickBot="1" thickTop="1">
      <c r="A1" s="284" t="s">
        <v>62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6"/>
      <c r="Q1" s="36"/>
      <c r="R1" s="36"/>
      <c r="S1" s="36"/>
      <c r="T1" s="36"/>
    </row>
    <row r="2" spans="1:20" ht="26.25" customHeight="1" thickBot="1">
      <c r="A2" s="41" t="s">
        <v>27</v>
      </c>
      <c r="B2" s="287"/>
      <c r="C2" s="287"/>
      <c r="D2" s="287"/>
      <c r="E2" s="227" t="s">
        <v>49</v>
      </c>
      <c r="F2" s="228"/>
      <c r="G2" s="287"/>
      <c r="H2" s="288"/>
      <c r="I2" s="227" t="s">
        <v>28</v>
      </c>
      <c r="J2" s="228"/>
      <c r="K2" s="288"/>
      <c r="L2" s="289"/>
      <c r="M2" s="290"/>
      <c r="N2" s="2" t="s">
        <v>29</v>
      </c>
      <c r="O2" s="291">
        <f ca="1">NOW()</f>
        <v>41255.47610925926</v>
      </c>
      <c r="P2" s="292"/>
      <c r="Q2" s="36"/>
      <c r="R2" s="36"/>
      <c r="S2" s="36"/>
      <c r="T2" s="36"/>
    </row>
    <row r="3" spans="1:52" s="1" customFormat="1" ht="15" customHeight="1">
      <c r="A3" s="42" t="s">
        <v>50</v>
      </c>
      <c r="B3" s="25"/>
      <c r="C3" s="25"/>
      <c r="D3" s="25"/>
      <c r="E3" s="25"/>
      <c r="F3" s="25"/>
      <c r="G3" s="25"/>
      <c r="H3" s="25"/>
      <c r="I3" s="39" t="s">
        <v>30</v>
      </c>
      <c r="P3" s="44"/>
      <c r="U3" s="235" t="s">
        <v>179</v>
      </c>
      <c r="V3" s="235"/>
      <c r="W3" s="235"/>
      <c r="X3" s="235"/>
      <c r="Y3" s="235"/>
      <c r="Z3" s="235"/>
      <c r="AA3" s="235"/>
      <c r="AB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</row>
    <row r="4" spans="1:50" s="1" customFormat="1" ht="15" customHeight="1">
      <c r="A4" s="45"/>
      <c r="B4" s="4" t="s">
        <v>51</v>
      </c>
      <c r="C4" s="4"/>
      <c r="D4" s="4" t="s">
        <v>1</v>
      </c>
      <c r="E4" s="5" t="s">
        <v>96</v>
      </c>
      <c r="F4" s="4"/>
      <c r="G4" s="7"/>
      <c r="H4" s="25"/>
      <c r="J4" s="4"/>
      <c r="L4" s="25"/>
      <c r="M4" s="47"/>
      <c r="N4" s="25"/>
      <c r="O4" s="25"/>
      <c r="P4" s="44"/>
      <c r="U4" s="236" t="s">
        <v>36</v>
      </c>
      <c r="V4" s="239" t="s">
        <v>37</v>
      </c>
      <c r="W4" s="239"/>
      <c r="X4" s="239"/>
      <c r="Y4" s="239"/>
      <c r="Z4" s="239"/>
      <c r="AA4" s="239"/>
      <c r="AB4" s="240" t="s">
        <v>40</v>
      </c>
      <c r="AD4" s="67"/>
      <c r="AE4" s="68"/>
      <c r="AF4" s="68"/>
      <c r="AG4" s="68"/>
      <c r="AH4" s="68"/>
      <c r="AI4" s="68"/>
      <c r="AJ4" s="74" t="s">
        <v>108</v>
      </c>
      <c r="AK4" s="68"/>
      <c r="AL4" s="68"/>
      <c r="AM4" s="68"/>
      <c r="AN4" s="68"/>
      <c r="AO4" s="68"/>
      <c r="AP4" s="69"/>
      <c r="AS4" s="278" t="s">
        <v>108</v>
      </c>
      <c r="AT4" s="279"/>
      <c r="AU4" s="279"/>
      <c r="AV4" s="279"/>
      <c r="AW4" s="279"/>
      <c r="AX4" s="280"/>
    </row>
    <row r="5" spans="1:50" s="1" customFormat="1" ht="19.5" customHeight="1">
      <c r="A5" s="45"/>
      <c r="B5" s="4" t="s">
        <v>53</v>
      </c>
      <c r="C5" s="4"/>
      <c r="D5" s="4" t="s">
        <v>1</v>
      </c>
      <c r="E5" s="107">
        <v>10</v>
      </c>
      <c r="F5" s="4"/>
      <c r="G5" s="7" t="s">
        <v>26</v>
      </c>
      <c r="H5" s="25"/>
      <c r="I5" s="25"/>
      <c r="J5" s="38" t="s">
        <v>67</v>
      </c>
      <c r="K5" s="25"/>
      <c r="L5" s="25" t="s">
        <v>1</v>
      </c>
      <c r="M5" s="75">
        <f>MAX(J18,K18,L18,M18,N18,O18)</f>
        <v>501.76</v>
      </c>
      <c r="N5" s="25"/>
      <c r="O5" s="43" t="s">
        <v>31</v>
      </c>
      <c r="P5" s="44"/>
      <c r="U5" s="237"/>
      <c r="V5" s="238" t="s">
        <v>116</v>
      </c>
      <c r="W5" s="238"/>
      <c r="X5" s="238"/>
      <c r="Y5" s="238"/>
      <c r="Z5" s="238"/>
      <c r="AA5" s="238"/>
      <c r="AB5" s="241"/>
      <c r="AD5" s="276" t="s">
        <v>111</v>
      </c>
      <c r="AE5" s="277"/>
      <c r="AF5" s="277"/>
      <c r="AG5" s="277"/>
      <c r="AH5" s="277"/>
      <c r="AI5" s="277"/>
      <c r="AJ5" s="19"/>
      <c r="AK5" s="281" t="s">
        <v>110</v>
      </c>
      <c r="AL5" s="282"/>
      <c r="AM5" s="282"/>
      <c r="AN5" s="282"/>
      <c r="AO5" s="282"/>
      <c r="AP5" s="282"/>
      <c r="AQ5" s="19"/>
      <c r="AS5" s="283" t="s">
        <v>109</v>
      </c>
      <c r="AT5" s="277"/>
      <c r="AU5" s="277"/>
      <c r="AV5" s="277"/>
      <c r="AW5" s="277"/>
      <c r="AX5" s="277"/>
    </row>
    <row r="6" spans="1:28" s="1" customFormat="1" ht="15" customHeight="1">
      <c r="A6" s="45"/>
      <c r="B6" s="4" t="s">
        <v>8</v>
      </c>
      <c r="C6" s="4"/>
      <c r="D6" s="4" t="s">
        <v>1</v>
      </c>
      <c r="E6" s="9">
        <f>IF(E4="SR-24",2400,IF(E4="SD-30",3000,IF(E4="SD-40",4000,5000)))</f>
        <v>3000</v>
      </c>
      <c r="F6" s="4"/>
      <c r="G6" s="7" t="s">
        <v>6</v>
      </c>
      <c r="H6" s="25"/>
      <c r="I6" s="25"/>
      <c r="J6" s="38" t="s">
        <v>9</v>
      </c>
      <c r="L6" s="25" t="s">
        <v>1</v>
      </c>
      <c r="M6" s="76">
        <f>1/(1+(E30/(E32*E29)))</f>
        <v>0.3506493506493506</v>
      </c>
      <c r="O6" s="63"/>
      <c r="P6" s="44"/>
      <c r="U6" s="237"/>
      <c r="V6" s="237">
        <v>1</v>
      </c>
      <c r="W6" s="237">
        <v>0.9</v>
      </c>
      <c r="X6" s="237">
        <v>0.8</v>
      </c>
      <c r="Y6" s="237">
        <v>0.7</v>
      </c>
      <c r="Z6" s="237">
        <v>0.6</v>
      </c>
      <c r="AA6" s="249" t="s">
        <v>39</v>
      </c>
      <c r="AB6" s="241"/>
    </row>
    <row r="7" spans="1:50" s="1" customFormat="1" ht="15" customHeight="1">
      <c r="A7" s="45"/>
      <c r="B7" s="4" t="s">
        <v>7</v>
      </c>
      <c r="C7" s="4"/>
      <c r="D7" s="4" t="s">
        <v>1</v>
      </c>
      <c r="E7" s="5">
        <v>200</v>
      </c>
      <c r="F7" s="4"/>
      <c r="G7" s="7" t="s">
        <v>13</v>
      </c>
      <c r="H7" s="25"/>
      <c r="J7" s="38" t="s">
        <v>10</v>
      </c>
      <c r="K7" s="25"/>
      <c r="L7" s="25" t="s">
        <v>1</v>
      </c>
      <c r="M7" s="76">
        <f>1-(M6/3)</f>
        <v>0.8831168831168832</v>
      </c>
      <c r="N7" s="25"/>
      <c r="O7" s="43"/>
      <c r="P7" s="44"/>
      <c r="U7" s="238"/>
      <c r="V7" s="238"/>
      <c r="W7" s="238"/>
      <c r="X7" s="238"/>
      <c r="Y7" s="238"/>
      <c r="Z7" s="238"/>
      <c r="AA7" s="250"/>
      <c r="AB7" s="242"/>
      <c r="AD7" s="35" t="s">
        <v>0</v>
      </c>
      <c r="AE7" s="35" t="s">
        <v>56</v>
      </c>
      <c r="AF7" s="35" t="s">
        <v>57</v>
      </c>
      <c r="AG7" s="35" t="s">
        <v>58</v>
      </c>
      <c r="AH7" s="35" t="s">
        <v>59</v>
      </c>
      <c r="AI7" s="35" t="s">
        <v>60</v>
      </c>
      <c r="AK7" s="35" t="s">
        <v>0</v>
      </c>
      <c r="AL7" s="35" t="s">
        <v>56</v>
      </c>
      <c r="AM7" s="35" t="s">
        <v>57</v>
      </c>
      <c r="AN7" s="35" t="s">
        <v>58</v>
      </c>
      <c r="AO7" s="35" t="s">
        <v>59</v>
      </c>
      <c r="AP7" s="35" t="s">
        <v>60</v>
      </c>
      <c r="AS7" s="35" t="s">
        <v>0</v>
      </c>
      <c r="AT7" s="35" t="s">
        <v>56</v>
      </c>
      <c r="AU7" s="35" t="s">
        <v>57</v>
      </c>
      <c r="AV7" s="35" t="s">
        <v>58</v>
      </c>
      <c r="AW7" s="35" t="s">
        <v>59</v>
      </c>
      <c r="AX7" s="35" t="s">
        <v>60</v>
      </c>
    </row>
    <row r="8" spans="1:50" s="1" customFormat="1" ht="15" customHeight="1">
      <c r="A8" s="45"/>
      <c r="B8" s="4" t="s">
        <v>16</v>
      </c>
      <c r="C8" s="4"/>
      <c r="D8" s="4" t="s">
        <v>1</v>
      </c>
      <c r="E8" s="8">
        <v>2040000</v>
      </c>
      <c r="F8" s="4"/>
      <c r="G8" s="7" t="s">
        <v>13</v>
      </c>
      <c r="H8" s="25"/>
      <c r="I8" s="25"/>
      <c r="J8" s="38" t="s">
        <v>17</v>
      </c>
      <c r="K8" s="25"/>
      <c r="L8" s="25" t="s">
        <v>1</v>
      </c>
      <c r="M8" s="49">
        <f>ROUND(E29*M6*M7/2,2)</f>
        <v>13.93</v>
      </c>
      <c r="N8" s="25"/>
      <c r="O8" s="43" t="s">
        <v>68</v>
      </c>
      <c r="P8" s="44"/>
      <c r="U8" s="73" t="s">
        <v>41</v>
      </c>
      <c r="V8" s="17"/>
      <c r="W8" s="17"/>
      <c r="X8" s="17"/>
      <c r="Y8" s="17"/>
      <c r="Z8" s="17"/>
      <c r="AA8" s="17"/>
      <c r="AB8" s="70"/>
      <c r="AD8" s="103">
        <v>0.5</v>
      </c>
      <c r="AE8" s="104">
        <v>0.083</v>
      </c>
      <c r="AF8" s="104">
        <v>0.085</v>
      </c>
      <c r="AG8" s="104">
        <v>0.09</v>
      </c>
      <c r="AH8" s="104">
        <v>0.098</v>
      </c>
      <c r="AI8" s="101">
        <v>0</v>
      </c>
      <c r="AK8" s="103">
        <v>0.5</v>
      </c>
      <c r="AL8" s="104">
        <v>0</v>
      </c>
      <c r="AM8" s="104">
        <v>0.042</v>
      </c>
      <c r="AN8" s="104">
        <v>0.045</v>
      </c>
      <c r="AO8" s="104">
        <v>0.049</v>
      </c>
      <c r="AP8" s="101">
        <v>0.055</v>
      </c>
      <c r="AS8" s="103">
        <v>0.5</v>
      </c>
      <c r="AT8" s="104">
        <v>0.062</v>
      </c>
      <c r="AU8" s="104">
        <v>0.064</v>
      </c>
      <c r="AV8" s="104">
        <v>0.068</v>
      </c>
      <c r="AW8" s="104">
        <v>0.074</v>
      </c>
      <c r="AX8" s="101">
        <v>0.083</v>
      </c>
    </row>
    <row r="9" spans="1:50" s="1" customFormat="1" ht="15" customHeight="1">
      <c r="A9" s="45"/>
      <c r="B9" s="4" t="s">
        <v>18</v>
      </c>
      <c r="C9" s="4"/>
      <c r="D9" s="4" t="s">
        <v>1</v>
      </c>
      <c r="E9" s="5">
        <v>2.5</v>
      </c>
      <c r="F9" s="4"/>
      <c r="G9" s="7" t="s">
        <v>6</v>
      </c>
      <c r="H9" s="25"/>
      <c r="I9" s="252" t="s">
        <v>70</v>
      </c>
      <c r="J9" s="252"/>
      <c r="K9" s="252"/>
      <c r="L9" s="46" t="s">
        <v>1</v>
      </c>
      <c r="M9" s="52">
        <f>SQRT($M$5/$M$8)</f>
        <v>6.001674808127525</v>
      </c>
      <c r="N9" s="25"/>
      <c r="O9" s="43" t="s">
        <v>69</v>
      </c>
      <c r="P9" s="44"/>
      <c r="U9" s="27" t="s">
        <v>46</v>
      </c>
      <c r="V9" s="17">
        <v>0.033</v>
      </c>
      <c r="W9" s="28">
        <v>0.04</v>
      </c>
      <c r="X9" s="17">
        <v>0.048</v>
      </c>
      <c r="Y9" s="17">
        <v>0.055</v>
      </c>
      <c r="Z9" s="17">
        <v>0.063</v>
      </c>
      <c r="AA9" s="17">
        <v>0.083</v>
      </c>
      <c r="AB9" s="70">
        <v>0.033</v>
      </c>
      <c r="AD9" s="33">
        <v>0.51</v>
      </c>
      <c r="AE9" s="64">
        <f aca="true" t="shared" si="0" ref="AE9:AE17">AE8-(0.01*($AE$8-$AE$18)/0.1)</f>
        <v>0.081</v>
      </c>
      <c r="AF9" s="64">
        <f aca="true" t="shared" si="1" ref="AF9:AF17">AF8-(0.01*($AF$8-$AF$18)/0.1)</f>
        <v>0.0834</v>
      </c>
      <c r="AG9" s="64">
        <f aca="true" t="shared" si="2" ref="AG9:AG17">AG8-(0.01*($AG$8-$AG$18)/0.1)</f>
        <v>0.08879999999999999</v>
      </c>
      <c r="AH9" s="64">
        <f aca="true" t="shared" si="3" ref="AH9:AH17">AH8-(0.01*($AH$8-$AH$18)/0.1)</f>
        <v>0.09720000000000001</v>
      </c>
      <c r="AI9" s="31">
        <v>0</v>
      </c>
      <c r="AK9" s="33">
        <v>0.51</v>
      </c>
      <c r="AL9" s="64">
        <v>0</v>
      </c>
      <c r="AM9" s="64">
        <f aca="true" t="shared" si="4" ref="AM9:AM17">AM8-(0.01*($AM$8-$AM$18)/0.1)</f>
        <v>0.0413</v>
      </c>
      <c r="AN9" s="64">
        <f aca="true" t="shared" si="5" ref="AN9:AN17">AN8-(0.01*($AN$8-$AN$18)/0.1)</f>
        <v>0.044399999999999995</v>
      </c>
      <c r="AO9" s="64">
        <f aca="true" t="shared" si="6" ref="AO9:AO17">AO8-(0.01*($AO$8-$AO$18)/0.1)</f>
        <v>0.048600000000000004</v>
      </c>
      <c r="AP9" s="31">
        <f aca="true" t="shared" si="7" ref="AP9:AP17">AP8-(0.01*($AP$8-$AP$18)/0.1)</f>
        <v>0.0548</v>
      </c>
      <c r="AS9" s="33">
        <v>0.51</v>
      </c>
      <c r="AT9" s="64">
        <f aca="true" t="shared" si="8" ref="AT9:AT17">AT8-(0.01*($AE$8-$AE$18)/0.1)</f>
        <v>0.06</v>
      </c>
      <c r="AU9" s="64">
        <f aca="true" t="shared" si="9" ref="AU9:AU17">AU8-(0.01*($AF$8-$AF$18)/0.1)</f>
        <v>0.062400000000000004</v>
      </c>
      <c r="AV9" s="64">
        <f aca="true" t="shared" si="10" ref="AV9:AV17">AV8-(0.01*($AG$8-$AG$18)/0.1)</f>
        <v>0.0668</v>
      </c>
      <c r="AW9" s="64">
        <f aca="true" t="shared" si="11" ref="AW9:AW17">AW8-(0.01*($AH$8-$AH$18)/0.1)</f>
        <v>0.0732</v>
      </c>
      <c r="AX9" s="31">
        <v>0</v>
      </c>
    </row>
    <row r="10" spans="1:50" s="1" customFormat="1" ht="15" customHeight="1">
      <c r="A10" s="45"/>
      <c r="B10" s="25"/>
      <c r="C10" s="25"/>
      <c r="D10" s="25"/>
      <c r="E10" s="25"/>
      <c r="F10" s="25"/>
      <c r="G10" s="25"/>
      <c r="H10" s="25"/>
      <c r="I10" s="252" t="s">
        <v>74</v>
      </c>
      <c r="J10" s="252"/>
      <c r="K10" s="252"/>
      <c r="L10" s="1" t="s">
        <v>1</v>
      </c>
      <c r="M10" s="77">
        <f>+E17-E9-(E5/20)</f>
        <v>7</v>
      </c>
      <c r="N10" s="25"/>
      <c r="O10" s="63" t="s">
        <v>69</v>
      </c>
      <c r="P10" s="44"/>
      <c r="U10" s="26" t="s">
        <v>47</v>
      </c>
      <c r="V10" s="17" t="s">
        <v>48</v>
      </c>
      <c r="W10" s="17" t="s">
        <v>48</v>
      </c>
      <c r="X10" s="17" t="s">
        <v>48</v>
      </c>
      <c r="Y10" s="17" t="s">
        <v>48</v>
      </c>
      <c r="Z10" s="17" t="s">
        <v>48</v>
      </c>
      <c r="AA10" s="17" t="s">
        <v>48</v>
      </c>
      <c r="AB10" s="70" t="s">
        <v>48</v>
      </c>
      <c r="AD10" s="33">
        <v>0.52</v>
      </c>
      <c r="AE10" s="64">
        <f t="shared" si="0"/>
        <v>0.079</v>
      </c>
      <c r="AF10" s="64">
        <f t="shared" si="1"/>
        <v>0.0818</v>
      </c>
      <c r="AG10" s="64">
        <f t="shared" si="2"/>
        <v>0.08759999999999998</v>
      </c>
      <c r="AH10" s="64">
        <f t="shared" si="3"/>
        <v>0.09640000000000001</v>
      </c>
      <c r="AI10" s="31">
        <v>0</v>
      </c>
      <c r="AK10" s="33">
        <v>0.52</v>
      </c>
      <c r="AL10" s="64">
        <v>0</v>
      </c>
      <c r="AM10" s="64">
        <f t="shared" si="4"/>
        <v>0.040600000000000004</v>
      </c>
      <c r="AN10" s="64">
        <f t="shared" si="5"/>
        <v>0.04379999999999999</v>
      </c>
      <c r="AO10" s="64">
        <f t="shared" si="6"/>
        <v>0.04820000000000001</v>
      </c>
      <c r="AP10" s="31">
        <f t="shared" si="7"/>
        <v>0.0546</v>
      </c>
      <c r="AS10" s="33">
        <v>0.52</v>
      </c>
      <c r="AT10" s="64">
        <f t="shared" si="8"/>
        <v>0.057999999999999996</v>
      </c>
      <c r="AU10" s="64">
        <f t="shared" si="9"/>
        <v>0.06080000000000001</v>
      </c>
      <c r="AV10" s="64">
        <f t="shared" si="10"/>
        <v>0.06559999999999999</v>
      </c>
      <c r="AW10" s="64">
        <f t="shared" si="11"/>
        <v>0.0724</v>
      </c>
      <c r="AX10" s="31">
        <v>0</v>
      </c>
    </row>
    <row r="11" spans="1:50" s="1" customFormat="1" ht="15" customHeight="1">
      <c r="A11" s="48" t="s">
        <v>52</v>
      </c>
      <c r="B11" s="25"/>
      <c r="C11" s="25"/>
      <c r="D11" s="25"/>
      <c r="E11" s="25"/>
      <c r="F11" s="25"/>
      <c r="G11" s="25"/>
      <c r="H11" s="25"/>
      <c r="I11" s="252" t="s">
        <v>71</v>
      </c>
      <c r="J11" s="252"/>
      <c r="K11" s="252"/>
      <c r="L11" s="1" t="s">
        <v>1</v>
      </c>
      <c r="M11" s="77">
        <f>MAX(M9,M10)</f>
        <v>7</v>
      </c>
      <c r="N11" s="43"/>
      <c r="O11" s="63" t="s">
        <v>69</v>
      </c>
      <c r="P11" s="44"/>
      <c r="U11" s="29" t="s">
        <v>42</v>
      </c>
      <c r="V11" s="18">
        <v>0.025</v>
      </c>
      <c r="W11" s="30">
        <v>0.03</v>
      </c>
      <c r="X11" s="18">
        <v>0.036</v>
      </c>
      <c r="Y11" s="18">
        <v>0.041</v>
      </c>
      <c r="Z11" s="18">
        <v>0.047</v>
      </c>
      <c r="AA11" s="18">
        <v>0.062</v>
      </c>
      <c r="AB11" s="71">
        <v>0.025</v>
      </c>
      <c r="AD11" s="33">
        <v>0.53</v>
      </c>
      <c r="AE11" s="64">
        <f t="shared" si="0"/>
        <v>0.077</v>
      </c>
      <c r="AF11" s="64">
        <f t="shared" si="1"/>
        <v>0.0802</v>
      </c>
      <c r="AG11" s="64">
        <f t="shared" si="2"/>
        <v>0.08639999999999998</v>
      </c>
      <c r="AH11" s="64">
        <f t="shared" si="3"/>
        <v>0.09560000000000002</v>
      </c>
      <c r="AI11" s="31">
        <v>0</v>
      </c>
      <c r="AK11" s="33">
        <v>0.53</v>
      </c>
      <c r="AL11" s="64">
        <v>0</v>
      </c>
      <c r="AM11" s="64">
        <f t="shared" si="4"/>
        <v>0.039900000000000005</v>
      </c>
      <c r="AN11" s="64">
        <f t="shared" si="5"/>
        <v>0.04319999999999999</v>
      </c>
      <c r="AO11" s="64">
        <f t="shared" si="6"/>
        <v>0.04780000000000001</v>
      </c>
      <c r="AP11" s="31">
        <f t="shared" si="7"/>
        <v>0.054400000000000004</v>
      </c>
      <c r="AS11" s="33">
        <v>0.53</v>
      </c>
      <c r="AT11" s="64">
        <f t="shared" si="8"/>
        <v>0.055999999999999994</v>
      </c>
      <c r="AU11" s="64">
        <f t="shared" si="9"/>
        <v>0.05920000000000001</v>
      </c>
      <c r="AV11" s="64">
        <f t="shared" si="10"/>
        <v>0.06439999999999999</v>
      </c>
      <c r="AW11" s="64">
        <f t="shared" si="11"/>
        <v>0.07160000000000001</v>
      </c>
      <c r="AX11" s="31">
        <v>0</v>
      </c>
    </row>
    <row r="12" spans="1:50" s="1" customFormat="1" ht="15" customHeight="1">
      <c r="A12" s="45"/>
      <c r="B12" s="4" t="s">
        <v>19</v>
      </c>
      <c r="C12" s="4"/>
      <c r="D12" s="4" t="s">
        <v>1</v>
      </c>
      <c r="E12" s="15">
        <v>2</v>
      </c>
      <c r="F12" s="25"/>
      <c r="G12" s="25"/>
      <c r="H12" s="25"/>
      <c r="I12" s="253" t="s">
        <v>79</v>
      </c>
      <c r="J12" s="253"/>
      <c r="K12" s="253"/>
      <c r="L12" s="1" t="s">
        <v>1</v>
      </c>
      <c r="M12" s="79">
        <f>+M11</f>
        <v>7</v>
      </c>
      <c r="O12" s="63" t="s">
        <v>69</v>
      </c>
      <c r="P12" s="44"/>
      <c r="U12" s="73" t="s">
        <v>43</v>
      </c>
      <c r="V12" s="17"/>
      <c r="W12" s="17"/>
      <c r="X12" s="17"/>
      <c r="Y12" s="17"/>
      <c r="Z12" s="17"/>
      <c r="AA12" s="17"/>
      <c r="AB12" s="70"/>
      <c r="AD12" s="33">
        <v>0.54</v>
      </c>
      <c r="AE12" s="64">
        <f t="shared" si="0"/>
        <v>0.075</v>
      </c>
      <c r="AF12" s="64">
        <f t="shared" si="1"/>
        <v>0.07859999999999999</v>
      </c>
      <c r="AG12" s="64">
        <f t="shared" si="2"/>
        <v>0.08519999999999997</v>
      </c>
      <c r="AH12" s="64">
        <f t="shared" si="3"/>
        <v>0.09480000000000002</v>
      </c>
      <c r="AI12" s="31">
        <v>0</v>
      </c>
      <c r="AK12" s="33">
        <v>0.54</v>
      </c>
      <c r="AL12" s="64">
        <v>0</v>
      </c>
      <c r="AM12" s="64">
        <f t="shared" si="4"/>
        <v>0.039200000000000006</v>
      </c>
      <c r="AN12" s="64">
        <f t="shared" si="5"/>
        <v>0.042599999999999985</v>
      </c>
      <c r="AO12" s="64">
        <f t="shared" si="6"/>
        <v>0.04740000000000001</v>
      </c>
      <c r="AP12" s="31">
        <f t="shared" si="7"/>
        <v>0.054200000000000005</v>
      </c>
      <c r="AS12" s="33">
        <v>0.54</v>
      </c>
      <c r="AT12" s="64">
        <f t="shared" si="8"/>
        <v>0.05399999999999999</v>
      </c>
      <c r="AU12" s="64">
        <f t="shared" si="9"/>
        <v>0.05760000000000001</v>
      </c>
      <c r="AV12" s="64">
        <f t="shared" si="10"/>
        <v>0.06319999999999998</v>
      </c>
      <c r="AW12" s="64">
        <f t="shared" si="11"/>
        <v>0.07080000000000002</v>
      </c>
      <c r="AX12" s="31">
        <v>0</v>
      </c>
    </row>
    <row r="13" spans="1:50" s="1" customFormat="1" ht="15" customHeight="1">
      <c r="A13" s="45"/>
      <c r="B13" s="25" t="s">
        <v>63</v>
      </c>
      <c r="C13" s="25"/>
      <c r="D13" s="25" t="s">
        <v>1</v>
      </c>
      <c r="E13" s="22">
        <v>4</v>
      </c>
      <c r="F13" s="25"/>
      <c r="G13" s="43" t="s">
        <v>0</v>
      </c>
      <c r="H13" s="25"/>
      <c r="I13" s="253" t="s">
        <v>75</v>
      </c>
      <c r="J13" s="253"/>
      <c r="K13" s="253"/>
      <c r="L13" s="1" t="s">
        <v>1</v>
      </c>
      <c r="M13" s="79">
        <f>+$E$17-$E$9-($E$35/10)-($E$36/20)</f>
        <v>6</v>
      </c>
      <c r="O13" s="63" t="s">
        <v>69</v>
      </c>
      <c r="P13" s="44"/>
      <c r="U13" s="27" t="s">
        <v>46</v>
      </c>
      <c r="V13" s="17">
        <v>0.041</v>
      </c>
      <c r="W13" s="17">
        <v>0.048</v>
      </c>
      <c r="X13" s="17">
        <v>0.055</v>
      </c>
      <c r="Y13" s="17">
        <v>0.062</v>
      </c>
      <c r="Z13" s="17">
        <v>0.069</v>
      </c>
      <c r="AA13" s="17">
        <v>0.085</v>
      </c>
      <c r="AB13" s="70">
        <v>0.041</v>
      </c>
      <c r="AD13" s="102">
        <v>0.55</v>
      </c>
      <c r="AE13" s="100">
        <f t="shared" si="0"/>
        <v>0.073</v>
      </c>
      <c r="AF13" s="100">
        <f t="shared" si="1"/>
        <v>0.07699999999999999</v>
      </c>
      <c r="AG13" s="100">
        <f t="shared" si="2"/>
        <v>0.08399999999999996</v>
      </c>
      <c r="AH13" s="100">
        <f t="shared" si="3"/>
        <v>0.09400000000000003</v>
      </c>
      <c r="AI13" s="101">
        <v>0</v>
      </c>
      <c r="AK13" s="102">
        <v>0.55</v>
      </c>
      <c r="AL13" s="100">
        <v>0</v>
      </c>
      <c r="AM13" s="100">
        <f t="shared" si="4"/>
        <v>0.038500000000000006</v>
      </c>
      <c r="AN13" s="100">
        <f t="shared" si="5"/>
        <v>0.04199999999999998</v>
      </c>
      <c r="AO13" s="100">
        <f t="shared" si="6"/>
        <v>0.047000000000000014</v>
      </c>
      <c r="AP13" s="101">
        <f t="shared" si="7"/>
        <v>0.054000000000000006</v>
      </c>
      <c r="AS13" s="102">
        <v>0.55</v>
      </c>
      <c r="AT13" s="100">
        <f t="shared" si="8"/>
        <v>0.05199999999999999</v>
      </c>
      <c r="AU13" s="100">
        <f t="shared" si="9"/>
        <v>0.056000000000000015</v>
      </c>
      <c r="AV13" s="100">
        <f t="shared" si="10"/>
        <v>0.06199999999999998</v>
      </c>
      <c r="AW13" s="100">
        <f t="shared" si="11"/>
        <v>0.07000000000000002</v>
      </c>
      <c r="AX13" s="101">
        <v>0</v>
      </c>
    </row>
    <row r="14" spans="1:50" s="1" customFormat="1" ht="15" customHeight="1">
      <c r="A14" s="45"/>
      <c r="B14" s="25" t="s">
        <v>64</v>
      </c>
      <c r="C14" s="25"/>
      <c r="D14" s="25" t="s">
        <v>1</v>
      </c>
      <c r="E14" s="22">
        <v>5</v>
      </c>
      <c r="F14" s="25"/>
      <c r="G14" s="43" t="s">
        <v>0</v>
      </c>
      <c r="H14" s="25"/>
      <c r="P14" s="44"/>
      <c r="U14" s="26" t="s">
        <v>47</v>
      </c>
      <c r="V14" s="17">
        <v>0.021</v>
      </c>
      <c r="W14" s="17">
        <v>0.024</v>
      </c>
      <c r="X14" s="17">
        <v>0.027</v>
      </c>
      <c r="Y14" s="17">
        <v>0.031</v>
      </c>
      <c r="Z14" s="17">
        <v>0.035</v>
      </c>
      <c r="AA14" s="17">
        <v>0.042</v>
      </c>
      <c r="AB14" s="70">
        <v>0.021</v>
      </c>
      <c r="AD14" s="33">
        <v>0.56</v>
      </c>
      <c r="AE14" s="64">
        <f t="shared" si="0"/>
        <v>0.071</v>
      </c>
      <c r="AF14" s="64">
        <f t="shared" si="1"/>
        <v>0.07539999999999998</v>
      </c>
      <c r="AG14" s="64">
        <f t="shared" si="2"/>
        <v>0.08279999999999996</v>
      </c>
      <c r="AH14" s="64">
        <f t="shared" si="3"/>
        <v>0.09320000000000003</v>
      </c>
      <c r="AI14" s="31">
        <v>0</v>
      </c>
      <c r="AK14" s="33">
        <v>0.56</v>
      </c>
      <c r="AL14" s="64">
        <v>0</v>
      </c>
      <c r="AM14" s="64">
        <f t="shared" si="4"/>
        <v>0.03780000000000001</v>
      </c>
      <c r="AN14" s="64">
        <f t="shared" si="5"/>
        <v>0.04139999999999998</v>
      </c>
      <c r="AO14" s="64">
        <f t="shared" si="6"/>
        <v>0.046600000000000016</v>
      </c>
      <c r="AP14" s="31">
        <f t="shared" si="7"/>
        <v>0.05380000000000001</v>
      </c>
      <c r="AS14" s="33">
        <v>0.56</v>
      </c>
      <c r="AT14" s="64">
        <f t="shared" si="8"/>
        <v>0.04999999999999999</v>
      </c>
      <c r="AU14" s="64">
        <f t="shared" si="9"/>
        <v>0.05440000000000002</v>
      </c>
      <c r="AV14" s="64">
        <f t="shared" si="10"/>
        <v>0.06079999999999998</v>
      </c>
      <c r="AW14" s="64">
        <f t="shared" si="11"/>
        <v>0.06920000000000003</v>
      </c>
      <c r="AX14" s="31">
        <v>0</v>
      </c>
    </row>
    <row r="15" spans="1:50" s="1" customFormat="1" ht="15" customHeight="1">
      <c r="A15" s="45"/>
      <c r="B15" s="4" t="s">
        <v>65</v>
      </c>
      <c r="C15" s="4"/>
      <c r="D15" s="4" t="s">
        <v>1</v>
      </c>
      <c r="E15" s="49">
        <f>TRUNC(E13/E14,2)</f>
        <v>0.8</v>
      </c>
      <c r="F15" s="4"/>
      <c r="G15" s="4"/>
      <c r="H15" s="25"/>
      <c r="I15" s="62"/>
      <c r="J15" s="272" t="s">
        <v>81</v>
      </c>
      <c r="K15" s="255"/>
      <c r="L15" s="256"/>
      <c r="M15" s="272" t="s">
        <v>82</v>
      </c>
      <c r="N15" s="255"/>
      <c r="O15" s="256"/>
      <c r="P15" s="44"/>
      <c r="U15" s="29" t="s">
        <v>42</v>
      </c>
      <c r="V15" s="18">
        <v>0.031</v>
      </c>
      <c r="W15" s="18">
        <v>0.036</v>
      </c>
      <c r="X15" s="18">
        <v>0.041</v>
      </c>
      <c r="Y15" s="18">
        <v>0.047</v>
      </c>
      <c r="Z15" s="18">
        <v>0.052</v>
      </c>
      <c r="AA15" s="18">
        <v>0.064</v>
      </c>
      <c r="AB15" s="71">
        <v>0.031</v>
      </c>
      <c r="AD15" s="33">
        <v>0.57</v>
      </c>
      <c r="AE15" s="64">
        <f t="shared" si="0"/>
        <v>0.06899999999999999</v>
      </c>
      <c r="AF15" s="64">
        <f t="shared" si="1"/>
        <v>0.07379999999999998</v>
      </c>
      <c r="AG15" s="64">
        <f t="shared" si="2"/>
        <v>0.08159999999999995</v>
      </c>
      <c r="AH15" s="64">
        <f t="shared" si="3"/>
        <v>0.09240000000000004</v>
      </c>
      <c r="AI15" s="31">
        <v>0</v>
      </c>
      <c r="AK15" s="33">
        <v>0.57</v>
      </c>
      <c r="AL15" s="64">
        <v>0</v>
      </c>
      <c r="AM15" s="64">
        <f t="shared" si="4"/>
        <v>0.03710000000000001</v>
      </c>
      <c r="AN15" s="64">
        <f t="shared" si="5"/>
        <v>0.040799999999999975</v>
      </c>
      <c r="AO15" s="64">
        <f t="shared" si="6"/>
        <v>0.04620000000000002</v>
      </c>
      <c r="AP15" s="31">
        <f t="shared" si="7"/>
        <v>0.05360000000000001</v>
      </c>
      <c r="AS15" s="33">
        <v>0.57</v>
      </c>
      <c r="AT15" s="64">
        <f t="shared" si="8"/>
        <v>0.04799999999999999</v>
      </c>
      <c r="AU15" s="64">
        <f t="shared" si="9"/>
        <v>0.05280000000000002</v>
      </c>
      <c r="AV15" s="64">
        <f t="shared" si="10"/>
        <v>0.05959999999999998</v>
      </c>
      <c r="AW15" s="64">
        <f t="shared" si="11"/>
        <v>0.06840000000000003</v>
      </c>
      <c r="AX15" s="31">
        <v>0</v>
      </c>
    </row>
    <row r="16" spans="1:50" s="1" customFormat="1" ht="15" customHeight="1">
      <c r="A16" s="45"/>
      <c r="B16" s="4" t="s">
        <v>78</v>
      </c>
      <c r="C16" s="4"/>
      <c r="D16" s="4" t="s">
        <v>1</v>
      </c>
      <c r="E16" s="13">
        <f>MAX((E13+E14)*100/90,8)</f>
        <v>10</v>
      </c>
      <c r="F16" s="4"/>
      <c r="G16" s="7" t="s">
        <v>6</v>
      </c>
      <c r="H16" s="25"/>
      <c r="I16" s="29"/>
      <c r="J16" s="20" t="s">
        <v>21</v>
      </c>
      <c r="K16" s="21" t="s">
        <v>22</v>
      </c>
      <c r="L16" s="40" t="s">
        <v>20</v>
      </c>
      <c r="M16" s="20" t="s">
        <v>21</v>
      </c>
      <c r="N16" s="21" t="s">
        <v>22</v>
      </c>
      <c r="O16" s="40" t="s">
        <v>20</v>
      </c>
      <c r="P16" s="44"/>
      <c r="U16" s="73" t="s">
        <v>44</v>
      </c>
      <c r="V16" s="17"/>
      <c r="W16" s="17"/>
      <c r="X16" s="17"/>
      <c r="Y16" s="17"/>
      <c r="Z16" s="17"/>
      <c r="AA16" s="17"/>
      <c r="AB16" s="70"/>
      <c r="AD16" s="33">
        <v>0.58</v>
      </c>
      <c r="AE16" s="64">
        <f t="shared" si="0"/>
        <v>0.06699999999999999</v>
      </c>
      <c r="AF16" s="64">
        <f t="shared" si="1"/>
        <v>0.07219999999999997</v>
      </c>
      <c r="AG16" s="64">
        <f t="shared" si="2"/>
        <v>0.08039999999999994</v>
      </c>
      <c r="AH16" s="64">
        <f t="shared" si="3"/>
        <v>0.09160000000000004</v>
      </c>
      <c r="AI16" s="31">
        <v>0</v>
      </c>
      <c r="AK16" s="33">
        <v>0.58</v>
      </c>
      <c r="AL16" s="64">
        <v>0</v>
      </c>
      <c r="AM16" s="64">
        <f t="shared" si="4"/>
        <v>0.03640000000000001</v>
      </c>
      <c r="AN16" s="64">
        <f t="shared" si="5"/>
        <v>0.04019999999999997</v>
      </c>
      <c r="AO16" s="64">
        <f t="shared" si="6"/>
        <v>0.04580000000000002</v>
      </c>
      <c r="AP16" s="31">
        <f t="shared" si="7"/>
        <v>0.05340000000000001</v>
      </c>
      <c r="AS16" s="33">
        <v>0.58</v>
      </c>
      <c r="AT16" s="64">
        <f t="shared" si="8"/>
        <v>0.045999999999999985</v>
      </c>
      <c r="AU16" s="64">
        <f t="shared" si="9"/>
        <v>0.05120000000000002</v>
      </c>
      <c r="AV16" s="64">
        <f t="shared" si="10"/>
        <v>0.05839999999999998</v>
      </c>
      <c r="AW16" s="64">
        <f t="shared" si="11"/>
        <v>0.06760000000000004</v>
      </c>
      <c r="AX16" s="31">
        <v>0</v>
      </c>
    </row>
    <row r="17" spans="1:50" s="1" customFormat="1" ht="15" customHeight="1">
      <c r="A17" s="45"/>
      <c r="B17" s="4" t="s">
        <v>55</v>
      </c>
      <c r="C17" s="4"/>
      <c r="D17" s="4" t="s">
        <v>1</v>
      </c>
      <c r="E17" s="8">
        <v>10</v>
      </c>
      <c r="F17" s="4"/>
      <c r="G17" s="7" t="s">
        <v>6</v>
      </c>
      <c r="H17" s="25"/>
      <c r="I17" s="60" t="s">
        <v>66</v>
      </c>
      <c r="J17" s="22">
        <v>0.032</v>
      </c>
      <c r="K17" s="22">
        <v>0.048</v>
      </c>
      <c r="L17" s="22">
        <v>0.064</v>
      </c>
      <c r="M17" s="22">
        <v>0.025</v>
      </c>
      <c r="N17" s="22">
        <v>0.037</v>
      </c>
      <c r="O17" s="22">
        <v>0.049</v>
      </c>
      <c r="P17" s="44"/>
      <c r="U17" s="27" t="s">
        <v>46</v>
      </c>
      <c r="V17" s="17">
        <v>0.049</v>
      </c>
      <c r="W17" s="17">
        <v>0.057</v>
      </c>
      <c r="X17" s="17">
        <v>0.064</v>
      </c>
      <c r="Y17" s="17">
        <v>0.071</v>
      </c>
      <c r="Z17" s="17">
        <v>0.078</v>
      </c>
      <c r="AA17" s="28">
        <v>0.09</v>
      </c>
      <c r="AB17" s="70">
        <v>0.049</v>
      </c>
      <c r="AD17" s="33">
        <v>0.59</v>
      </c>
      <c r="AE17" s="64">
        <f t="shared" si="0"/>
        <v>0.06499999999999999</v>
      </c>
      <c r="AF17" s="64">
        <f t="shared" si="1"/>
        <v>0.07059999999999997</v>
      </c>
      <c r="AG17" s="64">
        <f t="shared" si="2"/>
        <v>0.07919999999999994</v>
      </c>
      <c r="AH17" s="64">
        <f t="shared" si="3"/>
        <v>0.09080000000000005</v>
      </c>
      <c r="AI17" s="31">
        <v>0</v>
      </c>
      <c r="AK17" s="33">
        <v>0.59</v>
      </c>
      <c r="AL17" s="64">
        <v>0</v>
      </c>
      <c r="AM17" s="64">
        <f t="shared" si="4"/>
        <v>0.03570000000000001</v>
      </c>
      <c r="AN17" s="64">
        <f t="shared" si="5"/>
        <v>0.03959999999999997</v>
      </c>
      <c r="AO17" s="64">
        <f t="shared" si="6"/>
        <v>0.045400000000000024</v>
      </c>
      <c r="AP17" s="31">
        <f t="shared" si="7"/>
        <v>0.05320000000000001</v>
      </c>
      <c r="AS17" s="33">
        <v>0.59</v>
      </c>
      <c r="AT17" s="64">
        <f t="shared" si="8"/>
        <v>0.043999999999999984</v>
      </c>
      <c r="AU17" s="64">
        <f t="shared" si="9"/>
        <v>0.049600000000000026</v>
      </c>
      <c r="AV17" s="64">
        <f t="shared" si="10"/>
        <v>0.05719999999999998</v>
      </c>
      <c r="AW17" s="64">
        <f t="shared" si="11"/>
        <v>0.06680000000000004</v>
      </c>
      <c r="AX17" s="31">
        <v>0</v>
      </c>
    </row>
    <row r="18" spans="1:50" s="1" customFormat="1" ht="15" customHeight="1">
      <c r="A18" s="45"/>
      <c r="B18" s="25"/>
      <c r="C18" s="25"/>
      <c r="D18" s="25"/>
      <c r="E18" s="25"/>
      <c r="F18" s="25"/>
      <c r="G18" s="25"/>
      <c r="H18" s="25"/>
      <c r="I18" s="61" t="s">
        <v>112</v>
      </c>
      <c r="J18" s="23">
        <f aca="true" t="shared" si="12" ref="J18:O18">J17*$E$25*$E$13^2</f>
        <v>250.88</v>
      </c>
      <c r="K18" s="23">
        <f t="shared" si="12"/>
        <v>376.32</v>
      </c>
      <c r="L18" s="23">
        <f t="shared" si="12"/>
        <v>501.76</v>
      </c>
      <c r="M18" s="23">
        <f t="shared" si="12"/>
        <v>196</v>
      </c>
      <c r="N18" s="23">
        <f t="shared" si="12"/>
        <v>290.08</v>
      </c>
      <c r="O18" s="23">
        <f t="shared" si="12"/>
        <v>384.16</v>
      </c>
      <c r="P18" s="44"/>
      <c r="U18" s="26" t="s">
        <v>47</v>
      </c>
      <c r="V18" s="17">
        <v>0.025</v>
      </c>
      <c r="W18" s="17">
        <v>0.028</v>
      </c>
      <c r="X18" s="17">
        <v>0.032</v>
      </c>
      <c r="Y18" s="17">
        <v>0.036</v>
      </c>
      <c r="Z18" s="17">
        <v>0.039</v>
      </c>
      <c r="AA18" s="17">
        <v>0.045</v>
      </c>
      <c r="AB18" s="70">
        <v>0.025</v>
      </c>
      <c r="AD18" s="103">
        <v>0.6</v>
      </c>
      <c r="AE18" s="104">
        <v>0.063</v>
      </c>
      <c r="AF18" s="104">
        <v>0.069</v>
      </c>
      <c r="AG18" s="100">
        <v>0.078</v>
      </c>
      <c r="AH18" s="100">
        <v>0.09</v>
      </c>
      <c r="AI18" s="101">
        <v>0</v>
      </c>
      <c r="AK18" s="103">
        <v>0.6</v>
      </c>
      <c r="AL18" s="104">
        <v>0</v>
      </c>
      <c r="AM18" s="104">
        <v>0.035</v>
      </c>
      <c r="AN18" s="100">
        <v>0.039</v>
      </c>
      <c r="AO18" s="100">
        <v>0.045</v>
      </c>
      <c r="AP18" s="101">
        <v>0.053</v>
      </c>
      <c r="AS18" s="103">
        <v>0.6</v>
      </c>
      <c r="AT18" s="104">
        <v>0.047</v>
      </c>
      <c r="AU18" s="104">
        <v>0.052</v>
      </c>
      <c r="AV18" s="100">
        <v>0.059</v>
      </c>
      <c r="AW18" s="100">
        <v>0.068</v>
      </c>
      <c r="AX18" s="101">
        <v>0.08</v>
      </c>
    </row>
    <row r="19" spans="1:50" s="1" customFormat="1" ht="22.5" customHeight="1">
      <c r="A19" s="50" t="s">
        <v>32</v>
      </c>
      <c r="B19" s="7"/>
      <c r="C19" s="7"/>
      <c r="D19" s="14"/>
      <c r="E19" s="7"/>
      <c r="F19" s="7"/>
      <c r="G19" s="7"/>
      <c r="H19" s="25"/>
      <c r="I19" s="80" t="s">
        <v>114</v>
      </c>
      <c r="J19" s="110">
        <f>J18*100/($E$30*$M$7*$M$12)</f>
        <v>2.70556862745098</v>
      </c>
      <c r="K19" s="110">
        <f>K18*100/($E$30*$M$7*$M$12)</f>
        <v>4.05835294117647</v>
      </c>
      <c r="L19" s="110">
        <f>L18*100/($E$30*$M$7*$M$12)</f>
        <v>5.41113725490196</v>
      </c>
      <c r="M19" s="110">
        <f>M18*100/($E$30*$M$7*$M$13)</f>
        <v>2.4660130718954245</v>
      </c>
      <c r="N19" s="110">
        <f>N18*100/($E$30*$M$7*$M$13)</f>
        <v>3.6496993464052285</v>
      </c>
      <c r="O19" s="110">
        <f>O18*100/($E$30*$M$7*$M$13)</f>
        <v>4.833385620915032</v>
      </c>
      <c r="P19" s="44"/>
      <c r="U19" s="29" t="s">
        <v>42</v>
      </c>
      <c r="V19" s="18">
        <v>0.037</v>
      </c>
      <c r="W19" s="18">
        <v>0.043</v>
      </c>
      <c r="X19" s="18">
        <v>0.048</v>
      </c>
      <c r="Y19" s="18">
        <v>0.054</v>
      </c>
      <c r="Z19" s="18">
        <v>0.059</v>
      </c>
      <c r="AA19" s="18">
        <v>0.068</v>
      </c>
      <c r="AB19" s="71">
        <v>0.037</v>
      </c>
      <c r="AD19" s="33">
        <v>0.61</v>
      </c>
      <c r="AE19" s="64">
        <f aca="true" t="shared" si="13" ref="AE19:AE27">AE18-(0.01*($AE$18-$AE$28)/0.1)</f>
        <v>0.0622</v>
      </c>
      <c r="AF19" s="64">
        <f aca="true" t="shared" si="14" ref="AF19:AF27">AF18-(0.01*($AF$18-$AF$28)/0.1)</f>
        <v>0.0683</v>
      </c>
      <c r="AG19" s="64">
        <f aca="true" t="shared" si="15" ref="AG19:AG27">AG18-(0.01*($AG$18-$AG$28)/0.1)</f>
        <v>0.0773</v>
      </c>
      <c r="AH19" s="64">
        <f aca="true" t="shared" si="16" ref="AH19:AH27">AH18-(0.01*($AH$18-$AH$28)/0.1)</f>
        <v>0.0892</v>
      </c>
      <c r="AI19" s="31">
        <v>0</v>
      </c>
      <c r="AK19" s="33">
        <v>0.61</v>
      </c>
      <c r="AL19" s="64">
        <v>0</v>
      </c>
      <c r="AM19" s="64">
        <f aca="true" t="shared" si="17" ref="AM19:AM27">AM18-(0.01*($AM$18-$AM$28)/0.1)</f>
        <v>0.034600000000000006</v>
      </c>
      <c r="AN19" s="64">
        <f aca="true" t="shared" si="18" ref="AN19:AN27">AN18-(0.01*($AN$18-$AN$28)/0.1)</f>
        <v>0.0387</v>
      </c>
      <c r="AO19" s="64">
        <f aca="true" t="shared" si="19" ref="AO19:AO27">AO18-(0.01*($AO$18-$AO$28)/0.1)</f>
        <v>0.0446</v>
      </c>
      <c r="AP19" s="31">
        <f aca="true" t="shared" si="20" ref="AP19:AP27">AP18-(0.01*($AP$18-$AP$28)/0.1)</f>
        <v>0.0524</v>
      </c>
      <c r="AS19" s="33">
        <v>0.61</v>
      </c>
      <c r="AT19" s="64">
        <f aca="true" t="shared" si="21" ref="AT19:AT27">AT18-(0.01*($AE$18-$AE$28)/0.1)</f>
        <v>0.0462</v>
      </c>
      <c r="AU19" s="64">
        <f aca="true" t="shared" si="22" ref="AU19:AU27">AU18-(0.01*($AF$18-$AF$28)/0.1)</f>
        <v>0.0513</v>
      </c>
      <c r="AV19" s="64">
        <f aca="true" t="shared" si="23" ref="AV19:AV27">AV18-(0.01*($AG$18-$AG$28)/0.1)</f>
        <v>0.0583</v>
      </c>
      <c r="AW19" s="64">
        <f aca="true" t="shared" si="24" ref="AW19:AW27">AW18-(0.01*($AH$18-$AH$28)/0.1)</f>
        <v>0.06720000000000001</v>
      </c>
      <c r="AX19" s="31">
        <v>0</v>
      </c>
    </row>
    <row r="20" spans="1:50" s="1" customFormat="1" ht="22.5" customHeight="1">
      <c r="A20" s="51"/>
      <c r="B20" s="14" t="s">
        <v>2</v>
      </c>
      <c r="C20" s="7"/>
      <c r="D20" s="14" t="s">
        <v>1</v>
      </c>
      <c r="E20" s="9">
        <f>2400*E17/100</f>
        <v>240</v>
      </c>
      <c r="F20" s="7"/>
      <c r="G20" s="7" t="s">
        <v>94</v>
      </c>
      <c r="H20" s="25"/>
      <c r="I20" s="61" t="s">
        <v>113</v>
      </c>
      <c r="J20" s="24">
        <f>IF(E4="SR-24",0.0025*100*M12,0.002*100*$M$12)</f>
        <v>1.4000000000000001</v>
      </c>
      <c r="K20" s="24">
        <f>IF(F4="SR-24",0.0025*100*N12,0.002*100*$M$12)</f>
        <v>1.4000000000000001</v>
      </c>
      <c r="L20" s="24">
        <f>IF(G4="SR-24",0.0025*100*O12,0.002*100*$M$12)</f>
        <v>1.4000000000000001</v>
      </c>
      <c r="M20" s="24">
        <f>IF(H4="SR-24",0.0025*100*P12,0.002*100*$M$13)</f>
        <v>1.2000000000000002</v>
      </c>
      <c r="N20" s="24">
        <f>IF(I4="SR-24",0.0025*100*Q12,0.002*100*$M$13)</f>
        <v>1.2000000000000002</v>
      </c>
      <c r="O20" s="24">
        <f>IF(J4="SR-24",0.0025*100*R12,0.002*100*$M$13)</f>
        <v>1.2000000000000002</v>
      </c>
      <c r="P20" s="44"/>
      <c r="U20" s="73" t="s">
        <v>45</v>
      </c>
      <c r="V20" s="17"/>
      <c r="W20" s="17"/>
      <c r="X20" s="17"/>
      <c r="Y20" s="17"/>
      <c r="Z20" s="17"/>
      <c r="AA20" s="17"/>
      <c r="AB20" s="70"/>
      <c r="AD20" s="33">
        <v>0.62</v>
      </c>
      <c r="AE20" s="64">
        <f t="shared" si="13"/>
        <v>0.061399999999999996</v>
      </c>
      <c r="AF20" s="64">
        <f t="shared" si="14"/>
        <v>0.0676</v>
      </c>
      <c r="AG20" s="64">
        <f t="shared" si="15"/>
        <v>0.07659999999999999</v>
      </c>
      <c r="AH20" s="64">
        <f t="shared" si="16"/>
        <v>0.0884</v>
      </c>
      <c r="AI20" s="31">
        <v>0</v>
      </c>
      <c r="AK20" s="33">
        <v>0.62</v>
      </c>
      <c r="AL20" s="64">
        <v>0</v>
      </c>
      <c r="AM20" s="64">
        <f t="shared" si="17"/>
        <v>0.03420000000000001</v>
      </c>
      <c r="AN20" s="64">
        <f t="shared" si="18"/>
        <v>0.0384</v>
      </c>
      <c r="AO20" s="64">
        <f t="shared" si="19"/>
        <v>0.0442</v>
      </c>
      <c r="AP20" s="31">
        <f t="shared" si="20"/>
        <v>0.0518</v>
      </c>
      <c r="AS20" s="33">
        <v>0.62</v>
      </c>
      <c r="AT20" s="64">
        <f t="shared" si="21"/>
        <v>0.045399999999999996</v>
      </c>
      <c r="AU20" s="64">
        <f t="shared" si="22"/>
        <v>0.0506</v>
      </c>
      <c r="AV20" s="64">
        <f t="shared" si="23"/>
        <v>0.0576</v>
      </c>
      <c r="AW20" s="64">
        <f t="shared" si="24"/>
        <v>0.06640000000000001</v>
      </c>
      <c r="AX20" s="31">
        <v>0</v>
      </c>
    </row>
    <row r="21" spans="1:50" s="1" customFormat="1" ht="20.25" customHeight="1">
      <c r="A21" s="51"/>
      <c r="B21" s="14" t="s">
        <v>3</v>
      </c>
      <c r="C21" s="7"/>
      <c r="D21" s="14" t="s">
        <v>1</v>
      </c>
      <c r="E21" s="8">
        <v>50</v>
      </c>
      <c r="F21" s="7"/>
      <c r="G21" s="7" t="s">
        <v>94</v>
      </c>
      <c r="H21" s="25"/>
      <c r="P21" s="44"/>
      <c r="U21" s="27" t="s">
        <v>46</v>
      </c>
      <c r="V21" s="17">
        <v>0.058</v>
      </c>
      <c r="W21" s="17">
        <v>0.066</v>
      </c>
      <c r="X21" s="17">
        <v>0.074</v>
      </c>
      <c r="Y21" s="17">
        <v>0.082</v>
      </c>
      <c r="Z21" s="28">
        <v>0.09</v>
      </c>
      <c r="AA21" s="17">
        <v>0.098</v>
      </c>
      <c r="AB21" s="70">
        <v>0.058</v>
      </c>
      <c r="AD21" s="33">
        <v>0.63</v>
      </c>
      <c r="AE21" s="64">
        <f t="shared" si="13"/>
        <v>0.060599999999999994</v>
      </c>
      <c r="AF21" s="64">
        <f t="shared" si="14"/>
        <v>0.06689999999999999</v>
      </c>
      <c r="AG21" s="64">
        <f t="shared" si="15"/>
        <v>0.07589999999999998</v>
      </c>
      <c r="AH21" s="64">
        <f t="shared" si="16"/>
        <v>0.08760000000000001</v>
      </c>
      <c r="AI21" s="31">
        <v>0</v>
      </c>
      <c r="AK21" s="33">
        <v>0.63</v>
      </c>
      <c r="AL21" s="64">
        <v>0</v>
      </c>
      <c r="AM21" s="64">
        <f t="shared" si="17"/>
        <v>0.03380000000000001</v>
      </c>
      <c r="AN21" s="64">
        <f t="shared" si="18"/>
        <v>0.038099999999999995</v>
      </c>
      <c r="AO21" s="64">
        <f t="shared" si="19"/>
        <v>0.043800000000000006</v>
      </c>
      <c r="AP21" s="31">
        <f t="shared" si="20"/>
        <v>0.051199999999999996</v>
      </c>
      <c r="AS21" s="33">
        <v>0.63</v>
      </c>
      <c r="AT21" s="64">
        <f t="shared" si="21"/>
        <v>0.044599999999999994</v>
      </c>
      <c r="AU21" s="64">
        <f t="shared" si="22"/>
        <v>0.0499</v>
      </c>
      <c r="AV21" s="64">
        <f t="shared" si="23"/>
        <v>0.0569</v>
      </c>
      <c r="AW21" s="64">
        <f t="shared" si="24"/>
        <v>0.06560000000000002</v>
      </c>
      <c r="AX21" s="31">
        <v>0</v>
      </c>
    </row>
    <row r="22" spans="1:50" s="1" customFormat="1" ht="21.75" customHeight="1">
      <c r="A22" s="51"/>
      <c r="B22" s="14" t="s">
        <v>5</v>
      </c>
      <c r="C22" s="7"/>
      <c r="D22" s="14" t="s">
        <v>1</v>
      </c>
      <c r="E22" s="8">
        <v>0</v>
      </c>
      <c r="F22" s="7"/>
      <c r="G22" s="7" t="s">
        <v>94</v>
      </c>
      <c r="H22" s="25"/>
      <c r="I22" s="80" t="s">
        <v>83</v>
      </c>
      <c r="J22" s="82">
        <f>+$J$19*$C$48</f>
        <v>6.76392156862745</v>
      </c>
      <c r="K22" s="82">
        <f>+$K$19*$C$48</f>
        <v>10.145882352941175</v>
      </c>
      <c r="L22" s="82">
        <f>+$L$19*$C$48</f>
        <v>13.5278431372549</v>
      </c>
      <c r="M22" s="82">
        <f>+$M$19*$F$52</f>
        <v>4.932026143790849</v>
      </c>
      <c r="N22" s="82">
        <f>+$N$19*$F$52</f>
        <v>7.299398692810457</v>
      </c>
      <c r="O22" s="82">
        <f>+$O$19*$F$52</f>
        <v>9.666771241830064</v>
      </c>
      <c r="P22" s="44"/>
      <c r="U22" s="26" t="s">
        <v>47</v>
      </c>
      <c r="V22" s="17">
        <v>0.029</v>
      </c>
      <c r="W22" s="17">
        <v>0.033</v>
      </c>
      <c r="X22" s="17">
        <v>0.037</v>
      </c>
      <c r="Y22" s="17">
        <v>0.041</v>
      </c>
      <c r="Z22" s="17">
        <v>0.045</v>
      </c>
      <c r="AA22" s="17">
        <v>0.049</v>
      </c>
      <c r="AB22" s="70">
        <v>0.029</v>
      </c>
      <c r="AD22" s="33">
        <v>0.64</v>
      </c>
      <c r="AE22" s="64">
        <f t="shared" si="13"/>
        <v>0.05979999999999999</v>
      </c>
      <c r="AF22" s="64">
        <f t="shared" si="14"/>
        <v>0.06619999999999998</v>
      </c>
      <c r="AG22" s="64">
        <f t="shared" si="15"/>
        <v>0.07519999999999998</v>
      </c>
      <c r="AH22" s="64">
        <f t="shared" si="16"/>
        <v>0.08680000000000002</v>
      </c>
      <c r="AI22" s="31">
        <v>0</v>
      </c>
      <c r="AK22" s="33">
        <v>0.64</v>
      </c>
      <c r="AL22" s="64">
        <v>0</v>
      </c>
      <c r="AM22" s="64">
        <f t="shared" si="17"/>
        <v>0.03340000000000001</v>
      </c>
      <c r="AN22" s="64">
        <f t="shared" si="18"/>
        <v>0.03779999999999999</v>
      </c>
      <c r="AO22" s="64">
        <f t="shared" si="19"/>
        <v>0.04340000000000001</v>
      </c>
      <c r="AP22" s="31">
        <f t="shared" si="20"/>
        <v>0.05059999999999999</v>
      </c>
      <c r="AS22" s="33">
        <v>0.64</v>
      </c>
      <c r="AT22" s="64">
        <f t="shared" si="21"/>
        <v>0.04379999999999999</v>
      </c>
      <c r="AU22" s="64">
        <f t="shared" si="22"/>
        <v>0.0492</v>
      </c>
      <c r="AV22" s="64">
        <f t="shared" si="23"/>
        <v>0.0562</v>
      </c>
      <c r="AW22" s="64">
        <f t="shared" si="24"/>
        <v>0.06480000000000002</v>
      </c>
      <c r="AX22" s="31">
        <v>0</v>
      </c>
    </row>
    <row r="23" spans="1:50" s="1" customFormat="1" ht="20.25" customHeight="1">
      <c r="A23" s="51"/>
      <c r="B23" s="14" t="s">
        <v>4</v>
      </c>
      <c r="C23" s="7"/>
      <c r="D23" s="14" t="s">
        <v>1</v>
      </c>
      <c r="E23" s="8">
        <v>200</v>
      </c>
      <c r="F23" s="7"/>
      <c r="G23" s="7" t="s">
        <v>94</v>
      </c>
      <c r="H23" s="25"/>
      <c r="I23" s="297" t="s">
        <v>93</v>
      </c>
      <c r="J23" s="298"/>
      <c r="K23" s="298"/>
      <c r="L23" s="298"/>
      <c r="M23" s="298"/>
      <c r="N23" s="298"/>
      <c r="O23" s="299"/>
      <c r="P23" s="44"/>
      <c r="U23" s="29" t="s">
        <v>42</v>
      </c>
      <c r="V23" s="18">
        <v>0.044</v>
      </c>
      <c r="W23" s="30">
        <v>0.05</v>
      </c>
      <c r="X23" s="18">
        <v>0.056</v>
      </c>
      <c r="Y23" s="18">
        <v>0.062</v>
      </c>
      <c r="Z23" s="18">
        <v>0.068</v>
      </c>
      <c r="AA23" s="18">
        <v>0.074</v>
      </c>
      <c r="AB23" s="71">
        <v>0.044</v>
      </c>
      <c r="AD23" s="102">
        <v>0.65</v>
      </c>
      <c r="AE23" s="100">
        <f t="shared" si="13"/>
        <v>0.05899999999999999</v>
      </c>
      <c r="AF23" s="100">
        <f t="shared" si="14"/>
        <v>0.06549999999999997</v>
      </c>
      <c r="AG23" s="100">
        <f t="shared" si="15"/>
        <v>0.07449999999999997</v>
      </c>
      <c r="AH23" s="100">
        <f t="shared" si="16"/>
        <v>0.08600000000000002</v>
      </c>
      <c r="AI23" s="101">
        <v>0</v>
      </c>
      <c r="AK23" s="102">
        <v>0.65</v>
      </c>
      <c r="AL23" s="100">
        <v>0</v>
      </c>
      <c r="AM23" s="100">
        <f t="shared" si="17"/>
        <v>0.033000000000000015</v>
      </c>
      <c r="AN23" s="100">
        <f t="shared" si="18"/>
        <v>0.03749999999999999</v>
      </c>
      <c r="AO23" s="100">
        <f t="shared" si="19"/>
        <v>0.04300000000000001</v>
      </c>
      <c r="AP23" s="101">
        <f t="shared" si="20"/>
        <v>0.04999999999999999</v>
      </c>
      <c r="AS23" s="102">
        <v>0.65</v>
      </c>
      <c r="AT23" s="100">
        <f t="shared" si="21"/>
        <v>0.04299999999999999</v>
      </c>
      <c r="AU23" s="100">
        <f t="shared" si="22"/>
        <v>0.0485</v>
      </c>
      <c r="AV23" s="100">
        <f t="shared" si="23"/>
        <v>0.0555</v>
      </c>
      <c r="AW23" s="100">
        <f t="shared" si="24"/>
        <v>0.06400000000000003</v>
      </c>
      <c r="AX23" s="101">
        <v>0</v>
      </c>
    </row>
    <row r="24" spans="1:50" s="1" customFormat="1" ht="18" customHeight="1">
      <c r="A24" s="45"/>
      <c r="B24" s="16" t="s">
        <v>54</v>
      </c>
      <c r="C24" s="7"/>
      <c r="D24" s="14" t="s">
        <v>1</v>
      </c>
      <c r="E24" s="11">
        <f>E20+E21</f>
        <v>290</v>
      </c>
      <c r="F24" s="7"/>
      <c r="G24" s="7" t="s">
        <v>94</v>
      </c>
      <c r="H24" s="25"/>
      <c r="I24" s="94" t="s">
        <v>115</v>
      </c>
      <c r="J24" s="273" t="s">
        <v>81</v>
      </c>
      <c r="K24" s="258"/>
      <c r="L24" s="259"/>
      <c r="M24" s="273" t="s">
        <v>82</v>
      </c>
      <c r="N24" s="258"/>
      <c r="O24" s="259"/>
      <c r="P24" s="44"/>
      <c r="U24" s="73" t="s">
        <v>61</v>
      </c>
      <c r="V24" s="17"/>
      <c r="W24" s="17"/>
      <c r="X24" s="17"/>
      <c r="Y24" s="17"/>
      <c r="Z24" s="17"/>
      <c r="AA24" s="17"/>
      <c r="AB24" s="70"/>
      <c r="AD24" s="33">
        <v>0.66</v>
      </c>
      <c r="AE24" s="64">
        <f t="shared" si="13"/>
        <v>0.05819999999999999</v>
      </c>
      <c r="AF24" s="64">
        <f t="shared" si="14"/>
        <v>0.06479999999999997</v>
      </c>
      <c r="AG24" s="64">
        <f t="shared" si="15"/>
        <v>0.07379999999999996</v>
      </c>
      <c r="AH24" s="64">
        <f t="shared" si="16"/>
        <v>0.08520000000000003</v>
      </c>
      <c r="AI24" s="31">
        <v>0</v>
      </c>
      <c r="AK24" s="33">
        <v>0.66</v>
      </c>
      <c r="AL24" s="64">
        <v>0</v>
      </c>
      <c r="AM24" s="64">
        <f t="shared" si="17"/>
        <v>0.03260000000000002</v>
      </c>
      <c r="AN24" s="64">
        <f t="shared" si="18"/>
        <v>0.03719999999999999</v>
      </c>
      <c r="AO24" s="64">
        <f t="shared" si="19"/>
        <v>0.04260000000000001</v>
      </c>
      <c r="AP24" s="31">
        <f t="shared" si="20"/>
        <v>0.049399999999999986</v>
      </c>
      <c r="AS24" s="33">
        <v>0.66</v>
      </c>
      <c r="AT24" s="64">
        <f t="shared" si="21"/>
        <v>0.04219999999999999</v>
      </c>
      <c r="AU24" s="64">
        <f t="shared" si="22"/>
        <v>0.0478</v>
      </c>
      <c r="AV24" s="64">
        <f t="shared" si="23"/>
        <v>0.0548</v>
      </c>
      <c r="AW24" s="64">
        <f t="shared" si="24"/>
        <v>0.06320000000000003</v>
      </c>
      <c r="AX24" s="31">
        <v>0</v>
      </c>
    </row>
    <row r="25" spans="1:50" s="1" customFormat="1" ht="18.75" customHeight="1">
      <c r="A25" s="45"/>
      <c r="B25" s="16" t="s">
        <v>35</v>
      </c>
      <c r="C25" s="7"/>
      <c r="D25" s="14" t="s">
        <v>1</v>
      </c>
      <c r="E25" s="11">
        <f>SUM(E20:E23)</f>
        <v>490</v>
      </c>
      <c r="F25" s="7"/>
      <c r="G25" s="7" t="s">
        <v>94</v>
      </c>
      <c r="H25" s="25"/>
      <c r="I25" s="61" t="s">
        <v>85</v>
      </c>
      <c r="J25" s="81">
        <f>+$J$22/0.636</f>
        <v>10.635096806018003</v>
      </c>
      <c r="K25" s="81">
        <f>+$K$22/0.636</f>
        <v>15.952645209027004</v>
      </c>
      <c r="L25" s="81">
        <f>+$L$22/0.636</f>
        <v>21.270193612036007</v>
      </c>
      <c r="M25" s="81">
        <f>+$M$22/0.636</f>
        <v>7.754758087721461</v>
      </c>
      <c r="N25" s="81">
        <f>+$N$22/0.636</f>
        <v>11.477041969827763</v>
      </c>
      <c r="O25" s="81">
        <f>+$O$22/0.636</f>
        <v>15.199325851934063</v>
      </c>
      <c r="P25" s="44"/>
      <c r="U25" s="27" t="s">
        <v>46</v>
      </c>
      <c r="V25" s="17" t="s">
        <v>48</v>
      </c>
      <c r="W25" s="17" t="s">
        <v>48</v>
      </c>
      <c r="X25" s="17" t="s">
        <v>48</v>
      </c>
      <c r="Y25" s="17" t="s">
        <v>48</v>
      </c>
      <c r="Z25" s="17" t="s">
        <v>48</v>
      </c>
      <c r="AA25" s="17" t="s">
        <v>48</v>
      </c>
      <c r="AB25" s="70" t="s">
        <v>48</v>
      </c>
      <c r="AD25" s="33">
        <v>0.67</v>
      </c>
      <c r="AE25" s="64">
        <f t="shared" si="13"/>
        <v>0.057399999999999986</v>
      </c>
      <c r="AF25" s="64">
        <f t="shared" si="14"/>
        <v>0.06409999999999996</v>
      </c>
      <c r="AG25" s="64">
        <f t="shared" si="15"/>
        <v>0.07309999999999996</v>
      </c>
      <c r="AH25" s="64">
        <f t="shared" si="16"/>
        <v>0.08440000000000003</v>
      </c>
      <c r="AI25" s="31">
        <v>0</v>
      </c>
      <c r="AK25" s="33">
        <v>0.67</v>
      </c>
      <c r="AL25" s="64">
        <v>0</v>
      </c>
      <c r="AM25" s="64">
        <f t="shared" si="17"/>
        <v>0.03220000000000002</v>
      </c>
      <c r="AN25" s="64">
        <f t="shared" si="18"/>
        <v>0.03689999999999999</v>
      </c>
      <c r="AO25" s="64">
        <f t="shared" si="19"/>
        <v>0.042200000000000015</v>
      </c>
      <c r="AP25" s="31">
        <f t="shared" si="20"/>
        <v>0.04879999999999998</v>
      </c>
      <c r="AS25" s="33">
        <v>0.67</v>
      </c>
      <c r="AT25" s="64">
        <f t="shared" si="21"/>
        <v>0.041399999999999985</v>
      </c>
      <c r="AU25" s="64">
        <f t="shared" si="22"/>
        <v>0.0471</v>
      </c>
      <c r="AV25" s="64">
        <f t="shared" si="23"/>
        <v>0.0541</v>
      </c>
      <c r="AW25" s="64">
        <f t="shared" si="24"/>
        <v>0.06240000000000003</v>
      </c>
      <c r="AX25" s="31">
        <v>0</v>
      </c>
    </row>
    <row r="26" spans="1:50" s="1" customFormat="1" ht="15" customHeight="1">
      <c r="A26" s="45"/>
      <c r="B26" s="25"/>
      <c r="C26" s="25"/>
      <c r="D26" s="25"/>
      <c r="E26" s="25"/>
      <c r="F26" s="25"/>
      <c r="G26" s="25"/>
      <c r="H26" s="25"/>
      <c r="I26" s="83" t="s">
        <v>86</v>
      </c>
      <c r="J26" s="156">
        <f>+$J$22/0.78</f>
        <v>8.67169431875314</v>
      </c>
      <c r="K26" s="156">
        <f>+$K$22/0.78</f>
        <v>13.007541478129712</v>
      </c>
      <c r="L26" s="156">
        <f>+$L$22/0.78</f>
        <v>17.34338863750628</v>
      </c>
      <c r="M26" s="156">
        <f>+$M$22/0.78</f>
        <v>6.323110440757499</v>
      </c>
      <c r="N26" s="156">
        <f>+$N$22/0.78</f>
        <v>9.3582034523211</v>
      </c>
      <c r="O26" s="156">
        <f>+$O$22/0.78</f>
        <v>12.393296463884697</v>
      </c>
      <c r="P26" s="44"/>
      <c r="U26" s="26" t="s">
        <v>47</v>
      </c>
      <c r="V26" s="17">
        <v>0.033</v>
      </c>
      <c r="W26" s="17">
        <v>0.038</v>
      </c>
      <c r="X26" s="17">
        <v>0.043</v>
      </c>
      <c r="Y26" s="17">
        <v>0.047</v>
      </c>
      <c r="Z26" s="17">
        <v>0.053</v>
      </c>
      <c r="AA26" s="17">
        <v>0.055</v>
      </c>
      <c r="AB26" s="70">
        <v>0.033</v>
      </c>
      <c r="AD26" s="33">
        <v>0.68</v>
      </c>
      <c r="AE26" s="64">
        <f t="shared" si="13"/>
        <v>0.056599999999999984</v>
      </c>
      <c r="AF26" s="64">
        <f t="shared" si="14"/>
        <v>0.06339999999999996</v>
      </c>
      <c r="AG26" s="64">
        <f t="shared" si="15"/>
        <v>0.07239999999999995</v>
      </c>
      <c r="AH26" s="64">
        <f t="shared" si="16"/>
        <v>0.08360000000000004</v>
      </c>
      <c r="AI26" s="31">
        <v>0</v>
      </c>
      <c r="AK26" s="33">
        <v>0.68</v>
      </c>
      <c r="AL26" s="64">
        <v>0</v>
      </c>
      <c r="AM26" s="64">
        <f t="shared" si="17"/>
        <v>0.03180000000000002</v>
      </c>
      <c r="AN26" s="64">
        <f t="shared" si="18"/>
        <v>0.03659999999999999</v>
      </c>
      <c r="AO26" s="64">
        <f t="shared" si="19"/>
        <v>0.04180000000000002</v>
      </c>
      <c r="AP26" s="31">
        <f t="shared" si="20"/>
        <v>0.04819999999999998</v>
      </c>
      <c r="AS26" s="33">
        <v>0.68</v>
      </c>
      <c r="AT26" s="64">
        <f t="shared" si="21"/>
        <v>0.04059999999999998</v>
      </c>
      <c r="AU26" s="64">
        <f t="shared" si="22"/>
        <v>0.046400000000000004</v>
      </c>
      <c r="AV26" s="64">
        <f t="shared" si="23"/>
        <v>0.0534</v>
      </c>
      <c r="AW26" s="64">
        <f t="shared" si="24"/>
        <v>0.06160000000000003</v>
      </c>
      <c r="AX26" s="31">
        <v>0</v>
      </c>
    </row>
    <row r="27" spans="1:50" s="1" customFormat="1" ht="15" customHeight="1">
      <c r="A27" s="50" t="s">
        <v>33</v>
      </c>
      <c r="B27" s="25"/>
      <c r="C27" s="25"/>
      <c r="D27" s="25"/>
      <c r="E27" s="52"/>
      <c r="F27" s="25"/>
      <c r="G27" s="43"/>
      <c r="H27" s="25"/>
      <c r="I27" s="61" t="s">
        <v>87</v>
      </c>
      <c r="J27" s="81">
        <f>+$J$22/1.13</f>
        <v>5.9857712996703105</v>
      </c>
      <c r="K27" s="81">
        <f>+$K$22/1.13</f>
        <v>8.978656949505465</v>
      </c>
      <c r="L27" s="81">
        <f>+$L$22/1.13</f>
        <v>11.971542599340621</v>
      </c>
      <c r="M27" s="81">
        <f>+$M$22/1.13</f>
        <v>4.364624906009602</v>
      </c>
      <c r="N27" s="81">
        <f>+$N$22/1.13</f>
        <v>6.45964486089421</v>
      </c>
      <c r="O27" s="81">
        <f>+$O$22/1.13</f>
        <v>8.55466481577882</v>
      </c>
      <c r="P27" s="44"/>
      <c r="U27" s="29" t="s">
        <v>42</v>
      </c>
      <c r="V27" s="30">
        <v>0.05</v>
      </c>
      <c r="W27" s="18">
        <v>0.057</v>
      </c>
      <c r="X27" s="18">
        <v>0.064</v>
      </c>
      <c r="Y27" s="18">
        <v>0.072</v>
      </c>
      <c r="Z27" s="30">
        <v>0.08</v>
      </c>
      <c r="AA27" s="18">
        <v>0.083</v>
      </c>
      <c r="AB27" s="72">
        <v>0.05</v>
      </c>
      <c r="AD27" s="33">
        <v>0.69</v>
      </c>
      <c r="AE27" s="64">
        <f t="shared" si="13"/>
        <v>0.05579999999999998</v>
      </c>
      <c r="AF27" s="64">
        <f t="shared" si="14"/>
        <v>0.06269999999999995</v>
      </c>
      <c r="AG27" s="64">
        <f t="shared" si="15"/>
        <v>0.07169999999999994</v>
      </c>
      <c r="AH27" s="64">
        <f t="shared" si="16"/>
        <v>0.08280000000000004</v>
      </c>
      <c r="AI27" s="31">
        <v>0</v>
      </c>
      <c r="AK27" s="33">
        <v>0.69</v>
      </c>
      <c r="AL27" s="64">
        <v>0</v>
      </c>
      <c r="AM27" s="64">
        <f t="shared" si="17"/>
        <v>0.031400000000000025</v>
      </c>
      <c r="AN27" s="64">
        <f t="shared" si="18"/>
        <v>0.036299999999999985</v>
      </c>
      <c r="AO27" s="64">
        <f t="shared" si="19"/>
        <v>0.04140000000000002</v>
      </c>
      <c r="AP27" s="31">
        <f t="shared" si="20"/>
        <v>0.047599999999999976</v>
      </c>
      <c r="AS27" s="33">
        <v>0.69</v>
      </c>
      <c r="AT27" s="64">
        <f t="shared" si="21"/>
        <v>0.03979999999999998</v>
      </c>
      <c r="AU27" s="64">
        <f t="shared" si="22"/>
        <v>0.045700000000000005</v>
      </c>
      <c r="AV27" s="64">
        <f t="shared" si="23"/>
        <v>0.052700000000000004</v>
      </c>
      <c r="AW27" s="64">
        <f t="shared" si="24"/>
        <v>0.06080000000000003</v>
      </c>
      <c r="AX27" s="31">
        <v>0</v>
      </c>
    </row>
    <row r="28" spans="1:50" s="1" customFormat="1" ht="15" customHeight="1">
      <c r="A28" s="45"/>
      <c r="B28" s="14" t="s">
        <v>34</v>
      </c>
      <c r="C28" s="7"/>
      <c r="D28" s="14" t="s">
        <v>1</v>
      </c>
      <c r="E28" s="12">
        <v>0.45</v>
      </c>
      <c r="F28" s="7"/>
      <c r="G28" s="7"/>
      <c r="H28" s="25"/>
      <c r="I28" s="61" t="s">
        <v>88</v>
      </c>
      <c r="J28" s="81">
        <f>+$J$22/1.77</f>
        <v>3.8214246150437567</v>
      </c>
      <c r="K28" s="81">
        <f>+$K$22/1.77</f>
        <v>5.732136922565636</v>
      </c>
      <c r="L28" s="81">
        <f>+$L$22/1.77</f>
        <v>7.6428492300875135</v>
      </c>
      <c r="M28" s="81">
        <f>+$M$22/1.77</f>
        <v>2.786455448469406</v>
      </c>
      <c r="N28" s="81">
        <f>+$N$22/1.77</f>
        <v>4.123954063734722</v>
      </c>
      <c r="O28" s="81">
        <f>+$O$22/1.77</f>
        <v>5.461452679000036</v>
      </c>
      <c r="P28" s="54"/>
      <c r="Q28" s="6"/>
      <c r="R28" s="6"/>
      <c r="S28" s="6"/>
      <c r="T28" s="6"/>
      <c r="AD28" s="106">
        <v>0.7</v>
      </c>
      <c r="AE28" s="104">
        <v>0.055</v>
      </c>
      <c r="AF28" s="104">
        <v>0.062</v>
      </c>
      <c r="AG28" s="100">
        <v>0.071</v>
      </c>
      <c r="AH28" s="100">
        <v>0.082</v>
      </c>
      <c r="AI28" s="101">
        <v>0</v>
      </c>
      <c r="AK28" s="103">
        <v>0.7</v>
      </c>
      <c r="AL28" s="104">
        <v>0</v>
      </c>
      <c r="AM28" s="104">
        <v>0.031</v>
      </c>
      <c r="AN28" s="100">
        <v>0.036</v>
      </c>
      <c r="AO28" s="100">
        <v>0.041</v>
      </c>
      <c r="AP28" s="101">
        <v>0.047</v>
      </c>
      <c r="AS28" s="103">
        <v>0.7</v>
      </c>
      <c r="AT28" s="104">
        <v>0.041</v>
      </c>
      <c r="AU28" s="104">
        <v>0.047</v>
      </c>
      <c r="AV28" s="100">
        <v>0.054</v>
      </c>
      <c r="AW28" s="100">
        <v>0.062</v>
      </c>
      <c r="AX28" s="101">
        <v>0.072</v>
      </c>
    </row>
    <row r="29" spans="1:50" s="1" customFormat="1" ht="15" customHeight="1">
      <c r="A29" s="45"/>
      <c r="B29" s="14" t="s">
        <v>11</v>
      </c>
      <c r="C29" s="7"/>
      <c r="D29" s="14" t="s">
        <v>1</v>
      </c>
      <c r="E29" s="13">
        <f>E28*$E$7</f>
        <v>90</v>
      </c>
      <c r="F29" s="7"/>
      <c r="G29" s="7" t="s">
        <v>13</v>
      </c>
      <c r="H29" s="25"/>
      <c r="I29" s="61" t="s">
        <v>89</v>
      </c>
      <c r="J29" s="81">
        <f>+$J$22/2.01</f>
        <v>3.3651351087698758</v>
      </c>
      <c r="K29" s="81">
        <f>+$K$22/2.01</f>
        <v>5.047702663154814</v>
      </c>
      <c r="L29" s="81">
        <f>+$L$22/2.01</f>
        <v>6.7302702175397515</v>
      </c>
      <c r="M29" s="81">
        <f>+$M$22/2.01</f>
        <v>2.453744350144701</v>
      </c>
      <c r="N29" s="81">
        <f>+$N$22/2.01</f>
        <v>3.6315416382141583</v>
      </c>
      <c r="O29" s="81">
        <f>+$O$22/2.01</f>
        <v>4.809338926283615</v>
      </c>
      <c r="P29" s="44"/>
      <c r="AD29" s="33">
        <v>0.71</v>
      </c>
      <c r="AE29" s="64">
        <f aca="true" t="shared" si="25" ref="AE29:AE37">AE28-(0.01*($AE$28-$AE$38)/0.1)</f>
        <v>0.0543</v>
      </c>
      <c r="AF29" s="64">
        <f aca="true" t="shared" si="26" ref="AF29:AF37">AF28-(0.01*($AF$28-$AF$38)/0.1)</f>
        <v>0.0613</v>
      </c>
      <c r="AG29" s="64">
        <f aca="true" t="shared" si="27" ref="AG29:AG37">AG28-(0.01*($AG$28-$AG$38)/0.1)</f>
        <v>0.0703</v>
      </c>
      <c r="AH29" s="64">
        <f aca="true" t="shared" si="28" ref="AH29:AH37">AH28-(0.01*($AH$28-$AH$38)/0.1)</f>
        <v>0.08120000000000001</v>
      </c>
      <c r="AI29" s="31">
        <v>0</v>
      </c>
      <c r="AK29" s="33">
        <v>0.71</v>
      </c>
      <c r="AL29" s="64">
        <v>0</v>
      </c>
      <c r="AM29" s="64">
        <f aca="true" t="shared" si="29" ref="AM29:AM37">AM28-(0.01*($AM$28-$AM$38)/0.1)</f>
        <v>0.0306</v>
      </c>
      <c r="AN29" s="64">
        <f aca="true" t="shared" si="30" ref="AN29:AN37">AN28-(0.01*($AN$28-$AN$38)/0.1)</f>
        <v>0.0356</v>
      </c>
      <c r="AO29" s="64">
        <f aca="true" t="shared" si="31" ref="AO29:AO37">AO28-(0.01*($AO$28-$AO$38)/0.1)</f>
        <v>0.040600000000000004</v>
      </c>
      <c r="AP29" s="31">
        <f aca="true" t="shared" si="32" ref="AP29:AP37">AP28-(0.01*($AP$28-$AP$38)/0.1)</f>
        <v>0.0466</v>
      </c>
      <c r="AS29" s="33">
        <v>0.71</v>
      </c>
      <c r="AT29" s="64">
        <f aca="true" t="shared" si="33" ref="AT29:AT37">AT28-(0.01*($AE$28-$AE$38)/0.1)</f>
        <v>0.0403</v>
      </c>
      <c r="AU29" s="64">
        <f aca="true" t="shared" si="34" ref="AU29:AU37">AU28-(0.01*($AF$28-$AF$38)/0.1)</f>
        <v>0.0463</v>
      </c>
      <c r="AV29" s="64">
        <f aca="true" t="shared" si="35" ref="AV29:AV37">AV28-(0.01*($AG$28-$AG$38)/0.1)</f>
        <v>0.0533</v>
      </c>
      <c r="AW29" s="64">
        <f aca="true" t="shared" si="36" ref="AW29:AW37">AW28-(0.01*($AH$28-$AH$38)/0.1)</f>
        <v>0.0612</v>
      </c>
      <c r="AX29" s="31">
        <v>0</v>
      </c>
    </row>
    <row r="30" spans="1:50" s="1" customFormat="1" ht="15" customHeight="1">
      <c r="A30" s="45"/>
      <c r="B30" s="14" t="s">
        <v>12</v>
      </c>
      <c r="C30" s="7"/>
      <c r="D30" s="14" t="s">
        <v>1</v>
      </c>
      <c r="E30" s="9">
        <f>IF($E$4="SR-24",0.5*$E$6,IF($E$4="SD-30",0.5*$E$6,MIN(0.5*$E$6,1700)))</f>
        <v>1500</v>
      </c>
      <c r="F30" s="7"/>
      <c r="G30" s="7" t="s">
        <v>13</v>
      </c>
      <c r="H30" s="25"/>
      <c r="I30" s="61" t="s">
        <v>90</v>
      </c>
      <c r="J30" s="81">
        <f>+$J$22/2.84</f>
        <v>2.3816625241645952</v>
      </c>
      <c r="K30" s="81">
        <f>+$K$22/2.84</f>
        <v>3.572493786246893</v>
      </c>
      <c r="L30" s="81">
        <f>+$L$22/2.84</f>
        <v>4.7633250483291905</v>
      </c>
      <c r="M30" s="81">
        <f>+$M$22/2.84</f>
        <v>1.7366289238700174</v>
      </c>
      <c r="N30" s="81">
        <f>+$N$22/2.84</f>
        <v>2.570210807327626</v>
      </c>
      <c r="O30" s="81">
        <f>+$O$22/2.84</f>
        <v>3.403792690785234</v>
      </c>
      <c r="P30" s="44"/>
      <c r="AD30" s="33">
        <v>0.72</v>
      </c>
      <c r="AE30" s="64">
        <f t="shared" si="25"/>
        <v>0.0536</v>
      </c>
      <c r="AF30" s="64">
        <f t="shared" si="26"/>
        <v>0.0606</v>
      </c>
      <c r="AG30" s="64">
        <f t="shared" si="27"/>
        <v>0.0696</v>
      </c>
      <c r="AH30" s="64">
        <f t="shared" si="28"/>
        <v>0.08040000000000001</v>
      </c>
      <c r="AI30" s="31">
        <v>0</v>
      </c>
      <c r="AK30" s="33">
        <v>0.72</v>
      </c>
      <c r="AL30" s="64">
        <v>0</v>
      </c>
      <c r="AM30" s="64">
        <f t="shared" si="29"/>
        <v>0.030199999999999998</v>
      </c>
      <c r="AN30" s="64">
        <f t="shared" si="30"/>
        <v>0.0352</v>
      </c>
      <c r="AO30" s="64">
        <f t="shared" si="31"/>
        <v>0.04020000000000001</v>
      </c>
      <c r="AP30" s="31">
        <f t="shared" si="32"/>
        <v>0.046200000000000005</v>
      </c>
      <c r="AS30" s="33">
        <v>0.72</v>
      </c>
      <c r="AT30" s="64">
        <f t="shared" si="33"/>
        <v>0.0396</v>
      </c>
      <c r="AU30" s="64">
        <f t="shared" si="34"/>
        <v>0.0456</v>
      </c>
      <c r="AV30" s="64">
        <f t="shared" si="35"/>
        <v>0.0526</v>
      </c>
      <c r="AW30" s="64">
        <f t="shared" si="36"/>
        <v>0.060399999999999995</v>
      </c>
      <c r="AX30" s="31">
        <v>0</v>
      </c>
    </row>
    <row r="31" spans="1:50" s="1" customFormat="1" ht="15" customHeight="1">
      <c r="A31" s="45"/>
      <c r="B31" s="14" t="s">
        <v>15</v>
      </c>
      <c r="C31" s="7"/>
      <c r="D31" s="14" t="s">
        <v>1</v>
      </c>
      <c r="E31" s="9">
        <f>15120*SQRT($E$7)</f>
        <v>213829.090630812</v>
      </c>
      <c r="F31" s="7"/>
      <c r="G31" s="7" t="s">
        <v>13</v>
      </c>
      <c r="H31" s="25"/>
      <c r="I31" s="61" t="s">
        <v>91</v>
      </c>
      <c r="J31" s="81">
        <f>+$J$22/3.14</f>
        <v>2.1541151492444106</v>
      </c>
      <c r="K31" s="81">
        <f>+$K$22/3.14</f>
        <v>3.2311727238666164</v>
      </c>
      <c r="L31" s="81">
        <f>+$L$22/3.14</f>
        <v>4.308230298488821</v>
      </c>
      <c r="M31" s="81">
        <f>+$M$22/3.14</f>
        <v>1.5707089629907163</v>
      </c>
      <c r="N31" s="81">
        <f>+$N$22/3.14</f>
        <v>2.32464926522626</v>
      </c>
      <c r="O31" s="81">
        <f>+$O$22/3.14</f>
        <v>3.078589567461804</v>
      </c>
      <c r="P31" s="44"/>
      <c r="AD31" s="33">
        <v>0.73</v>
      </c>
      <c r="AE31" s="64">
        <f t="shared" si="25"/>
        <v>0.0529</v>
      </c>
      <c r="AF31" s="64">
        <f t="shared" si="26"/>
        <v>0.0599</v>
      </c>
      <c r="AG31" s="64">
        <f t="shared" si="27"/>
        <v>0.06889999999999999</v>
      </c>
      <c r="AH31" s="64">
        <f t="shared" si="28"/>
        <v>0.07960000000000002</v>
      </c>
      <c r="AI31" s="31">
        <v>0</v>
      </c>
      <c r="AK31" s="33">
        <v>0.73</v>
      </c>
      <c r="AL31" s="64">
        <v>0</v>
      </c>
      <c r="AM31" s="64">
        <f t="shared" si="29"/>
        <v>0.029799999999999997</v>
      </c>
      <c r="AN31" s="64">
        <f t="shared" si="30"/>
        <v>0.034800000000000005</v>
      </c>
      <c r="AO31" s="64">
        <f t="shared" si="31"/>
        <v>0.03980000000000001</v>
      </c>
      <c r="AP31" s="31">
        <f t="shared" si="32"/>
        <v>0.04580000000000001</v>
      </c>
      <c r="AS31" s="33">
        <v>0.73</v>
      </c>
      <c r="AT31" s="64">
        <f t="shared" si="33"/>
        <v>0.038900000000000004</v>
      </c>
      <c r="AU31" s="64">
        <f t="shared" si="34"/>
        <v>0.0449</v>
      </c>
      <c r="AV31" s="64">
        <f t="shared" si="35"/>
        <v>0.0519</v>
      </c>
      <c r="AW31" s="64">
        <f t="shared" si="36"/>
        <v>0.05959999999999999</v>
      </c>
      <c r="AX31" s="31">
        <v>0</v>
      </c>
    </row>
    <row r="32" spans="1:50" s="1" customFormat="1" ht="15" customHeight="1">
      <c r="A32" s="45"/>
      <c r="B32" s="14" t="s">
        <v>14</v>
      </c>
      <c r="C32" s="7"/>
      <c r="D32" s="14" t="s">
        <v>1</v>
      </c>
      <c r="E32" s="9">
        <v>9</v>
      </c>
      <c r="F32" s="7"/>
      <c r="G32" s="7"/>
      <c r="H32" s="25"/>
      <c r="I32" s="61" t="s">
        <v>92</v>
      </c>
      <c r="J32" s="81">
        <f>+$J$22/4.91</f>
        <v>1.3775807675412322</v>
      </c>
      <c r="K32" s="81">
        <f>+$K$22/4.91</f>
        <v>2.066371151311848</v>
      </c>
      <c r="L32" s="81">
        <f>+$L$22/4.91</f>
        <v>2.7551615350824643</v>
      </c>
      <c r="M32" s="81">
        <f>+$M$22/4.91</f>
        <v>1.0044859763321485</v>
      </c>
      <c r="N32" s="81">
        <f>+$N$22/4.91</f>
        <v>1.4866392449715797</v>
      </c>
      <c r="O32" s="81">
        <f>+$O$22/4.91</f>
        <v>1.968792513611011</v>
      </c>
      <c r="P32" s="44"/>
      <c r="AD32" s="33">
        <v>0.74</v>
      </c>
      <c r="AE32" s="64">
        <f t="shared" si="25"/>
        <v>0.0522</v>
      </c>
      <c r="AF32" s="64">
        <f t="shared" si="26"/>
        <v>0.0592</v>
      </c>
      <c r="AG32" s="64">
        <f t="shared" si="27"/>
        <v>0.06819999999999998</v>
      </c>
      <c r="AH32" s="64">
        <f t="shared" si="28"/>
        <v>0.07880000000000002</v>
      </c>
      <c r="AI32" s="31">
        <v>0</v>
      </c>
      <c r="AK32" s="95">
        <v>0.74</v>
      </c>
      <c r="AL32" s="96">
        <v>0</v>
      </c>
      <c r="AM32" s="96">
        <f t="shared" si="29"/>
        <v>0.029399999999999996</v>
      </c>
      <c r="AN32" s="96">
        <f t="shared" si="30"/>
        <v>0.03440000000000001</v>
      </c>
      <c r="AO32" s="96">
        <f t="shared" si="31"/>
        <v>0.03940000000000001</v>
      </c>
      <c r="AP32" s="97">
        <f t="shared" si="32"/>
        <v>0.04540000000000001</v>
      </c>
      <c r="AS32" s="95">
        <v>0.74</v>
      </c>
      <c r="AT32" s="96">
        <f t="shared" si="33"/>
        <v>0.038200000000000005</v>
      </c>
      <c r="AU32" s="96">
        <f t="shared" si="34"/>
        <v>0.0442</v>
      </c>
      <c r="AV32" s="96">
        <f t="shared" si="35"/>
        <v>0.0512</v>
      </c>
      <c r="AW32" s="96">
        <f t="shared" si="36"/>
        <v>0.05879999999999999</v>
      </c>
      <c r="AX32" s="97">
        <v>0</v>
      </c>
    </row>
    <row r="33" spans="1:50" s="1" customFormat="1" ht="15" customHeight="1">
      <c r="A33" s="45"/>
      <c r="B33" s="84"/>
      <c r="C33" s="84"/>
      <c r="D33" s="84"/>
      <c r="E33" s="85"/>
      <c r="F33" s="84"/>
      <c r="G33" s="85"/>
      <c r="H33" s="25"/>
      <c r="P33" s="44"/>
      <c r="AD33" s="103">
        <v>0.75</v>
      </c>
      <c r="AE33" s="104">
        <f t="shared" si="25"/>
        <v>0.051500000000000004</v>
      </c>
      <c r="AF33" s="104">
        <f t="shared" si="26"/>
        <v>0.0585</v>
      </c>
      <c r="AG33" s="104">
        <f t="shared" si="27"/>
        <v>0.06749999999999998</v>
      </c>
      <c r="AH33" s="104">
        <f t="shared" si="28"/>
        <v>0.07800000000000003</v>
      </c>
      <c r="AI33" s="105">
        <v>0</v>
      </c>
      <c r="AK33" s="103">
        <v>0.75</v>
      </c>
      <c r="AL33" s="104">
        <v>0</v>
      </c>
      <c r="AM33" s="104">
        <f t="shared" si="29"/>
        <v>0.028999999999999995</v>
      </c>
      <c r="AN33" s="104">
        <f t="shared" si="30"/>
        <v>0.03400000000000001</v>
      </c>
      <c r="AO33" s="104">
        <f t="shared" si="31"/>
        <v>0.039000000000000014</v>
      </c>
      <c r="AP33" s="105">
        <f t="shared" si="32"/>
        <v>0.04500000000000001</v>
      </c>
      <c r="AQ33" s="3"/>
      <c r="AR33" s="3"/>
      <c r="AS33" s="103">
        <v>0.75</v>
      </c>
      <c r="AT33" s="104">
        <f t="shared" si="33"/>
        <v>0.037500000000000006</v>
      </c>
      <c r="AU33" s="104">
        <f t="shared" si="34"/>
        <v>0.043500000000000004</v>
      </c>
      <c r="AV33" s="104">
        <f t="shared" si="35"/>
        <v>0.0505</v>
      </c>
      <c r="AW33" s="104">
        <f t="shared" si="36"/>
        <v>0.05799999999999999</v>
      </c>
      <c r="AX33" s="105">
        <v>0</v>
      </c>
    </row>
    <row r="34" spans="1:50" s="1" customFormat="1" ht="22.5" customHeight="1">
      <c r="A34" s="45"/>
      <c r="B34" s="78" t="s">
        <v>77</v>
      </c>
      <c r="C34" s="25"/>
      <c r="D34" s="25"/>
      <c r="E34" s="43"/>
      <c r="F34" s="25"/>
      <c r="G34" s="43"/>
      <c r="H34" s="25"/>
      <c r="I34" s="80" t="s">
        <v>84</v>
      </c>
      <c r="J34" s="172">
        <f>+$J$22/3</f>
        <v>2.2546405228758166</v>
      </c>
      <c r="K34" s="172">
        <f>+$K$22/3</f>
        <v>3.381960784313725</v>
      </c>
      <c r="L34" s="172">
        <f>+$L$22/3</f>
        <v>4.509281045751633</v>
      </c>
      <c r="M34" s="172">
        <f>+$M$22/3</f>
        <v>1.6440087145969497</v>
      </c>
      <c r="N34" s="172">
        <f>+$N$22/3</f>
        <v>2.433132897603486</v>
      </c>
      <c r="O34" s="172">
        <f>+$O$22/3</f>
        <v>3.2222570806100213</v>
      </c>
      <c r="P34" s="44"/>
      <c r="AD34" s="33">
        <v>0.76</v>
      </c>
      <c r="AE34" s="64">
        <f t="shared" si="25"/>
        <v>0.050800000000000005</v>
      </c>
      <c r="AF34" s="64">
        <f t="shared" si="26"/>
        <v>0.057800000000000004</v>
      </c>
      <c r="AG34" s="64">
        <f t="shared" si="27"/>
        <v>0.06679999999999997</v>
      </c>
      <c r="AH34" s="64">
        <f t="shared" si="28"/>
        <v>0.07720000000000003</v>
      </c>
      <c r="AI34" s="31">
        <v>0</v>
      </c>
      <c r="AK34" s="33">
        <v>0.76</v>
      </c>
      <c r="AL34" s="64">
        <v>0</v>
      </c>
      <c r="AM34" s="64">
        <f t="shared" si="29"/>
        <v>0.028599999999999993</v>
      </c>
      <c r="AN34" s="64">
        <f t="shared" si="30"/>
        <v>0.03360000000000001</v>
      </c>
      <c r="AO34" s="64">
        <f t="shared" si="31"/>
        <v>0.038600000000000016</v>
      </c>
      <c r="AP34" s="31">
        <f t="shared" si="32"/>
        <v>0.044600000000000015</v>
      </c>
      <c r="AS34" s="33">
        <v>0.76</v>
      </c>
      <c r="AT34" s="64">
        <f t="shared" si="33"/>
        <v>0.036800000000000006</v>
      </c>
      <c r="AU34" s="64">
        <f t="shared" si="34"/>
        <v>0.042800000000000005</v>
      </c>
      <c r="AV34" s="64">
        <f t="shared" si="35"/>
        <v>0.049800000000000004</v>
      </c>
      <c r="AW34" s="64">
        <f t="shared" si="36"/>
        <v>0.05719999999999999</v>
      </c>
      <c r="AX34" s="31">
        <v>0</v>
      </c>
    </row>
    <row r="35" spans="1:50" s="1" customFormat="1" ht="15" customHeight="1">
      <c r="A35" s="45"/>
      <c r="B35" s="19" t="s">
        <v>72</v>
      </c>
      <c r="C35" s="1" t="s">
        <v>76</v>
      </c>
      <c r="D35" s="1" t="s">
        <v>1</v>
      </c>
      <c r="E35" s="108">
        <f>+E5</f>
        <v>10</v>
      </c>
      <c r="G35" s="63" t="s">
        <v>26</v>
      </c>
      <c r="H35" s="25"/>
      <c r="I35" s="297" t="s">
        <v>93</v>
      </c>
      <c r="J35" s="298"/>
      <c r="K35" s="298"/>
      <c r="L35" s="298"/>
      <c r="M35" s="298"/>
      <c r="N35" s="298"/>
      <c r="O35" s="299"/>
      <c r="P35" s="44"/>
      <c r="AD35" s="33">
        <v>0.77</v>
      </c>
      <c r="AE35" s="64">
        <f t="shared" si="25"/>
        <v>0.050100000000000006</v>
      </c>
      <c r="AF35" s="64">
        <f t="shared" si="26"/>
        <v>0.057100000000000005</v>
      </c>
      <c r="AG35" s="64">
        <f t="shared" si="27"/>
        <v>0.06609999999999996</v>
      </c>
      <c r="AH35" s="64">
        <f t="shared" si="28"/>
        <v>0.07640000000000004</v>
      </c>
      <c r="AI35" s="31">
        <v>0</v>
      </c>
      <c r="AK35" s="33">
        <v>0.77</v>
      </c>
      <c r="AL35" s="64">
        <v>0</v>
      </c>
      <c r="AM35" s="64">
        <f t="shared" si="29"/>
        <v>0.028199999999999992</v>
      </c>
      <c r="AN35" s="64">
        <f t="shared" si="30"/>
        <v>0.033200000000000014</v>
      </c>
      <c r="AO35" s="64">
        <f t="shared" si="31"/>
        <v>0.03820000000000002</v>
      </c>
      <c r="AP35" s="31">
        <f t="shared" si="32"/>
        <v>0.04420000000000002</v>
      </c>
      <c r="AS35" s="33">
        <v>0.77</v>
      </c>
      <c r="AT35" s="64">
        <f t="shared" si="33"/>
        <v>0.03610000000000001</v>
      </c>
      <c r="AU35" s="64">
        <f t="shared" si="34"/>
        <v>0.042100000000000005</v>
      </c>
      <c r="AV35" s="64">
        <f t="shared" si="35"/>
        <v>0.049100000000000005</v>
      </c>
      <c r="AW35" s="64">
        <f t="shared" si="36"/>
        <v>0.056399999999999985</v>
      </c>
      <c r="AX35" s="31">
        <v>0</v>
      </c>
    </row>
    <row r="36" spans="1:50" s="1" customFormat="1" ht="18.75" customHeight="1">
      <c r="A36" s="45"/>
      <c r="B36" s="19" t="s">
        <v>73</v>
      </c>
      <c r="C36" s="25" t="s">
        <v>76</v>
      </c>
      <c r="D36" s="25" t="s">
        <v>1</v>
      </c>
      <c r="E36" s="109">
        <v>10</v>
      </c>
      <c r="F36" s="25"/>
      <c r="G36" s="43" t="s">
        <v>26</v>
      </c>
      <c r="H36" s="25"/>
      <c r="I36" s="94" t="s">
        <v>107</v>
      </c>
      <c r="J36" s="273" t="s">
        <v>81</v>
      </c>
      <c r="K36" s="258"/>
      <c r="L36" s="259"/>
      <c r="M36" s="273" t="s">
        <v>82</v>
      </c>
      <c r="N36" s="258"/>
      <c r="O36" s="259"/>
      <c r="P36" s="44"/>
      <c r="AD36" s="33">
        <v>0.78</v>
      </c>
      <c r="AE36" s="64">
        <f t="shared" si="25"/>
        <v>0.049400000000000006</v>
      </c>
      <c r="AF36" s="64">
        <f t="shared" si="26"/>
        <v>0.056400000000000006</v>
      </c>
      <c r="AG36" s="64">
        <f t="shared" si="27"/>
        <v>0.06539999999999996</v>
      </c>
      <c r="AH36" s="64">
        <f t="shared" si="28"/>
        <v>0.07560000000000004</v>
      </c>
      <c r="AI36" s="31">
        <v>0</v>
      </c>
      <c r="AK36" s="33">
        <v>0.78</v>
      </c>
      <c r="AL36" s="64">
        <v>0</v>
      </c>
      <c r="AM36" s="64">
        <f t="shared" si="29"/>
        <v>0.02779999999999999</v>
      </c>
      <c r="AN36" s="64">
        <f t="shared" si="30"/>
        <v>0.03280000000000002</v>
      </c>
      <c r="AO36" s="64">
        <f t="shared" si="31"/>
        <v>0.03780000000000002</v>
      </c>
      <c r="AP36" s="31">
        <f t="shared" si="32"/>
        <v>0.04380000000000002</v>
      </c>
      <c r="AS36" s="33">
        <v>0.78</v>
      </c>
      <c r="AT36" s="64">
        <f t="shared" si="33"/>
        <v>0.03540000000000001</v>
      </c>
      <c r="AU36" s="64">
        <f t="shared" si="34"/>
        <v>0.041400000000000006</v>
      </c>
      <c r="AV36" s="64">
        <f t="shared" si="35"/>
        <v>0.048400000000000006</v>
      </c>
      <c r="AW36" s="64">
        <f t="shared" si="36"/>
        <v>0.05559999999999998</v>
      </c>
      <c r="AX36" s="31">
        <v>0</v>
      </c>
    </row>
    <row r="37" spans="1:50" s="1" customFormat="1" ht="15" customHeight="1">
      <c r="A37" s="45"/>
      <c r="H37" s="25"/>
      <c r="I37" s="61" t="s">
        <v>85</v>
      </c>
      <c r="J37" s="81">
        <f>+$J$34/0.636</f>
        <v>3.5450322686726676</v>
      </c>
      <c r="K37" s="81">
        <f>+$K$34/0.636</f>
        <v>5.317548403009002</v>
      </c>
      <c r="L37" s="81">
        <f>+$L$34/0.636</f>
        <v>7.090064537345335</v>
      </c>
      <c r="M37" s="81">
        <f>+$M$34/0.636</f>
        <v>2.5849193625738205</v>
      </c>
      <c r="N37" s="81">
        <f>+$N$34/0.636</f>
        <v>3.8256806566092543</v>
      </c>
      <c r="O37" s="81">
        <f>+$O$34/0.636</f>
        <v>5.066441950644688</v>
      </c>
      <c r="P37" s="44"/>
      <c r="AD37" s="98">
        <v>0.79</v>
      </c>
      <c r="AE37" s="96">
        <f t="shared" si="25"/>
        <v>0.04870000000000001</v>
      </c>
      <c r="AF37" s="96">
        <f t="shared" si="26"/>
        <v>0.055700000000000006</v>
      </c>
      <c r="AG37" s="96">
        <f t="shared" si="27"/>
        <v>0.06469999999999995</v>
      </c>
      <c r="AH37" s="96">
        <f t="shared" si="28"/>
        <v>0.07480000000000005</v>
      </c>
      <c r="AI37" s="97">
        <v>0</v>
      </c>
      <c r="AK37" s="95">
        <v>0.79</v>
      </c>
      <c r="AL37" s="96">
        <v>0</v>
      </c>
      <c r="AM37" s="96">
        <f t="shared" si="29"/>
        <v>0.02739999999999999</v>
      </c>
      <c r="AN37" s="96">
        <f t="shared" si="30"/>
        <v>0.03240000000000002</v>
      </c>
      <c r="AO37" s="96">
        <f t="shared" si="31"/>
        <v>0.037400000000000024</v>
      </c>
      <c r="AP37" s="97">
        <f t="shared" si="32"/>
        <v>0.04340000000000002</v>
      </c>
      <c r="AS37" s="95">
        <v>0.79</v>
      </c>
      <c r="AT37" s="96">
        <f t="shared" si="33"/>
        <v>0.03470000000000001</v>
      </c>
      <c r="AU37" s="96">
        <f t="shared" si="34"/>
        <v>0.04070000000000001</v>
      </c>
      <c r="AV37" s="96">
        <f t="shared" si="35"/>
        <v>0.047700000000000006</v>
      </c>
      <c r="AW37" s="96">
        <f t="shared" si="36"/>
        <v>0.05479999999999998</v>
      </c>
      <c r="AX37" s="97">
        <v>0</v>
      </c>
    </row>
    <row r="38" spans="1:50" s="1" customFormat="1" ht="15" customHeight="1">
      <c r="A38" s="45"/>
      <c r="B38" s="79">
        <f>+$B$48</f>
        <v>1.25</v>
      </c>
      <c r="C38" s="88">
        <f>+$C$48</f>
        <v>2.5</v>
      </c>
      <c r="D38" s="89"/>
      <c r="E38" s="79">
        <f>+$E$48</f>
        <v>1.25</v>
      </c>
      <c r="H38" s="25"/>
      <c r="I38" s="83" t="s">
        <v>86</v>
      </c>
      <c r="J38" s="157">
        <f>+$J$34/0.78</f>
        <v>2.8905647729177133</v>
      </c>
      <c r="K38" s="157">
        <f>+$K$34/0.78</f>
        <v>4.33584715937657</v>
      </c>
      <c r="L38" s="157">
        <f>+$L$34/0.78</f>
        <v>5.781129545835427</v>
      </c>
      <c r="M38" s="157">
        <f>+$M$34/0.78</f>
        <v>2.1077034802524994</v>
      </c>
      <c r="N38" s="157">
        <f>+$N$34/0.78</f>
        <v>3.1194011507736996</v>
      </c>
      <c r="O38" s="157">
        <f>+$O$34/0.78</f>
        <v>4.1310988212948985</v>
      </c>
      <c r="P38" s="44"/>
      <c r="AD38" s="103">
        <v>0.8</v>
      </c>
      <c r="AE38" s="104">
        <v>0.048</v>
      </c>
      <c r="AF38" s="104">
        <v>0.055</v>
      </c>
      <c r="AG38" s="100">
        <v>0.064</v>
      </c>
      <c r="AH38" s="100">
        <v>0.074</v>
      </c>
      <c r="AI38" s="101">
        <v>0</v>
      </c>
      <c r="AK38" s="103">
        <v>0.8</v>
      </c>
      <c r="AL38" s="104">
        <v>0</v>
      </c>
      <c r="AM38" s="104">
        <v>0.027</v>
      </c>
      <c r="AN38" s="100">
        <v>0.032</v>
      </c>
      <c r="AO38" s="100">
        <v>0.037</v>
      </c>
      <c r="AP38" s="101">
        <v>0.043</v>
      </c>
      <c r="AS38" s="103">
        <v>0.8</v>
      </c>
      <c r="AT38" s="104">
        <v>0.036</v>
      </c>
      <c r="AU38" s="104">
        <v>0.041</v>
      </c>
      <c r="AV38" s="100">
        <v>0.048</v>
      </c>
      <c r="AW38" s="100">
        <v>0.056</v>
      </c>
      <c r="AX38" s="101">
        <v>0.064</v>
      </c>
    </row>
    <row r="39" spans="1:50" s="1" customFormat="1" ht="15" customHeight="1">
      <c r="A39" s="45"/>
      <c r="B39" s="300">
        <f>+IF($J$38&gt;0,$B$48/$J$38,0)</f>
        <v>0.43244144248608546</v>
      </c>
      <c r="C39" s="159" t="s">
        <v>103</v>
      </c>
      <c r="D39" s="153">
        <f>+IF($J$26&gt;0,$C$48/$J$26,0)</f>
        <v>0.2882942949907236</v>
      </c>
      <c r="E39" s="173"/>
      <c r="F39" s="84"/>
      <c r="G39" s="85"/>
      <c r="H39" s="25"/>
      <c r="I39" s="61" t="s">
        <v>87</v>
      </c>
      <c r="J39" s="81">
        <f>+$J$34/1.13</f>
        <v>1.9952570998901034</v>
      </c>
      <c r="K39" s="81">
        <f>+$K$34/1.13</f>
        <v>2.9928856498351553</v>
      </c>
      <c r="L39" s="81">
        <f>+$L$34/1.13</f>
        <v>3.9905141997802067</v>
      </c>
      <c r="M39" s="81">
        <f>+$M$34/1.13</f>
        <v>1.4548749686698672</v>
      </c>
      <c r="N39" s="81">
        <f>+$N$34/1.13</f>
        <v>2.153214953631404</v>
      </c>
      <c r="O39" s="81">
        <f>+$O$34/1.13</f>
        <v>2.8515549385929395</v>
      </c>
      <c r="P39" s="44"/>
      <c r="AD39" s="33">
        <v>0.81</v>
      </c>
      <c r="AE39" s="64">
        <f aca="true" t="shared" si="37" ref="AE39:AE47">AE38-(0.01*($AE$38-$AE$48)/0.1)</f>
        <v>0.0472</v>
      </c>
      <c r="AF39" s="64">
        <f aca="true" t="shared" si="38" ref="AF39:AF47">AF38-(0.01*($AF$38-$AF$48)/0.1)</f>
        <v>0.0543</v>
      </c>
      <c r="AG39" s="64">
        <f aca="true" t="shared" si="39" ref="AG39:AG47">AG38-(0.01*($AG$38-$AG$48)/0.1)</f>
        <v>0.0633</v>
      </c>
      <c r="AH39" s="64">
        <f aca="true" t="shared" si="40" ref="AH39:AH47">AH38-(0.01*($AH$38-$AH$48)/0.1)</f>
        <v>0.0732</v>
      </c>
      <c r="AI39" s="31">
        <v>0</v>
      </c>
      <c r="AK39" s="33">
        <v>0.81</v>
      </c>
      <c r="AL39" s="64">
        <v>0</v>
      </c>
      <c r="AM39" s="64">
        <f aca="true" t="shared" si="41" ref="AM39:AM47">AM38-(0.01*($AM$38-$AM$48)/0.1)</f>
        <v>0.0267</v>
      </c>
      <c r="AN39" s="64">
        <f aca="true" t="shared" si="42" ref="AN39:AN47">AN38-(0.01*($AN$38-$AN$48)/0.1)</f>
        <v>0.0316</v>
      </c>
      <c r="AO39" s="64">
        <f aca="true" t="shared" si="43" ref="AO39:AO47">AO38-(0.01*($AO$38-$AO$48)/0.1)</f>
        <v>0.0366</v>
      </c>
      <c r="AP39" s="31">
        <f aca="true" t="shared" si="44" ref="AP39:AP47">AP38-(0.01*($AP$38-$AP$48)/0.1)</f>
        <v>0.042499999999999996</v>
      </c>
      <c r="AS39" s="33">
        <v>0.81</v>
      </c>
      <c r="AT39" s="64">
        <f aca="true" t="shared" si="45" ref="AT39:AT47">AT38-(0.01*($AE$38-$AE$48)/0.1)</f>
        <v>0.035199999999999995</v>
      </c>
      <c r="AU39" s="64">
        <f aca="true" t="shared" si="46" ref="AU39:AU47">AU38-(0.01*($AF$38-$AF$48)/0.1)</f>
        <v>0.0403</v>
      </c>
      <c r="AV39" s="64">
        <f aca="true" t="shared" si="47" ref="AV39:AV47">AV38-(0.01*($AG$38-$AG$48)/0.1)</f>
        <v>0.0473</v>
      </c>
      <c r="AW39" s="64">
        <f aca="true" t="shared" si="48" ref="AW39:AW47">AW38-(0.01*($AH$38-$AH$48)/0.1)</f>
        <v>0.0552</v>
      </c>
      <c r="AX39" s="31">
        <v>0</v>
      </c>
    </row>
    <row r="40" spans="1:50" s="1" customFormat="1" ht="15" customHeight="1">
      <c r="A40" s="45"/>
      <c r="B40" s="296"/>
      <c r="C40" s="160"/>
      <c r="D40" s="154"/>
      <c r="E40" s="174"/>
      <c r="F40" s="84"/>
      <c r="G40" s="85"/>
      <c r="H40" s="25"/>
      <c r="I40" s="61" t="s">
        <v>88</v>
      </c>
      <c r="J40" s="81">
        <f>+$J$34/1.77</f>
        <v>1.2738082050145856</v>
      </c>
      <c r="K40" s="81">
        <f>+$K$34/1.77</f>
        <v>1.9107123075218784</v>
      </c>
      <c r="L40" s="81">
        <f>+$L$34/1.77</f>
        <v>2.547616410029171</v>
      </c>
      <c r="M40" s="81">
        <f>+$M$34/1.77</f>
        <v>0.9288184828231354</v>
      </c>
      <c r="N40" s="81">
        <f>+$N$34/1.77</f>
        <v>1.3746513545782406</v>
      </c>
      <c r="O40" s="81">
        <f>+$O$34/1.77</f>
        <v>1.8204842263333454</v>
      </c>
      <c r="P40" s="44"/>
      <c r="AD40" s="33">
        <v>0.82</v>
      </c>
      <c r="AE40" s="64">
        <f t="shared" si="37"/>
        <v>0.0464</v>
      </c>
      <c r="AF40" s="64">
        <f t="shared" si="38"/>
        <v>0.0536</v>
      </c>
      <c r="AG40" s="64">
        <f t="shared" si="39"/>
        <v>0.06259999999999999</v>
      </c>
      <c r="AH40" s="64">
        <f t="shared" si="40"/>
        <v>0.0724</v>
      </c>
      <c r="AI40" s="31">
        <v>0</v>
      </c>
      <c r="AK40" s="33">
        <v>0.82</v>
      </c>
      <c r="AL40" s="64">
        <v>0</v>
      </c>
      <c r="AM40" s="64">
        <f t="shared" si="41"/>
        <v>0.0264</v>
      </c>
      <c r="AN40" s="64">
        <f t="shared" si="42"/>
        <v>0.031200000000000002</v>
      </c>
      <c r="AO40" s="64">
        <f t="shared" si="43"/>
        <v>0.0362</v>
      </c>
      <c r="AP40" s="31">
        <f t="shared" si="44"/>
        <v>0.041999999999999996</v>
      </c>
      <c r="AS40" s="33">
        <v>0.82</v>
      </c>
      <c r="AT40" s="64">
        <f t="shared" si="45"/>
        <v>0.03439999999999999</v>
      </c>
      <c r="AU40" s="64">
        <f t="shared" si="46"/>
        <v>0.0396</v>
      </c>
      <c r="AV40" s="64">
        <f t="shared" si="47"/>
        <v>0.0466</v>
      </c>
      <c r="AW40" s="64">
        <f t="shared" si="48"/>
        <v>0.0544</v>
      </c>
      <c r="AX40" s="31">
        <v>0</v>
      </c>
    </row>
    <row r="41" spans="1:50" s="1" customFormat="1" ht="15" customHeight="1">
      <c r="A41" s="45"/>
      <c r="B41" s="158"/>
      <c r="C41" s="160"/>
      <c r="D41" s="155"/>
      <c r="E41" s="174"/>
      <c r="F41" s="25"/>
      <c r="G41" s="43"/>
      <c r="H41" s="25"/>
      <c r="I41" s="61" t="s">
        <v>89</v>
      </c>
      <c r="J41" s="81">
        <f>+$J$34/2.01</f>
        <v>1.121711702923292</v>
      </c>
      <c r="K41" s="81">
        <f>+$K$34/2.01</f>
        <v>1.6825675543849379</v>
      </c>
      <c r="L41" s="81">
        <f>+$L$34/2.01</f>
        <v>2.243423405846584</v>
      </c>
      <c r="M41" s="81">
        <f>+$M$34/2.01</f>
        <v>0.8179147833815671</v>
      </c>
      <c r="N41" s="81">
        <f>+$N$34/2.01</f>
        <v>1.2105138794047194</v>
      </c>
      <c r="O41" s="81">
        <f>+$O$34/2.01</f>
        <v>1.6031129754278715</v>
      </c>
      <c r="P41" s="44"/>
      <c r="AD41" s="33">
        <v>0.83</v>
      </c>
      <c r="AE41" s="64">
        <f t="shared" si="37"/>
        <v>0.045599999999999995</v>
      </c>
      <c r="AF41" s="64">
        <f t="shared" si="38"/>
        <v>0.0529</v>
      </c>
      <c r="AG41" s="64">
        <f t="shared" si="39"/>
        <v>0.06189999999999999</v>
      </c>
      <c r="AH41" s="64">
        <f t="shared" si="40"/>
        <v>0.07160000000000001</v>
      </c>
      <c r="AI41" s="31">
        <v>0</v>
      </c>
      <c r="AK41" s="33">
        <v>0.83</v>
      </c>
      <c r="AL41" s="64">
        <v>0</v>
      </c>
      <c r="AM41" s="64">
        <f t="shared" si="41"/>
        <v>0.026099999999999998</v>
      </c>
      <c r="AN41" s="64">
        <f t="shared" si="42"/>
        <v>0.0308</v>
      </c>
      <c r="AO41" s="64">
        <f t="shared" si="43"/>
        <v>0.035800000000000005</v>
      </c>
      <c r="AP41" s="31">
        <f t="shared" si="44"/>
        <v>0.041499999999999995</v>
      </c>
      <c r="AS41" s="33">
        <v>0.83</v>
      </c>
      <c r="AT41" s="64">
        <f t="shared" si="45"/>
        <v>0.03359999999999999</v>
      </c>
      <c r="AU41" s="64">
        <f t="shared" si="46"/>
        <v>0.038900000000000004</v>
      </c>
      <c r="AV41" s="64">
        <f t="shared" si="47"/>
        <v>0.0459</v>
      </c>
      <c r="AW41" s="64">
        <f t="shared" si="48"/>
        <v>0.053599999999999995</v>
      </c>
      <c r="AX41" s="31">
        <v>0</v>
      </c>
    </row>
    <row r="42" spans="1:50" s="1" customFormat="1" ht="15" customHeight="1">
      <c r="A42" s="86" t="s">
        <v>80</v>
      </c>
      <c r="B42" s="296">
        <f>+IF($K$38&gt;0,$B$48/$K$38,0)</f>
        <v>0.2882942949907236</v>
      </c>
      <c r="C42" s="295" t="s">
        <v>102</v>
      </c>
      <c r="D42" s="293">
        <f>+IF($K$26&gt;0,$C$48/$K$26,0)</f>
        <v>0.1921961966604824</v>
      </c>
      <c r="E42" s="174"/>
      <c r="F42" s="92">
        <f>+$E$13</f>
        <v>4</v>
      </c>
      <c r="G42" s="46" t="s">
        <v>101</v>
      </c>
      <c r="H42" s="25"/>
      <c r="I42" s="61" t="s">
        <v>90</v>
      </c>
      <c r="J42" s="81">
        <f>+$J$34/2.84</f>
        <v>0.7938875080548651</v>
      </c>
      <c r="K42" s="81">
        <f>+$K$34/2.84</f>
        <v>1.1908312620822976</v>
      </c>
      <c r="L42" s="81">
        <f>+$L$34/2.84</f>
        <v>1.5877750161097302</v>
      </c>
      <c r="M42" s="81">
        <f>+$M$34/2.84</f>
        <v>0.5788763079566724</v>
      </c>
      <c r="N42" s="81">
        <f>+$N$34/2.84</f>
        <v>0.8567369357758753</v>
      </c>
      <c r="O42" s="81">
        <f>+$O$34/2.84</f>
        <v>1.134597563595078</v>
      </c>
      <c r="P42" s="44"/>
      <c r="AD42" s="95">
        <v>0.84</v>
      </c>
      <c r="AE42" s="96">
        <f t="shared" si="37"/>
        <v>0.04479999999999999</v>
      </c>
      <c r="AF42" s="96">
        <f t="shared" si="38"/>
        <v>0.0522</v>
      </c>
      <c r="AG42" s="96">
        <f t="shared" si="39"/>
        <v>0.06119999999999999</v>
      </c>
      <c r="AH42" s="96">
        <f t="shared" si="40"/>
        <v>0.07080000000000002</v>
      </c>
      <c r="AI42" s="97">
        <v>0</v>
      </c>
      <c r="AK42" s="95">
        <v>0.84</v>
      </c>
      <c r="AL42" s="96">
        <v>0</v>
      </c>
      <c r="AM42" s="96">
        <f t="shared" si="41"/>
        <v>0.025799999999999997</v>
      </c>
      <c r="AN42" s="96">
        <f t="shared" si="42"/>
        <v>0.0304</v>
      </c>
      <c r="AO42" s="96">
        <f t="shared" si="43"/>
        <v>0.03540000000000001</v>
      </c>
      <c r="AP42" s="97">
        <f t="shared" si="44"/>
        <v>0.040999999999999995</v>
      </c>
      <c r="AS42" s="95">
        <v>0.84</v>
      </c>
      <c r="AT42" s="96">
        <f t="shared" si="45"/>
        <v>0.03279999999999999</v>
      </c>
      <c r="AU42" s="96">
        <f t="shared" si="46"/>
        <v>0.038200000000000005</v>
      </c>
      <c r="AV42" s="96">
        <f t="shared" si="47"/>
        <v>0.045200000000000004</v>
      </c>
      <c r="AW42" s="96">
        <f t="shared" si="48"/>
        <v>0.05279999999999999</v>
      </c>
      <c r="AX42" s="97">
        <v>0</v>
      </c>
    </row>
    <row r="43" spans="1:50" s="1" customFormat="1" ht="15" customHeight="1">
      <c r="A43" s="87" t="s">
        <v>98</v>
      </c>
      <c r="B43" s="296"/>
      <c r="C43" s="295"/>
      <c r="D43" s="293"/>
      <c r="E43" s="175"/>
      <c r="F43" s="25"/>
      <c r="G43" s="43"/>
      <c r="H43" s="25"/>
      <c r="I43" s="61" t="s">
        <v>91</v>
      </c>
      <c r="J43" s="81">
        <f>+$J$34/3.14</f>
        <v>0.7180383830814703</v>
      </c>
      <c r="K43" s="81">
        <f>+$K$34/3.14</f>
        <v>1.0770575746222053</v>
      </c>
      <c r="L43" s="81">
        <f>+$L$34/3.14</f>
        <v>1.4360767661629406</v>
      </c>
      <c r="M43" s="81">
        <f>+$M$34/3.14</f>
        <v>0.5235696543302387</v>
      </c>
      <c r="N43" s="81">
        <f>+$N$34/3.14</f>
        <v>0.7748830884087534</v>
      </c>
      <c r="O43" s="81">
        <f>+$O$34/3.14</f>
        <v>1.0261965224872678</v>
      </c>
      <c r="P43" s="44"/>
      <c r="AD43" s="102">
        <v>0.85</v>
      </c>
      <c r="AE43" s="100">
        <f t="shared" si="37"/>
        <v>0.04399999999999999</v>
      </c>
      <c r="AF43" s="100">
        <f t="shared" si="38"/>
        <v>0.051500000000000004</v>
      </c>
      <c r="AG43" s="100">
        <f t="shared" si="39"/>
        <v>0.06049999999999999</v>
      </c>
      <c r="AH43" s="100">
        <f t="shared" si="40"/>
        <v>0.07000000000000002</v>
      </c>
      <c r="AI43" s="101">
        <v>0</v>
      </c>
      <c r="AK43" s="102">
        <v>0.85</v>
      </c>
      <c r="AL43" s="100">
        <v>0</v>
      </c>
      <c r="AM43" s="100">
        <f t="shared" si="41"/>
        <v>0.025499999999999995</v>
      </c>
      <c r="AN43" s="100">
        <f t="shared" si="42"/>
        <v>0.03</v>
      </c>
      <c r="AO43" s="100">
        <f t="shared" si="43"/>
        <v>0.03500000000000001</v>
      </c>
      <c r="AP43" s="101">
        <f t="shared" si="44"/>
        <v>0.040499999999999994</v>
      </c>
      <c r="AS43" s="102">
        <v>0.85</v>
      </c>
      <c r="AT43" s="100">
        <f t="shared" si="45"/>
        <v>0.03199999999999999</v>
      </c>
      <c r="AU43" s="100">
        <f t="shared" si="46"/>
        <v>0.037500000000000006</v>
      </c>
      <c r="AV43" s="100">
        <f t="shared" si="47"/>
        <v>0.044500000000000005</v>
      </c>
      <c r="AW43" s="100">
        <f t="shared" si="48"/>
        <v>0.05199999999999999</v>
      </c>
      <c r="AX43" s="101">
        <v>0</v>
      </c>
    </row>
    <row r="44" spans="1:50" s="1" customFormat="1" ht="15" customHeight="1">
      <c r="A44" s="56"/>
      <c r="B44" s="158"/>
      <c r="C44" s="160"/>
      <c r="D44" s="155"/>
      <c r="E44" s="175"/>
      <c r="F44" s="25"/>
      <c r="G44" s="43"/>
      <c r="H44" s="25"/>
      <c r="I44" s="61" t="s">
        <v>92</v>
      </c>
      <c r="J44" s="81">
        <f>+$J$34/4.91</f>
        <v>0.4591935891804107</v>
      </c>
      <c r="K44" s="81">
        <f>+$K$34/4.91</f>
        <v>0.6887903837706161</v>
      </c>
      <c r="L44" s="81">
        <f>+$L$34/4.91</f>
        <v>0.9183871783608214</v>
      </c>
      <c r="M44" s="81">
        <f>+$M$34/4.91</f>
        <v>0.3348286587773828</v>
      </c>
      <c r="N44" s="81">
        <f>+$N$34/4.91</f>
        <v>0.49554641499052665</v>
      </c>
      <c r="O44" s="81">
        <f>+$O$34/4.91</f>
        <v>0.6562641712036703</v>
      </c>
      <c r="P44" s="44"/>
      <c r="AD44" s="33">
        <v>0.86</v>
      </c>
      <c r="AE44" s="64">
        <f t="shared" si="37"/>
        <v>0.04319999999999999</v>
      </c>
      <c r="AF44" s="64">
        <f t="shared" si="38"/>
        <v>0.050800000000000005</v>
      </c>
      <c r="AG44" s="64">
        <f t="shared" si="39"/>
        <v>0.05979999999999999</v>
      </c>
      <c r="AH44" s="64">
        <f t="shared" si="40"/>
        <v>0.06920000000000003</v>
      </c>
      <c r="AI44" s="31">
        <v>0</v>
      </c>
      <c r="AK44" s="33">
        <v>0.86</v>
      </c>
      <c r="AL44" s="64">
        <v>0</v>
      </c>
      <c r="AM44" s="64">
        <f t="shared" si="41"/>
        <v>0.025199999999999993</v>
      </c>
      <c r="AN44" s="64">
        <f t="shared" si="42"/>
        <v>0.029599999999999998</v>
      </c>
      <c r="AO44" s="64">
        <f t="shared" si="43"/>
        <v>0.03460000000000001</v>
      </c>
      <c r="AP44" s="31">
        <f t="shared" si="44"/>
        <v>0.039999999999999994</v>
      </c>
      <c r="AS44" s="33">
        <v>0.86</v>
      </c>
      <c r="AT44" s="64">
        <f t="shared" si="45"/>
        <v>0.031199999999999988</v>
      </c>
      <c r="AU44" s="64">
        <f t="shared" si="46"/>
        <v>0.036800000000000006</v>
      </c>
      <c r="AV44" s="64">
        <f t="shared" si="47"/>
        <v>0.043800000000000006</v>
      </c>
      <c r="AW44" s="64">
        <f t="shared" si="48"/>
        <v>0.05119999999999999</v>
      </c>
      <c r="AX44" s="31">
        <v>0</v>
      </c>
    </row>
    <row r="45" spans="1:50" s="1" customFormat="1" ht="15" customHeight="1">
      <c r="A45" s="56"/>
      <c r="B45" s="296">
        <f>+IF($L$38&gt;0,$B$48/$L$38,0)</f>
        <v>0.21622072124304273</v>
      </c>
      <c r="C45" s="295" t="s">
        <v>102</v>
      </c>
      <c r="D45" s="293">
        <f>+IF($L$26&gt;0,$C$48/$L$26,0)</f>
        <v>0.1441471474953618</v>
      </c>
      <c r="E45" s="176"/>
      <c r="F45" s="25"/>
      <c r="G45" s="43"/>
      <c r="H45" s="25"/>
      <c r="P45" s="44"/>
      <c r="AD45" s="33">
        <v>0.87</v>
      </c>
      <c r="AE45" s="64">
        <f t="shared" si="37"/>
        <v>0.042399999999999986</v>
      </c>
      <c r="AF45" s="64">
        <f t="shared" si="38"/>
        <v>0.050100000000000006</v>
      </c>
      <c r="AG45" s="64">
        <f t="shared" si="39"/>
        <v>0.05909999999999999</v>
      </c>
      <c r="AH45" s="64">
        <f t="shared" si="40"/>
        <v>0.06840000000000003</v>
      </c>
      <c r="AI45" s="31">
        <v>0</v>
      </c>
      <c r="AK45" s="33">
        <v>0.87</v>
      </c>
      <c r="AL45" s="64">
        <v>0</v>
      </c>
      <c r="AM45" s="64">
        <f t="shared" si="41"/>
        <v>0.02489999999999999</v>
      </c>
      <c r="AN45" s="64">
        <f t="shared" si="42"/>
        <v>0.029199999999999997</v>
      </c>
      <c r="AO45" s="64">
        <f t="shared" si="43"/>
        <v>0.034200000000000015</v>
      </c>
      <c r="AP45" s="31">
        <f t="shared" si="44"/>
        <v>0.03949999999999999</v>
      </c>
      <c r="AS45" s="33">
        <v>0.87</v>
      </c>
      <c r="AT45" s="64">
        <f t="shared" si="45"/>
        <v>0.03039999999999999</v>
      </c>
      <c r="AU45" s="64">
        <f t="shared" si="46"/>
        <v>0.03610000000000001</v>
      </c>
      <c r="AV45" s="64">
        <f t="shared" si="47"/>
        <v>0.043100000000000006</v>
      </c>
      <c r="AW45" s="64">
        <f t="shared" si="48"/>
        <v>0.050399999999999986</v>
      </c>
      <c r="AX45" s="31">
        <v>0</v>
      </c>
    </row>
    <row r="46" spans="1:50" s="1" customFormat="1" ht="15" customHeight="1">
      <c r="A46" s="56"/>
      <c r="B46" s="301"/>
      <c r="C46" s="303"/>
      <c r="D46" s="294"/>
      <c r="E46" s="177"/>
      <c r="F46" s="25"/>
      <c r="G46" s="25"/>
      <c r="H46" s="25"/>
      <c r="P46" s="44"/>
      <c r="AD46" s="33">
        <v>0.88</v>
      </c>
      <c r="AE46" s="64">
        <f t="shared" si="37"/>
        <v>0.041599999999999984</v>
      </c>
      <c r="AF46" s="64">
        <f t="shared" si="38"/>
        <v>0.049400000000000006</v>
      </c>
      <c r="AG46" s="64">
        <f t="shared" si="39"/>
        <v>0.058399999999999994</v>
      </c>
      <c r="AH46" s="64">
        <f t="shared" si="40"/>
        <v>0.06760000000000004</v>
      </c>
      <c r="AI46" s="31">
        <v>0</v>
      </c>
      <c r="AK46" s="33">
        <v>0.88</v>
      </c>
      <c r="AL46" s="64">
        <v>0</v>
      </c>
      <c r="AM46" s="64">
        <f t="shared" si="41"/>
        <v>0.02459999999999999</v>
      </c>
      <c r="AN46" s="64">
        <f t="shared" si="42"/>
        <v>0.028799999999999996</v>
      </c>
      <c r="AO46" s="64">
        <f t="shared" si="43"/>
        <v>0.03380000000000002</v>
      </c>
      <c r="AP46" s="31">
        <f t="shared" si="44"/>
        <v>0.03899999999999999</v>
      </c>
      <c r="AS46" s="33">
        <v>0.88</v>
      </c>
      <c r="AT46" s="64">
        <f t="shared" si="45"/>
        <v>0.02959999999999999</v>
      </c>
      <c r="AU46" s="64">
        <f t="shared" si="46"/>
        <v>0.03540000000000001</v>
      </c>
      <c r="AV46" s="64">
        <f t="shared" si="47"/>
        <v>0.04240000000000001</v>
      </c>
      <c r="AW46" s="64">
        <f t="shared" si="48"/>
        <v>0.049599999999999984</v>
      </c>
      <c r="AX46" s="31">
        <v>0</v>
      </c>
    </row>
    <row r="47" spans="1:50" s="1" customFormat="1" ht="15" customHeight="1">
      <c r="A47" s="45"/>
      <c r="B47" s="38"/>
      <c r="C47" s="90" t="s">
        <v>100</v>
      </c>
      <c r="D47" s="91">
        <f>+$E$14</f>
        <v>5</v>
      </c>
      <c r="E47" s="93" t="s">
        <v>101</v>
      </c>
      <c r="F47" s="25"/>
      <c r="G47" s="25"/>
      <c r="H47" s="25"/>
      <c r="I47" s="37" t="s">
        <v>23</v>
      </c>
      <c r="J47" s="25"/>
      <c r="K47" s="25"/>
      <c r="L47" s="25"/>
      <c r="M47" s="25"/>
      <c r="N47" s="25"/>
      <c r="O47" s="25"/>
      <c r="P47" s="44"/>
      <c r="AD47" s="98">
        <v>0.89</v>
      </c>
      <c r="AE47" s="96">
        <f t="shared" si="37"/>
        <v>0.04079999999999998</v>
      </c>
      <c r="AF47" s="96">
        <f t="shared" si="38"/>
        <v>0.04870000000000001</v>
      </c>
      <c r="AG47" s="96">
        <f t="shared" si="39"/>
        <v>0.057699999999999994</v>
      </c>
      <c r="AH47" s="96">
        <f t="shared" si="40"/>
        <v>0.06680000000000004</v>
      </c>
      <c r="AI47" s="97">
        <v>0</v>
      </c>
      <c r="AK47" s="95">
        <v>0.89</v>
      </c>
      <c r="AL47" s="96">
        <v>0</v>
      </c>
      <c r="AM47" s="96">
        <f t="shared" si="41"/>
        <v>0.02429999999999999</v>
      </c>
      <c r="AN47" s="96">
        <f t="shared" si="42"/>
        <v>0.028399999999999995</v>
      </c>
      <c r="AO47" s="96">
        <f t="shared" si="43"/>
        <v>0.03340000000000002</v>
      </c>
      <c r="AP47" s="97">
        <f t="shared" si="44"/>
        <v>0.03849999999999999</v>
      </c>
      <c r="AS47" s="95">
        <v>0.89</v>
      </c>
      <c r="AT47" s="96">
        <f t="shared" si="45"/>
        <v>0.028799999999999992</v>
      </c>
      <c r="AU47" s="96">
        <f t="shared" si="46"/>
        <v>0.03470000000000001</v>
      </c>
      <c r="AV47" s="96">
        <f t="shared" si="47"/>
        <v>0.04170000000000001</v>
      </c>
      <c r="AW47" s="96">
        <f t="shared" si="48"/>
        <v>0.04879999999999998</v>
      </c>
      <c r="AX47" s="97">
        <v>0</v>
      </c>
    </row>
    <row r="48" spans="1:50" s="1" customFormat="1" ht="15" customHeight="1">
      <c r="A48" s="45"/>
      <c r="B48" s="79">
        <f>$E$14/4</f>
        <v>1.25</v>
      </c>
      <c r="C48" s="267">
        <f>$E$14/2</f>
        <v>2.5</v>
      </c>
      <c r="D48" s="267"/>
      <c r="E48" s="79">
        <f>$E$14/4</f>
        <v>1.25</v>
      </c>
      <c r="F48" s="25"/>
      <c r="G48" s="43"/>
      <c r="H48" s="25"/>
      <c r="I48" s="25"/>
      <c r="J48" s="25" t="s">
        <v>24</v>
      </c>
      <c r="K48" s="25"/>
      <c r="L48" s="25" t="s">
        <v>1</v>
      </c>
      <c r="M48" s="53">
        <f>0.29*SQRT($E$7)*100*(($M$12+$M$13)*0.5)</f>
        <v>2665.792565073284</v>
      </c>
      <c r="N48" s="25"/>
      <c r="O48" s="43" t="s">
        <v>97</v>
      </c>
      <c r="P48" s="44"/>
      <c r="AD48" s="34">
        <v>0.9</v>
      </c>
      <c r="AE48" s="65">
        <v>0.04</v>
      </c>
      <c r="AF48" s="65">
        <v>0.048</v>
      </c>
      <c r="AG48" s="66">
        <v>0.057</v>
      </c>
      <c r="AH48" s="66">
        <v>0.066</v>
      </c>
      <c r="AI48" s="32">
        <v>0</v>
      </c>
      <c r="AK48" s="34">
        <v>0.9</v>
      </c>
      <c r="AL48" s="65">
        <v>0</v>
      </c>
      <c r="AM48" s="65">
        <v>0.024</v>
      </c>
      <c r="AN48" s="66">
        <v>0.028</v>
      </c>
      <c r="AO48" s="66">
        <v>0.033</v>
      </c>
      <c r="AP48" s="32">
        <v>0.038</v>
      </c>
      <c r="AS48" s="103">
        <v>0.9</v>
      </c>
      <c r="AT48" s="104">
        <v>0.03</v>
      </c>
      <c r="AU48" s="104">
        <v>0.036</v>
      </c>
      <c r="AV48" s="100">
        <v>0.043</v>
      </c>
      <c r="AW48" s="100">
        <v>0.05</v>
      </c>
      <c r="AX48" s="101">
        <v>0.057</v>
      </c>
    </row>
    <row r="49" spans="1:50" s="1" customFormat="1" ht="15" customHeight="1">
      <c r="A49" s="45"/>
      <c r="B49" s="25"/>
      <c r="C49" s="25"/>
      <c r="D49" s="25"/>
      <c r="E49" s="25"/>
      <c r="F49" s="25"/>
      <c r="G49" s="25"/>
      <c r="H49" s="25"/>
      <c r="I49" s="25"/>
      <c r="J49" s="25" t="s">
        <v>95</v>
      </c>
      <c r="K49" s="25"/>
      <c r="L49" s="25" t="s">
        <v>1</v>
      </c>
      <c r="M49" s="53">
        <f>1.15*$E$25*$E$13/4</f>
        <v>563.5</v>
      </c>
      <c r="N49" s="25"/>
      <c r="O49" s="43" t="s">
        <v>97</v>
      </c>
      <c r="P49" s="44"/>
      <c r="AD49" s="33">
        <v>0.91</v>
      </c>
      <c r="AE49" s="64">
        <f aca="true" t="shared" si="49" ref="AE49:AE57">AE48-(0.01*($AE$48-$AE$58)/0.1)</f>
        <v>0.0393</v>
      </c>
      <c r="AF49" s="64">
        <f aca="true" t="shared" si="50" ref="AF49:AF57">AF48-(0.01*($AF$48-$AF$58)/0.1)</f>
        <v>0.0473</v>
      </c>
      <c r="AG49" s="64">
        <f aca="true" t="shared" si="51" ref="AG49:AG57">AG48-(0.01*($AG$48-$AG$58)/0.1)</f>
        <v>0.0562</v>
      </c>
      <c r="AH49" s="64">
        <f aca="true" t="shared" si="52" ref="AH49:AH57">AH48-(0.01*($AH$48-$AH$58)/0.1)</f>
        <v>0.06520000000000001</v>
      </c>
      <c r="AI49" s="31">
        <v>0</v>
      </c>
      <c r="AK49" s="33">
        <v>0.91</v>
      </c>
      <c r="AL49" s="64">
        <v>0</v>
      </c>
      <c r="AM49" s="64">
        <f aca="true" t="shared" si="53" ref="AM49:AM57">AM48-(0.01*($AM$48-$AM$58)/0.1)</f>
        <v>0.0237</v>
      </c>
      <c r="AN49" s="64">
        <f aca="true" t="shared" si="54" ref="AN49:AN57">AN48-(0.01*($AN$48-$AN$58)/0.1)</f>
        <v>0.027700000000000002</v>
      </c>
      <c r="AO49" s="64">
        <f aca="true" t="shared" si="55" ref="AO49:AO57">AO48-(0.01*($AO$48-$AO$58)/0.1)</f>
        <v>0.032600000000000004</v>
      </c>
      <c r="AP49" s="31">
        <f aca="true" t="shared" si="56" ref="AP49:AP57">AP48-(0.01*($AP$48-$AP$58)/0.1)</f>
        <v>0.0375</v>
      </c>
      <c r="AS49" s="33">
        <v>0.91</v>
      </c>
      <c r="AT49" s="64">
        <f aca="true" t="shared" si="57" ref="AT49:AT57">AT48-(0.01*($AE$48-$AE$58)/0.1)</f>
        <v>0.0293</v>
      </c>
      <c r="AU49" s="64">
        <f aca="true" t="shared" si="58" ref="AU49:AU57">AU48-(0.01*($AF$48-$AF$58)/0.1)</f>
        <v>0.0353</v>
      </c>
      <c r="AV49" s="64">
        <f aca="true" t="shared" si="59" ref="AV49:AV57">AV48-(0.01*($AG$48-$AG$58)/0.1)</f>
        <v>0.042199999999999994</v>
      </c>
      <c r="AW49" s="64">
        <f aca="true" t="shared" si="60" ref="AW49:AW57">AW48-(0.01*($AH$48-$AH$58)/0.1)</f>
        <v>0.0492</v>
      </c>
      <c r="AX49" s="31">
        <v>0</v>
      </c>
    </row>
    <row r="50" spans="1:50" s="1" customFormat="1" ht="15" customHeight="1">
      <c r="A50" s="45"/>
      <c r="B50" s="167">
        <f>+IF($M$38&gt;0,$F$50/$M$38,0)</f>
        <v>0.4744500397561623</v>
      </c>
      <c r="C50" s="168" t="s">
        <v>104</v>
      </c>
      <c r="D50" s="151">
        <f>+IF($N$38&gt;0,$F$50/$N$38,0)</f>
        <v>0.3205743511865961</v>
      </c>
      <c r="E50" s="169">
        <f>+IF($O$38&gt;0,$F$50/$O$38,0)</f>
        <v>0.24206634681436853</v>
      </c>
      <c r="F50" s="268">
        <f>E13/4</f>
        <v>1</v>
      </c>
      <c r="G50" s="25"/>
      <c r="H50" s="25"/>
      <c r="I50" s="25"/>
      <c r="J50" s="25" t="s">
        <v>24</v>
      </c>
      <c r="K50" s="55" t="str">
        <f>IF(M48&gt;M49,"&gt;","&lt;")</f>
        <v>&gt;</v>
      </c>
      <c r="L50" s="55"/>
      <c r="M50" s="43" t="s">
        <v>25</v>
      </c>
      <c r="N50" s="55" t="str">
        <f>IF(M48&gt;M49,"O.K.","Try Again")</f>
        <v>O.K.</v>
      </c>
      <c r="O50" s="55"/>
      <c r="P50" s="44"/>
      <c r="AD50" s="33">
        <v>0.92</v>
      </c>
      <c r="AE50" s="64">
        <f t="shared" si="49"/>
        <v>0.0386</v>
      </c>
      <c r="AF50" s="64">
        <f t="shared" si="50"/>
        <v>0.0466</v>
      </c>
      <c r="AG50" s="64">
        <f t="shared" si="51"/>
        <v>0.0554</v>
      </c>
      <c r="AH50" s="64">
        <f t="shared" si="52"/>
        <v>0.06440000000000001</v>
      </c>
      <c r="AI50" s="31">
        <v>0</v>
      </c>
      <c r="AK50" s="33">
        <v>0.92</v>
      </c>
      <c r="AL50" s="64">
        <v>0</v>
      </c>
      <c r="AM50" s="64">
        <f t="shared" si="53"/>
        <v>0.023399999999999997</v>
      </c>
      <c r="AN50" s="64">
        <f t="shared" si="54"/>
        <v>0.0274</v>
      </c>
      <c r="AO50" s="64">
        <f t="shared" si="55"/>
        <v>0.032200000000000006</v>
      </c>
      <c r="AP50" s="31">
        <f t="shared" si="56"/>
        <v>0.037</v>
      </c>
      <c r="AS50" s="33">
        <v>0.92</v>
      </c>
      <c r="AT50" s="64">
        <f t="shared" si="57"/>
        <v>0.0286</v>
      </c>
      <c r="AU50" s="64">
        <f t="shared" si="58"/>
        <v>0.0346</v>
      </c>
      <c r="AV50" s="64">
        <f t="shared" si="59"/>
        <v>0.04139999999999999</v>
      </c>
      <c r="AW50" s="64">
        <f t="shared" si="60"/>
        <v>0.0484</v>
      </c>
      <c r="AX50" s="31">
        <v>0</v>
      </c>
    </row>
    <row r="51" spans="1:50" s="1" customFormat="1" ht="15" customHeight="1">
      <c r="A51" s="45"/>
      <c r="B51" s="158"/>
      <c r="C51" s="170"/>
      <c r="D51" s="170"/>
      <c r="E51" s="171"/>
      <c r="F51" s="268"/>
      <c r="G51" s="25"/>
      <c r="H51" s="25"/>
      <c r="P51" s="44"/>
      <c r="AD51" s="33">
        <v>0.93</v>
      </c>
      <c r="AE51" s="64">
        <f t="shared" si="49"/>
        <v>0.0379</v>
      </c>
      <c r="AF51" s="64">
        <f t="shared" si="50"/>
        <v>0.0459</v>
      </c>
      <c r="AG51" s="64">
        <f t="shared" si="51"/>
        <v>0.054599999999999996</v>
      </c>
      <c r="AH51" s="64">
        <f t="shared" si="52"/>
        <v>0.06360000000000002</v>
      </c>
      <c r="AI51" s="31">
        <v>0</v>
      </c>
      <c r="AK51" s="33">
        <v>0.93</v>
      </c>
      <c r="AL51" s="64">
        <v>0</v>
      </c>
      <c r="AM51" s="64">
        <f t="shared" si="53"/>
        <v>0.023099999999999996</v>
      </c>
      <c r="AN51" s="64">
        <f t="shared" si="54"/>
        <v>0.0271</v>
      </c>
      <c r="AO51" s="64">
        <f t="shared" si="55"/>
        <v>0.03180000000000001</v>
      </c>
      <c r="AP51" s="31">
        <f t="shared" si="56"/>
        <v>0.0365</v>
      </c>
      <c r="AS51" s="33">
        <v>0.93</v>
      </c>
      <c r="AT51" s="64">
        <f t="shared" si="57"/>
        <v>0.0279</v>
      </c>
      <c r="AU51" s="64">
        <f t="shared" si="58"/>
        <v>0.0339</v>
      </c>
      <c r="AV51" s="64">
        <f t="shared" si="59"/>
        <v>0.04059999999999999</v>
      </c>
      <c r="AW51" s="64">
        <f t="shared" si="60"/>
        <v>0.047599999999999996</v>
      </c>
      <c r="AX51" s="31">
        <v>0</v>
      </c>
    </row>
    <row r="52" spans="1:50" s="1" customFormat="1" ht="15" customHeight="1">
      <c r="A52" s="45"/>
      <c r="B52" s="161"/>
      <c r="C52" s="160"/>
      <c r="D52" s="160"/>
      <c r="E52" s="162"/>
      <c r="F52" s="268">
        <f>E13/2</f>
        <v>2</v>
      </c>
      <c r="G52" s="25"/>
      <c r="H52" s="25"/>
      <c r="P52" s="44"/>
      <c r="AD52" s="98">
        <v>0.94</v>
      </c>
      <c r="AE52" s="96">
        <f t="shared" si="49"/>
        <v>0.037200000000000004</v>
      </c>
      <c r="AF52" s="96">
        <f t="shared" si="50"/>
        <v>0.045200000000000004</v>
      </c>
      <c r="AG52" s="96">
        <f t="shared" si="51"/>
        <v>0.053799999999999994</v>
      </c>
      <c r="AH52" s="96">
        <f t="shared" si="52"/>
        <v>0.06280000000000002</v>
      </c>
      <c r="AI52" s="97">
        <v>0</v>
      </c>
      <c r="AK52" s="95">
        <v>0.94</v>
      </c>
      <c r="AL52" s="96">
        <v>0</v>
      </c>
      <c r="AM52" s="96">
        <f t="shared" si="53"/>
        <v>0.022799999999999994</v>
      </c>
      <c r="AN52" s="96">
        <f t="shared" si="54"/>
        <v>0.026799999999999997</v>
      </c>
      <c r="AO52" s="96">
        <f t="shared" si="55"/>
        <v>0.03140000000000001</v>
      </c>
      <c r="AP52" s="97">
        <f t="shared" si="56"/>
        <v>0.036</v>
      </c>
      <c r="AS52" s="95">
        <v>0.94</v>
      </c>
      <c r="AT52" s="96">
        <f t="shared" si="57"/>
        <v>0.027200000000000002</v>
      </c>
      <c r="AU52" s="96">
        <f t="shared" si="58"/>
        <v>0.0332</v>
      </c>
      <c r="AV52" s="96">
        <f t="shared" si="59"/>
        <v>0.03979999999999999</v>
      </c>
      <c r="AW52" s="96">
        <f t="shared" si="60"/>
        <v>0.046799999999999994</v>
      </c>
      <c r="AX52" s="97">
        <v>0</v>
      </c>
    </row>
    <row r="53" spans="1:50" s="1" customFormat="1" ht="15" customHeight="1">
      <c r="A53" s="86" t="s">
        <v>80</v>
      </c>
      <c r="B53" s="163">
        <f>+IF($M$26&gt;0,$F$52/$M$26,0)</f>
        <v>0.31630002650410816</v>
      </c>
      <c r="C53" s="164" t="s">
        <v>105</v>
      </c>
      <c r="D53" s="154">
        <f>+IF($N$26&gt;0,$F$52/$N$26,0)</f>
        <v>0.2137162341243974</v>
      </c>
      <c r="E53" s="165">
        <f>+IF($O$26&gt;0,$F$52/$O$26,0)</f>
        <v>0.16137756454291233</v>
      </c>
      <c r="F53" s="268"/>
      <c r="G53" s="25"/>
      <c r="H53" s="25"/>
      <c r="P53" s="44"/>
      <c r="AD53" s="99">
        <v>0.95</v>
      </c>
      <c r="AE53" s="100">
        <f t="shared" si="49"/>
        <v>0.036500000000000005</v>
      </c>
      <c r="AF53" s="100">
        <f t="shared" si="50"/>
        <v>0.044500000000000005</v>
      </c>
      <c r="AG53" s="100">
        <f t="shared" si="51"/>
        <v>0.05299999999999999</v>
      </c>
      <c r="AH53" s="100">
        <f t="shared" si="52"/>
        <v>0.06200000000000002</v>
      </c>
      <c r="AI53" s="101">
        <v>0</v>
      </c>
      <c r="AK53" s="102">
        <v>0.95</v>
      </c>
      <c r="AL53" s="100">
        <v>0</v>
      </c>
      <c r="AM53" s="100">
        <f t="shared" si="53"/>
        <v>0.022499999999999992</v>
      </c>
      <c r="AN53" s="100">
        <f t="shared" si="54"/>
        <v>0.026499999999999996</v>
      </c>
      <c r="AO53" s="100">
        <f t="shared" si="55"/>
        <v>0.03100000000000001</v>
      </c>
      <c r="AP53" s="101">
        <f t="shared" si="56"/>
        <v>0.0355</v>
      </c>
      <c r="AS53" s="102">
        <v>0.95</v>
      </c>
      <c r="AT53" s="100">
        <f t="shared" si="57"/>
        <v>0.026500000000000003</v>
      </c>
      <c r="AU53" s="100">
        <f t="shared" si="58"/>
        <v>0.0325</v>
      </c>
      <c r="AV53" s="100">
        <f t="shared" si="59"/>
        <v>0.038999999999999986</v>
      </c>
      <c r="AW53" s="100">
        <f t="shared" si="60"/>
        <v>0.04599999999999999</v>
      </c>
      <c r="AX53" s="101">
        <v>0</v>
      </c>
    </row>
    <row r="54" spans="1:50" s="1" customFormat="1" ht="15" customHeight="1">
      <c r="A54" s="45"/>
      <c r="B54" s="166"/>
      <c r="C54" s="160"/>
      <c r="D54" s="160"/>
      <c r="E54" s="162"/>
      <c r="F54" s="268"/>
      <c r="G54" s="25"/>
      <c r="H54" s="25"/>
      <c r="P54" s="44"/>
      <c r="AD54" s="33">
        <v>0.96</v>
      </c>
      <c r="AE54" s="64">
        <f t="shared" si="49"/>
        <v>0.035800000000000005</v>
      </c>
      <c r="AF54" s="64">
        <f t="shared" si="50"/>
        <v>0.043800000000000006</v>
      </c>
      <c r="AG54" s="64">
        <f t="shared" si="51"/>
        <v>0.05219999999999999</v>
      </c>
      <c r="AH54" s="64">
        <f t="shared" si="52"/>
        <v>0.06120000000000002</v>
      </c>
      <c r="AI54" s="31">
        <v>0</v>
      </c>
      <c r="AK54" s="33">
        <v>0.96</v>
      </c>
      <c r="AL54" s="64">
        <v>0</v>
      </c>
      <c r="AM54" s="64">
        <f t="shared" si="53"/>
        <v>0.02219999999999999</v>
      </c>
      <c r="AN54" s="64">
        <f t="shared" si="54"/>
        <v>0.026199999999999994</v>
      </c>
      <c r="AO54" s="64">
        <f t="shared" si="55"/>
        <v>0.03060000000000001</v>
      </c>
      <c r="AP54" s="31">
        <f t="shared" si="56"/>
        <v>0.034999999999999996</v>
      </c>
      <c r="AS54" s="33">
        <v>0.96</v>
      </c>
      <c r="AT54" s="64">
        <f t="shared" si="57"/>
        <v>0.025800000000000003</v>
      </c>
      <c r="AU54" s="64">
        <f t="shared" si="58"/>
        <v>0.0318</v>
      </c>
      <c r="AV54" s="64">
        <f t="shared" si="59"/>
        <v>0.038199999999999984</v>
      </c>
      <c r="AW54" s="64">
        <f t="shared" si="60"/>
        <v>0.04519999999999999</v>
      </c>
      <c r="AX54" s="31">
        <v>0</v>
      </c>
    </row>
    <row r="55" spans="1:50" s="1" customFormat="1" ht="15" customHeight="1">
      <c r="A55" s="45"/>
      <c r="B55" s="163"/>
      <c r="C55" s="302"/>
      <c r="D55" s="302"/>
      <c r="E55" s="165"/>
      <c r="F55" s="268"/>
      <c r="G55" s="25"/>
      <c r="H55" s="25"/>
      <c r="P55" s="44"/>
      <c r="AD55" s="33">
        <v>0.97</v>
      </c>
      <c r="AE55" s="64">
        <f t="shared" si="49"/>
        <v>0.035100000000000006</v>
      </c>
      <c r="AF55" s="64">
        <f t="shared" si="50"/>
        <v>0.043100000000000006</v>
      </c>
      <c r="AG55" s="64">
        <f t="shared" si="51"/>
        <v>0.05139999999999999</v>
      </c>
      <c r="AH55" s="64">
        <f t="shared" si="52"/>
        <v>0.060400000000000016</v>
      </c>
      <c r="AI55" s="31">
        <v>0</v>
      </c>
      <c r="AK55" s="33">
        <v>0.97</v>
      </c>
      <c r="AL55" s="64">
        <v>0</v>
      </c>
      <c r="AM55" s="64">
        <f t="shared" si="53"/>
        <v>0.02189999999999999</v>
      </c>
      <c r="AN55" s="64">
        <f t="shared" si="54"/>
        <v>0.025899999999999992</v>
      </c>
      <c r="AO55" s="64">
        <f t="shared" si="55"/>
        <v>0.030200000000000008</v>
      </c>
      <c r="AP55" s="31">
        <f t="shared" si="56"/>
        <v>0.034499999999999996</v>
      </c>
      <c r="AS55" s="33">
        <v>0.97</v>
      </c>
      <c r="AT55" s="64">
        <f t="shared" si="57"/>
        <v>0.025100000000000004</v>
      </c>
      <c r="AU55" s="64">
        <f t="shared" si="58"/>
        <v>0.031100000000000003</v>
      </c>
      <c r="AV55" s="64">
        <f t="shared" si="59"/>
        <v>0.03739999999999998</v>
      </c>
      <c r="AW55" s="64">
        <f t="shared" si="60"/>
        <v>0.04439999999999999</v>
      </c>
      <c r="AX55" s="31">
        <v>0</v>
      </c>
    </row>
    <row r="56" spans="1:50" s="1" customFormat="1" ht="15" customHeight="1">
      <c r="A56" s="45"/>
      <c r="B56" s="178">
        <f>+IF($M$38&gt;0,$F$56/$M$38,0)</f>
        <v>0.4744500397561623</v>
      </c>
      <c r="C56" s="179" t="s">
        <v>105</v>
      </c>
      <c r="D56" s="152">
        <f>IF($N$38&gt;0,$F$56/$N$38,0)</f>
        <v>0.3205743511865961</v>
      </c>
      <c r="E56" s="180">
        <f>IF($O$38&gt;0,$F$56/$O$38,0)</f>
        <v>0.24206634681436853</v>
      </c>
      <c r="F56" s="268">
        <f>E13/4</f>
        <v>1</v>
      </c>
      <c r="G56" s="25"/>
      <c r="H56" s="25"/>
      <c r="P56" s="44"/>
      <c r="AD56" s="33">
        <v>0.98</v>
      </c>
      <c r="AE56" s="64">
        <f t="shared" si="49"/>
        <v>0.03440000000000001</v>
      </c>
      <c r="AF56" s="64">
        <f t="shared" si="50"/>
        <v>0.04240000000000001</v>
      </c>
      <c r="AG56" s="64">
        <f t="shared" si="51"/>
        <v>0.050599999999999985</v>
      </c>
      <c r="AH56" s="64">
        <f t="shared" si="52"/>
        <v>0.059600000000000014</v>
      </c>
      <c r="AI56" s="31">
        <v>0</v>
      </c>
      <c r="AK56" s="33">
        <v>0.98</v>
      </c>
      <c r="AL56" s="64">
        <v>0</v>
      </c>
      <c r="AM56" s="64">
        <f t="shared" si="53"/>
        <v>0.021599999999999987</v>
      </c>
      <c r="AN56" s="64">
        <f t="shared" si="54"/>
        <v>0.02559999999999999</v>
      </c>
      <c r="AO56" s="64">
        <f t="shared" si="55"/>
        <v>0.029800000000000007</v>
      </c>
      <c r="AP56" s="31">
        <f t="shared" si="56"/>
        <v>0.033999999999999996</v>
      </c>
      <c r="AS56" s="33">
        <v>0.98</v>
      </c>
      <c r="AT56" s="64">
        <f t="shared" si="57"/>
        <v>0.024400000000000005</v>
      </c>
      <c r="AU56" s="64">
        <f t="shared" si="58"/>
        <v>0.030400000000000003</v>
      </c>
      <c r="AV56" s="64">
        <f t="shared" si="59"/>
        <v>0.03659999999999998</v>
      </c>
      <c r="AW56" s="64">
        <f t="shared" si="60"/>
        <v>0.043599999999999986</v>
      </c>
      <c r="AX56" s="31">
        <v>0</v>
      </c>
    </row>
    <row r="57" spans="1:50" s="1" customFormat="1" ht="15" customHeight="1">
      <c r="A57" s="45"/>
      <c r="B57" s="181"/>
      <c r="C57" s="182"/>
      <c r="D57" s="182"/>
      <c r="E57" s="183"/>
      <c r="F57" s="268"/>
      <c r="G57" s="25"/>
      <c r="H57" s="25"/>
      <c r="P57" s="44"/>
      <c r="AD57" s="95">
        <v>0.99</v>
      </c>
      <c r="AE57" s="96">
        <f t="shared" si="49"/>
        <v>0.03370000000000001</v>
      </c>
      <c r="AF57" s="96">
        <f t="shared" si="50"/>
        <v>0.04170000000000001</v>
      </c>
      <c r="AG57" s="96">
        <f t="shared" si="51"/>
        <v>0.04979999999999998</v>
      </c>
      <c r="AH57" s="96">
        <f t="shared" si="52"/>
        <v>0.05880000000000001</v>
      </c>
      <c r="AI57" s="97">
        <v>0</v>
      </c>
      <c r="AK57" s="95">
        <v>0.99</v>
      </c>
      <c r="AL57" s="96">
        <v>0</v>
      </c>
      <c r="AM57" s="96">
        <f t="shared" si="53"/>
        <v>0.021299999999999986</v>
      </c>
      <c r="AN57" s="96">
        <f t="shared" si="54"/>
        <v>0.02529999999999999</v>
      </c>
      <c r="AO57" s="96">
        <f t="shared" si="55"/>
        <v>0.029400000000000006</v>
      </c>
      <c r="AP57" s="97">
        <f t="shared" si="56"/>
        <v>0.033499999999999995</v>
      </c>
      <c r="AS57" s="95">
        <v>0.99</v>
      </c>
      <c r="AT57" s="96">
        <f t="shared" si="57"/>
        <v>0.023700000000000006</v>
      </c>
      <c r="AU57" s="96">
        <f t="shared" si="58"/>
        <v>0.029700000000000004</v>
      </c>
      <c r="AV57" s="96">
        <f t="shared" si="59"/>
        <v>0.03579999999999998</v>
      </c>
      <c r="AW57" s="96">
        <f t="shared" si="60"/>
        <v>0.042799999999999984</v>
      </c>
      <c r="AX57" s="97">
        <v>0</v>
      </c>
    </row>
    <row r="58" spans="1:50" s="1" customFormat="1" ht="15" customHeight="1">
      <c r="A58" s="45"/>
      <c r="B58" s="271" t="s">
        <v>99</v>
      </c>
      <c r="C58" s="271"/>
      <c r="D58" s="271"/>
      <c r="E58" s="271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44"/>
      <c r="AD58" s="34">
        <v>1</v>
      </c>
      <c r="AE58" s="65">
        <v>0.033</v>
      </c>
      <c r="AF58" s="65">
        <v>0.041</v>
      </c>
      <c r="AG58" s="66">
        <v>0.049</v>
      </c>
      <c r="AH58" s="66">
        <v>0.058</v>
      </c>
      <c r="AI58" s="32">
        <v>0</v>
      </c>
      <c r="AK58" s="34">
        <v>1</v>
      </c>
      <c r="AL58" s="65">
        <v>0</v>
      </c>
      <c r="AM58" s="65">
        <v>0.021</v>
      </c>
      <c r="AN58" s="66">
        <v>0.025</v>
      </c>
      <c r="AO58" s="66">
        <v>0.029</v>
      </c>
      <c r="AP58" s="32">
        <v>0.033</v>
      </c>
      <c r="AS58" s="34">
        <v>1</v>
      </c>
      <c r="AT58" s="65">
        <v>0.025</v>
      </c>
      <c r="AU58" s="65">
        <v>0.031</v>
      </c>
      <c r="AV58" s="66">
        <v>0.037</v>
      </c>
      <c r="AW58" s="66">
        <v>0.044</v>
      </c>
      <c r="AX58" s="32">
        <v>0.05</v>
      </c>
    </row>
    <row r="59" spans="1:16" s="1" customFormat="1" ht="15" customHeight="1">
      <c r="A59" s="4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44"/>
    </row>
    <row r="60" spans="1:16" s="1" customFormat="1" ht="15" customHeight="1">
      <c r="A60" s="45"/>
      <c r="B60" s="252" t="s">
        <v>106</v>
      </c>
      <c r="C60" s="252"/>
      <c r="D60" s="252"/>
      <c r="E60" s="252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44"/>
    </row>
    <row r="61" spans="1:16" s="1" customFormat="1" ht="15" customHeight="1" thickBo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9"/>
    </row>
    <row r="62" s="1" customFormat="1" ht="15" customHeight="1" thickTop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</sheetData>
  <sheetProtection/>
  <mergeCells count="50">
    <mergeCell ref="B39:B40"/>
    <mergeCell ref="B60:E60"/>
    <mergeCell ref="B45:B46"/>
    <mergeCell ref="C55:D55"/>
    <mergeCell ref="C48:D48"/>
    <mergeCell ref="C45:C46"/>
    <mergeCell ref="M36:O36"/>
    <mergeCell ref="I23:O23"/>
    <mergeCell ref="I35:O35"/>
    <mergeCell ref="D42:D43"/>
    <mergeCell ref="M24:O24"/>
    <mergeCell ref="J24:L24"/>
    <mergeCell ref="J15:L15"/>
    <mergeCell ref="M15:O15"/>
    <mergeCell ref="B58:E58"/>
    <mergeCell ref="F52:F55"/>
    <mergeCell ref="F50:F51"/>
    <mergeCell ref="F56:F57"/>
    <mergeCell ref="D45:D46"/>
    <mergeCell ref="C42:C43"/>
    <mergeCell ref="B42:B43"/>
    <mergeCell ref="J36:L36"/>
    <mergeCell ref="O2:P2"/>
    <mergeCell ref="AP3:AZ3"/>
    <mergeCell ref="AB4:AB7"/>
    <mergeCell ref="U3:AB3"/>
    <mergeCell ref="V4:AA4"/>
    <mergeCell ref="V5:AA5"/>
    <mergeCell ref="AA6:AA7"/>
    <mergeCell ref="V6:V7"/>
    <mergeCell ref="W6:W7"/>
    <mergeCell ref="X6:X7"/>
    <mergeCell ref="AS4:AX4"/>
    <mergeCell ref="AK5:AP5"/>
    <mergeCell ref="AS5:AX5"/>
    <mergeCell ref="Z6:Z7"/>
    <mergeCell ref="A1:P1"/>
    <mergeCell ref="B2:D2"/>
    <mergeCell ref="E2:F2"/>
    <mergeCell ref="G2:H2"/>
    <mergeCell ref="I2:J2"/>
    <mergeCell ref="K2:M2"/>
    <mergeCell ref="I12:K12"/>
    <mergeCell ref="I13:K13"/>
    <mergeCell ref="I11:K11"/>
    <mergeCell ref="AD5:AI5"/>
    <mergeCell ref="U4:U7"/>
    <mergeCell ref="I9:K9"/>
    <mergeCell ref="I10:K10"/>
    <mergeCell ref="Y6:Y7"/>
  </mergeCells>
  <printOptions/>
  <pageMargins left="0.5511811023622047" right="0.7480314960629921" top="1.1811023622047245" bottom="0.7874015748031497" header="0.6692913385826772" footer="0.7480314960629921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HP</cp:lastModifiedBy>
  <cp:lastPrinted>2010-03-12T09:48:30Z</cp:lastPrinted>
  <dcterms:created xsi:type="dcterms:W3CDTF">2005-06-06T17:43:21Z</dcterms:created>
  <dcterms:modified xsi:type="dcterms:W3CDTF">2012-12-12T04:29:31Z</dcterms:modified>
  <cp:category/>
  <cp:version/>
  <cp:contentType/>
  <cp:contentStatus/>
</cp:coreProperties>
</file>