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0" windowWidth="19035" windowHeight="9000" tabRatio="601"/>
  </bookViews>
  <sheets>
    <sheet name="ST1" sheetId="2" r:id="rId1"/>
    <sheet name="Rect" sheetId="3" r:id="rId2"/>
    <sheet name="Light Lip" sheetId="4" r:id="rId3"/>
  </sheets>
  <definedNames>
    <definedName name="_xlnm.Print_Area" localSheetId="0">'ST1'!$A$1:$P$62</definedName>
  </definedNames>
  <calcPr calcId="124519"/>
</workbook>
</file>

<file path=xl/calcChain.xml><?xml version="1.0" encoding="utf-8"?>
<calcChain xmlns="http://schemas.openxmlformats.org/spreadsheetml/2006/main">
  <c r="N9" i="2"/>
  <c r="Q42"/>
  <c r="H16"/>
  <c r="F51"/>
  <c r="F46"/>
  <c r="G49" s="1"/>
  <c r="F52"/>
  <c r="I40"/>
  <c r="B57" i="4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8" i="3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B26" i="4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8"/>
  <c r="B25"/>
  <c r="B24"/>
  <c r="B23"/>
  <c r="B34" i="3"/>
  <c r="B21"/>
  <c r="B22"/>
  <c r="B23"/>
  <c r="B24"/>
  <c r="B25"/>
  <c r="B26"/>
  <c r="B27"/>
  <c r="B28"/>
  <c r="B29"/>
  <c r="B30"/>
  <c r="B31"/>
  <c r="B32"/>
  <c r="B33"/>
  <c r="B35"/>
  <c r="B36"/>
  <c r="B37"/>
  <c r="B38"/>
  <c r="B39"/>
  <c r="B40"/>
  <c r="B41"/>
  <c r="B42"/>
  <c r="B43"/>
  <c r="B44"/>
  <c r="B20"/>
  <c r="B19"/>
  <c r="H15" i="2"/>
  <c r="E18" s="1"/>
  <c r="N8"/>
  <c r="F28" l="1"/>
  <c r="F30"/>
  <c r="F27"/>
  <c r="F29"/>
  <c r="G55"/>
  <c r="H55" s="1"/>
  <c r="E19"/>
  <c r="K30"/>
  <c r="F31"/>
  <c r="K28"/>
  <c r="K31"/>
  <c r="C26"/>
  <c r="K27"/>
  <c r="K29"/>
  <c r="K32"/>
  <c r="H18"/>
  <c r="H19"/>
  <c r="H22" s="1"/>
  <c r="K19" s="1"/>
  <c r="G48" s="1"/>
  <c r="I41" l="1"/>
  <c r="K41" s="1"/>
  <c r="F53"/>
  <c r="H53" s="1"/>
  <c r="H20"/>
  <c r="H23" s="1"/>
  <c r="M29" s="1"/>
  <c r="K18"/>
  <c r="H36" s="1"/>
  <c r="H37" s="1"/>
  <c r="H21"/>
  <c r="G57" s="1"/>
  <c r="F43"/>
  <c r="J36" l="1"/>
  <c r="H35"/>
  <c r="J35" l="1"/>
</calcChain>
</file>

<file path=xl/comments1.xml><?xml version="1.0" encoding="utf-8"?>
<comments xmlns="http://schemas.openxmlformats.org/spreadsheetml/2006/main">
  <authors>
    <author>WincoolV4</author>
    <author>Anurak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 xml:space="preserve">Input Data
</t>
        </r>
      </text>
    </comment>
    <comment ref="G7" authorId="0">
      <text>
        <r>
          <rPr>
            <b/>
            <sz val="8"/>
            <color indexed="81"/>
            <rFont val="Tahoma"/>
            <family val="2"/>
          </rPr>
          <t xml:space="preserve">Input Data
</t>
        </r>
      </text>
    </comment>
    <comment ref="N7" authorId="0">
      <text>
        <r>
          <rPr>
            <b/>
            <sz val="8"/>
            <color indexed="81"/>
            <rFont val="Tahoma"/>
            <family val="2"/>
          </rPr>
          <t xml:space="preserve">Input Data
</t>
        </r>
      </text>
    </comment>
    <comment ref="N8" authorId="0">
      <text>
        <r>
          <rPr>
            <b/>
            <sz val="8"/>
            <color indexed="81"/>
            <rFont val="Tahoma"/>
            <family val="2"/>
          </rPr>
          <t xml:space="preserve">Input Data
</t>
        </r>
      </text>
    </comment>
    <comment ref="G9" authorId="0">
      <text>
        <r>
          <rPr>
            <b/>
            <sz val="8"/>
            <color indexed="81"/>
            <rFont val="Tahoma"/>
            <family val="2"/>
          </rPr>
          <t>Input Data</t>
        </r>
      </text>
    </comment>
    <comment ref="N9" authorId="0">
      <text>
        <r>
          <rPr>
            <b/>
            <sz val="8"/>
            <color indexed="81"/>
            <rFont val="Tahoma"/>
            <family val="2"/>
          </rPr>
          <t xml:space="preserve">Input Data
</t>
        </r>
      </text>
    </comment>
    <comment ref="F50" authorId="1">
      <text>
        <r>
          <rPr>
            <b/>
            <sz val="9"/>
            <color indexed="81"/>
            <rFont val="Tahoma"/>
            <family val="2"/>
          </rPr>
          <t xml:space="preserve">Input Dia.of Rod
as requirement
not less than 15 mm.
</t>
        </r>
      </text>
    </comment>
  </commentList>
</comments>
</file>

<file path=xl/sharedStrings.xml><?xml version="1.0" encoding="utf-8"?>
<sst xmlns="http://schemas.openxmlformats.org/spreadsheetml/2006/main" count="254" uniqueCount="164">
  <si>
    <t>cm.</t>
  </si>
  <si>
    <t>m.</t>
  </si>
  <si>
    <t>Steel Modulus of Elasticity</t>
  </si>
  <si>
    <r>
      <t>E</t>
    </r>
    <r>
      <rPr>
        <vertAlign val="subscript"/>
        <sz val="10"/>
        <rFont val="Calibri"/>
        <family val="2"/>
      </rPr>
      <t>s</t>
    </r>
  </si>
  <si>
    <r>
      <t>Kg./m</t>
    </r>
    <r>
      <rPr>
        <vertAlign val="superscript"/>
        <sz val="10"/>
        <rFont val="Calibri"/>
        <family val="2"/>
      </rPr>
      <t>2</t>
    </r>
  </si>
  <si>
    <t>Kg./m</t>
  </si>
  <si>
    <t>1.Geometry Data</t>
  </si>
  <si>
    <t>1.1 Material Properties</t>
  </si>
  <si>
    <t>Project :</t>
  </si>
  <si>
    <t>Design by :</t>
  </si>
  <si>
    <t>A</t>
  </si>
  <si>
    <t>B</t>
  </si>
  <si>
    <t>C</t>
  </si>
  <si>
    <t>t</t>
  </si>
  <si>
    <t>Design of Purlin</t>
  </si>
  <si>
    <t xml:space="preserve">Yield Strength </t>
  </si>
  <si>
    <t>Allowable Tensile Stress</t>
  </si>
  <si>
    <t>Allowable Shear Stress</t>
  </si>
  <si>
    <t>Fy</t>
  </si>
  <si>
    <t>Fv=0.4Fy</t>
  </si>
  <si>
    <t>Live load  ,LL</t>
  </si>
  <si>
    <t>Dead load  ,DL</t>
  </si>
  <si>
    <t>Simple Span Length</t>
  </si>
  <si>
    <t>Angle of Roof</t>
  </si>
  <si>
    <t>2. Calculation Gravity Loads on Purlin</t>
  </si>
  <si>
    <t>Wy</t>
  </si>
  <si>
    <t>Wx</t>
  </si>
  <si>
    <t>=</t>
  </si>
  <si>
    <t xml:space="preserve">Summaries Load (DL+LL)xS </t>
  </si>
  <si>
    <t>Mx</t>
  </si>
  <si>
    <t>My</t>
  </si>
  <si>
    <r>
      <t>Wy.L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/8</t>
    </r>
  </si>
  <si>
    <r>
      <t>Wx.L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/8</t>
    </r>
  </si>
  <si>
    <t>Kg.-m</t>
  </si>
  <si>
    <t>Purlin Spacing  ,S    (@)</t>
  </si>
  <si>
    <t>Thickness</t>
  </si>
  <si>
    <t>Calculate Weight</t>
  </si>
  <si>
    <t>Cross Sectional Area</t>
  </si>
  <si>
    <t>Geometrical Moment of Inertia</t>
  </si>
  <si>
    <t>Modulus of Section</t>
  </si>
  <si>
    <t>Radius of Gyration</t>
  </si>
  <si>
    <t>W</t>
  </si>
  <si>
    <t>Ix</t>
  </si>
  <si>
    <t>Iy</t>
  </si>
  <si>
    <t>Zx</t>
  </si>
  <si>
    <t>Zy</t>
  </si>
  <si>
    <t>mm.</t>
  </si>
  <si>
    <t>kg./m.</t>
  </si>
  <si>
    <t>cm2</t>
  </si>
  <si>
    <t>cm4</t>
  </si>
  <si>
    <t>cm3</t>
  </si>
  <si>
    <t>*** Please contact us in advance for items in light blue color cell ***</t>
  </si>
  <si>
    <t>Light Lip Channel</t>
  </si>
  <si>
    <t>Dimensions (mm)</t>
  </si>
  <si>
    <r>
      <t>Sectional Area (cm</t>
    </r>
    <r>
      <rPr>
        <b/>
        <vertAlign val="superscript"/>
        <sz val="10"/>
        <rFont val="Tahoma"/>
        <family val="2"/>
      </rPr>
      <t>2</t>
    </r>
    <r>
      <rPr>
        <b/>
        <sz val="10"/>
        <rFont val="Tahoma"/>
        <family val="2"/>
      </rPr>
      <t>)</t>
    </r>
  </si>
  <si>
    <t>Weight (kg/m)</t>
  </si>
  <si>
    <t>Center of Gravity (cm)</t>
  </si>
  <si>
    <r>
      <t>Secondary Moment of Area (cm</t>
    </r>
    <r>
      <rPr>
        <b/>
        <vertAlign val="superscript"/>
        <sz val="10"/>
        <rFont val="Tahoma"/>
        <family val="2"/>
      </rPr>
      <t>4</t>
    </r>
    <r>
      <rPr>
        <b/>
        <sz val="10"/>
        <rFont val="Tahoma"/>
        <family val="2"/>
      </rPr>
      <t>)</t>
    </r>
  </si>
  <si>
    <t>Radius of Gyration of Area (cm)</t>
  </si>
  <si>
    <r>
      <t>Modulus of Section (cm</t>
    </r>
    <r>
      <rPr>
        <b/>
        <vertAlign val="superscript"/>
        <sz val="10"/>
        <rFont val="Tahoma"/>
        <family val="2"/>
      </rPr>
      <t>3</t>
    </r>
    <r>
      <rPr>
        <b/>
        <sz val="10"/>
        <rFont val="Tahoma"/>
        <family val="2"/>
      </rPr>
      <t>)</t>
    </r>
  </si>
  <si>
    <t>Center of Shear (cm)</t>
  </si>
  <si>
    <t>H x A x C</t>
  </si>
  <si>
    <r>
      <t>C</t>
    </r>
    <r>
      <rPr>
        <b/>
        <vertAlign val="subscript"/>
        <sz val="10"/>
        <rFont val="Tahoma"/>
        <family val="2"/>
      </rPr>
      <t>x</t>
    </r>
  </si>
  <si>
    <r>
      <t>C</t>
    </r>
    <r>
      <rPr>
        <b/>
        <vertAlign val="subscript"/>
        <sz val="10"/>
        <rFont val="Tahoma"/>
        <family val="2"/>
      </rPr>
      <t>y</t>
    </r>
  </si>
  <si>
    <r>
      <t>I</t>
    </r>
    <r>
      <rPr>
        <b/>
        <vertAlign val="subscript"/>
        <sz val="10"/>
        <rFont val="Tahoma"/>
        <family val="2"/>
      </rPr>
      <t>x</t>
    </r>
  </si>
  <si>
    <r>
      <t>I</t>
    </r>
    <r>
      <rPr>
        <b/>
        <vertAlign val="subscript"/>
        <sz val="10"/>
        <rFont val="Tahoma"/>
        <family val="2"/>
      </rPr>
      <t>y</t>
    </r>
  </si>
  <si>
    <r>
      <t>i</t>
    </r>
    <r>
      <rPr>
        <b/>
        <vertAlign val="subscript"/>
        <sz val="10"/>
        <rFont val="Tahoma"/>
        <family val="2"/>
      </rPr>
      <t>x</t>
    </r>
  </si>
  <si>
    <r>
      <t>i</t>
    </r>
    <r>
      <rPr>
        <b/>
        <vertAlign val="subscript"/>
        <sz val="10"/>
        <rFont val="Tahoma"/>
        <family val="2"/>
      </rPr>
      <t>y</t>
    </r>
  </si>
  <si>
    <r>
      <t>Z</t>
    </r>
    <r>
      <rPr>
        <b/>
        <vertAlign val="subscript"/>
        <sz val="10"/>
        <rFont val="Tahoma"/>
        <family val="2"/>
      </rPr>
      <t>x</t>
    </r>
  </si>
  <si>
    <r>
      <t>Z</t>
    </r>
    <r>
      <rPr>
        <b/>
        <vertAlign val="subscript"/>
        <sz val="10"/>
        <rFont val="Tahoma"/>
        <family val="2"/>
      </rPr>
      <t>y</t>
    </r>
  </si>
  <si>
    <r>
      <t>S</t>
    </r>
    <r>
      <rPr>
        <b/>
        <vertAlign val="subscript"/>
        <sz val="10"/>
        <rFont val="Tahoma"/>
        <family val="2"/>
      </rPr>
      <t>x</t>
    </r>
  </si>
  <si>
    <r>
      <t>S</t>
    </r>
    <r>
      <rPr>
        <b/>
        <vertAlign val="subscript"/>
        <sz val="10"/>
        <rFont val="Tahoma"/>
        <family val="2"/>
      </rPr>
      <t>y</t>
    </r>
  </si>
  <si>
    <t>250x75x25</t>
  </si>
  <si>
    <t>200x75x25</t>
  </si>
  <si>
    <t>200x75x20</t>
  </si>
  <si>
    <t>150x75x25</t>
  </si>
  <si>
    <t>150x75x20</t>
  </si>
  <si>
    <t>150x65x20</t>
  </si>
  <si>
    <t>150x50x20</t>
  </si>
  <si>
    <t>125x50x20</t>
  </si>
  <si>
    <t>120x60x25</t>
  </si>
  <si>
    <t>120x40x20</t>
  </si>
  <si>
    <t>100x50x20</t>
  </si>
  <si>
    <t>90x45x15</t>
  </si>
  <si>
    <t>75x45x15</t>
  </si>
  <si>
    <t>75x35x15</t>
  </si>
  <si>
    <t>  50x25</t>
  </si>
  <si>
    <t>  200x100</t>
  </si>
  <si>
    <t>  75x45</t>
  </si>
  <si>
    <t>200x100</t>
  </si>
  <si>
    <t xml:space="preserve"> 150x50</t>
  </si>
  <si>
    <t xml:space="preserve"> 125x75</t>
  </si>
  <si>
    <t xml:space="preserve"> 100x50</t>
  </si>
  <si>
    <t xml:space="preserve"> 75x38</t>
  </si>
  <si>
    <t>Tube</t>
  </si>
  <si>
    <t>Light Lip (C)</t>
  </si>
  <si>
    <t>cm</t>
  </si>
  <si>
    <t>kg/m</t>
  </si>
  <si>
    <t>Iy =</t>
  </si>
  <si>
    <t>H</t>
  </si>
  <si>
    <t>``</t>
  </si>
  <si>
    <t>rx</t>
  </si>
  <si>
    <t>ry</t>
  </si>
  <si>
    <t>d</t>
  </si>
  <si>
    <t>Ax</t>
  </si>
  <si>
    <t xml:space="preserve">t </t>
  </si>
  <si>
    <t xml:space="preserve">    weight ,  w =</t>
  </si>
  <si>
    <t>Use</t>
  </si>
  <si>
    <r>
      <t>cm</t>
    </r>
    <r>
      <rPr>
        <vertAlign val="superscript"/>
        <sz val="10"/>
        <rFont val="Calibri"/>
        <family val="2"/>
      </rPr>
      <t>2</t>
    </r>
  </si>
  <si>
    <r>
      <t>cm</t>
    </r>
    <r>
      <rPr>
        <vertAlign val="superscript"/>
        <sz val="10"/>
        <rFont val="Calibri"/>
        <family val="2"/>
      </rPr>
      <t>4</t>
    </r>
  </si>
  <si>
    <r>
      <t>cm</t>
    </r>
    <r>
      <rPr>
        <vertAlign val="superscript"/>
        <sz val="10"/>
        <rFont val="Calibri"/>
        <family val="2"/>
      </rPr>
      <t>3</t>
    </r>
  </si>
  <si>
    <t xml:space="preserve">    width,  bf=</t>
  </si>
  <si>
    <t xml:space="preserve">    depth,  d =</t>
  </si>
  <si>
    <t xml:space="preserve">    section area,   Ax =</t>
  </si>
  <si>
    <t xml:space="preserve">   moment of  inertia,  Ix =</t>
  </si>
  <si>
    <t>4.Determine Tensile and Shearing Stress</t>
  </si>
  <si>
    <t xml:space="preserve">  section  modulus,  Sx =</t>
  </si>
  <si>
    <t xml:space="preserve"> Sx =</t>
  </si>
  <si>
    <t>3.Define Steel Member</t>
  </si>
  <si>
    <t>Fb=0.6Fy</t>
  </si>
  <si>
    <t>Deg.</t>
  </si>
  <si>
    <r>
      <t>Wx.L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/32</t>
    </r>
  </si>
  <si>
    <t>Use Sag Rod</t>
  </si>
  <si>
    <t>No Sag Rod</t>
  </si>
  <si>
    <t xml:space="preserve">fv= Vx/Af + Vy/Aw </t>
  </si>
  <si>
    <t>Vx   =</t>
  </si>
  <si>
    <t>Vy   =</t>
  </si>
  <si>
    <t>Kg.</t>
  </si>
  <si>
    <t>5.Deflection Check</t>
  </si>
  <si>
    <t xml:space="preserve">Allowable Deflection </t>
  </si>
  <si>
    <t>Actural Deflecton</t>
  </si>
  <si>
    <r>
      <rPr>
        <b/>
        <sz val="10"/>
        <rFont val="Symbol"/>
        <family val="1"/>
        <charset val="2"/>
      </rPr>
      <t xml:space="preserve">D </t>
    </r>
    <r>
      <rPr>
        <sz val="10"/>
        <rFont val="Calibri"/>
        <family val="2"/>
      </rPr>
      <t xml:space="preserve">allow  =  L/360 </t>
    </r>
  </si>
  <si>
    <t>Kg.-m ( For Design Sag Rod at Mid Span)</t>
  </si>
  <si>
    <t>6.Design Sag Rod</t>
  </si>
  <si>
    <t xml:space="preserve">    radius of gyration,  rx =</t>
  </si>
  <si>
    <t xml:space="preserve">    thick of flange,  tf=</t>
  </si>
  <si>
    <t xml:space="preserve">    thick of web,  tw=</t>
  </si>
  <si>
    <t>K = 1.0 ,</t>
  </si>
  <si>
    <t>RB</t>
  </si>
  <si>
    <t>, rx = (Ix/Ax)^0.5  =  d/4  ,for round bar</t>
  </si>
  <si>
    <t>rx     =</t>
  </si>
  <si>
    <t>Ax     =</t>
  </si>
  <si>
    <t xml:space="preserve">Tiral Rod, </t>
  </si>
  <si>
    <t>ksc.</t>
  </si>
  <si>
    <t>KL/rx  =</t>
  </si>
  <si>
    <t>Check Slenderness ratio</t>
  </si>
  <si>
    <t>L   =</t>
  </si>
  <si>
    <t>Sag Rod Length,</t>
  </si>
  <si>
    <t>****</t>
  </si>
  <si>
    <t>***</t>
  </si>
  <si>
    <t xml:space="preserve">  So that,</t>
  </si>
  <si>
    <t>fb= Mx/Sx + 2My/Sy</t>
  </si>
  <si>
    <t xml:space="preserve">Presure of Wind Load  ,Pn </t>
  </si>
  <si>
    <r>
      <t>Wind Load  ,S.2Pn.sin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</rPr>
      <t>/(1+sin</t>
    </r>
    <r>
      <rPr>
        <vertAlign val="superscript"/>
        <sz val="10"/>
        <rFont val="Calibri"/>
        <family val="2"/>
      </rPr>
      <t>2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</rPr>
      <t>), Wd =</t>
    </r>
  </si>
  <si>
    <t>Axial Force in Sag Rog  =        10 Vx  =</t>
  </si>
  <si>
    <t>Tensile Stress   ,fa =P/Ax  =</t>
  </si>
  <si>
    <t>Required Sx</t>
  </si>
  <si>
    <t xml:space="preserve">Mx/Fb </t>
  </si>
  <si>
    <r>
      <rPr>
        <b/>
        <sz val="10"/>
        <rFont val="Symbol"/>
        <family val="1"/>
        <charset val="2"/>
      </rPr>
      <t xml:space="preserve">d </t>
    </r>
    <r>
      <rPr>
        <sz val="10"/>
        <rFont val="Calibri"/>
        <family val="2"/>
      </rPr>
      <t>max = WyL</t>
    </r>
    <r>
      <rPr>
        <vertAlign val="superscript"/>
        <sz val="10"/>
        <rFont val="Calibri"/>
        <family val="2"/>
      </rPr>
      <t>4</t>
    </r>
    <r>
      <rPr>
        <sz val="10"/>
        <rFont val="Calibri"/>
        <family val="2"/>
      </rPr>
      <t>/145.EIx       =</t>
    </r>
  </si>
  <si>
    <t>Purlin using</t>
  </si>
  <si>
    <t>&lt;Cont. Span&gt;</t>
  </si>
  <si>
    <t>No :</t>
  </si>
  <si>
    <t>Sag Rod  used</t>
  </si>
  <si>
    <t>(Min 15 mm.)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</si>
</sst>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0000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-* #,##0_-;\-* #,##0_-;_-* &quot;-&quot;?_-;_-@_-"/>
  </numFmts>
  <fonts count="33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0"/>
      <color indexed="12"/>
      <name val="Calibri"/>
      <family val="2"/>
    </font>
    <font>
      <sz val="10"/>
      <name val="Calibri"/>
      <family val="2"/>
    </font>
    <font>
      <sz val="10"/>
      <color indexed="12"/>
      <name val="Calibri"/>
      <family val="2"/>
    </font>
    <font>
      <vertAlign val="super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Symbol"/>
      <family val="1"/>
      <charset val="2"/>
    </font>
    <font>
      <sz val="9"/>
      <name val="Calibri"/>
      <family val="2"/>
    </font>
    <font>
      <b/>
      <sz val="12"/>
      <name val="Calibri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2"/>
      <name val="Helv"/>
    </font>
    <font>
      <b/>
      <sz val="10"/>
      <name val="Tahoma"/>
      <family val="2"/>
    </font>
    <font>
      <sz val="10"/>
      <name val="Tahoma"/>
      <family val="2"/>
    </font>
    <font>
      <b/>
      <vertAlign val="superscript"/>
      <sz val="10"/>
      <name val="Tahoma"/>
      <family val="2"/>
    </font>
    <font>
      <b/>
      <vertAlign val="subscript"/>
      <sz val="10"/>
      <name val="Tahoma"/>
      <family val="2"/>
    </font>
    <font>
      <sz val="10"/>
      <color rgb="FFFF0000"/>
      <name val="Tahoma"/>
      <family val="2"/>
    </font>
    <font>
      <sz val="10"/>
      <color theme="0"/>
      <name val="Calibri"/>
      <family val="2"/>
    </font>
    <font>
      <sz val="10"/>
      <color theme="1" tint="0.3499862666707357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color indexed="12"/>
      <name val="Calibri"/>
      <family val="2"/>
    </font>
    <font>
      <sz val="8"/>
      <color indexed="12"/>
      <name val="Calibri"/>
      <family val="2"/>
    </font>
    <font>
      <i/>
      <sz val="10"/>
      <name val="Calibri"/>
      <family val="2"/>
    </font>
    <font>
      <b/>
      <u/>
      <sz val="10"/>
      <name val="Calibri"/>
      <family val="2"/>
    </font>
    <font>
      <sz val="10"/>
      <color rgb="FF0033CC"/>
      <name val="Calibri"/>
      <family val="2"/>
    </font>
    <font>
      <sz val="8"/>
      <color rgb="FFFF0000"/>
      <name val="Calibri"/>
      <family val="2"/>
    </font>
    <font>
      <b/>
      <sz val="9"/>
      <color indexed="81"/>
      <name val="Tahoma"/>
      <family val="2"/>
    </font>
    <font>
      <sz val="10"/>
      <name val="Symbol"/>
      <family val="1"/>
      <charset val="2"/>
    </font>
    <font>
      <b/>
      <u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14" fillId="0" borderId="0"/>
    <xf numFmtId="0" fontId="12" fillId="0" borderId="0"/>
  </cellStyleXfs>
  <cellXfs count="135">
    <xf numFmtId="0" fontId="0" fillId="0" borderId="0" xfId="0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" fontId="16" fillId="2" borderId="3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188" fontId="16" fillId="2" borderId="3" xfId="0" applyNumberFormat="1" applyFont="1" applyFill="1" applyBorder="1" applyAlignment="1">
      <alignment horizontal="center" vertical="center"/>
    </xf>
    <xf numFmtId="188" fontId="16" fillId="5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vertical="center"/>
    </xf>
    <xf numFmtId="0" fontId="19" fillId="5" borderId="4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5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0" fontId="19" fillId="5" borderId="9" xfId="0" applyFont="1" applyFill="1" applyBorder="1" applyAlignment="1">
      <alignment vertical="center"/>
    </xf>
    <xf numFmtId="0" fontId="19" fillId="5" borderId="7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right" vertical="center"/>
    </xf>
    <xf numFmtId="0" fontId="21" fillId="6" borderId="0" xfId="0" applyFont="1" applyFill="1" applyBorder="1"/>
    <xf numFmtId="0" fontId="4" fillId="6" borderId="0" xfId="0" applyFont="1" applyFill="1"/>
    <xf numFmtId="1" fontId="22" fillId="6" borderId="0" xfId="2" applyNumberFormat="1" applyFont="1" applyFill="1" applyAlignment="1" applyProtection="1"/>
    <xf numFmtId="0" fontId="10" fillId="7" borderId="0" xfId="0" applyFont="1" applyFill="1" applyBorder="1"/>
    <xf numFmtId="0" fontId="4" fillId="7" borderId="0" xfId="0" applyFont="1" applyFill="1" applyBorder="1"/>
    <xf numFmtId="0" fontId="4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4" fillId="7" borderId="0" xfId="0" applyFont="1" applyFill="1"/>
    <xf numFmtId="0" fontId="5" fillId="7" borderId="0" xfId="0" applyFont="1" applyFill="1" applyBorder="1"/>
    <xf numFmtId="0" fontId="5" fillId="7" borderId="0" xfId="0" applyFont="1" applyFill="1" applyBorder="1" applyAlignment="1" applyProtection="1">
      <alignment horizontal="centerContinuous"/>
      <protection locked="0"/>
    </xf>
    <xf numFmtId="0" fontId="4" fillId="7" borderId="0" xfId="0" applyFont="1" applyFill="1" applyBorder="1" applyAlignment="1">
      <alignment horizontal="centerContinuous"/>
    </xf>
    <xf numFmtId="0" fontId="4" fillId="7" borderId="1" xfId="0" applyFont="1" applyFill="1" applyBorder="1"/>
    <xf numFmtId="0" fontId="5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3" fillId="7" borderId="0" xfId="0" applyFont="1" applyFill="1"/>
    <xf numFmtId="0" fontId="4" fillId="7" borderId="0" xfId="0" applyFont="1" applyFill="1" applyAlignment="1">
      <alignment horizontal="center"/>
    </xf>
    <xf numFmtId="2" fontId="13" fillId="7" borderId="0" xfId="0" applyNumberFormat="1" applyFont="1" applyFill="1" applyAlignment="1">
      <alignment horizontal="center"/>
    </xf>
    <xf numFmtId="189" fontId="4" fillId="7" borderId="0" xfId="1" applyNumberFormat="1" applyFont="1" applyFill="1"/>
    <xf numFmtId="11" fontId="13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/>
    </xf>
    <xf numFmtId="1" fontId="13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left"/>
    </xf>
    <xf numFmtId="188" fontId="13" fillId="7" borderId="0" xfId="0" applyNumberFormat="1" applyFont="1" applyFill="1" applyAlignment="1">
      <alignment horizontal="center"/>
    </xf>
    <xf numFmtId="43" fontId="4" fillId="7" borderId="0" xfId="1" applyFont="1" applyFill="1"/>
    <xf numFmtId="188" fontId="4" fillId="7" borderId="0" xfId="0" applyNumberFormat="1" applyFont="1" applyFill="1" applyAlignment="1">
      <alignment horizontal="center"/>
    </xf>
    <xf numFmtId="2" fontId="4" fillId="7" borderId="0" xfId="0" applyNumberFormat="1" applyFont="1" applyFill="1" applyAlignment="1">
      <alignment horizontal="center"/>
    </xf>
    <xf numFmtId="188" fontId="4" fillId="7" borderId="0" xfId="0" applyNumberFormat="1" applyFont="1" applyFill="1"/>
    <xf numFmtId="188" fontId="4" fillId="7" borderId="0" xfId="0" applyNumberFormat="1" applyFont="1" applyFill="1" applyBorder="1"/>
    <xf numFmtId="0" fontId="4" fillId="7" borderId="0" xfId="0" applyFont="1" applyFill="1" applyBorder="1" applyAlignment="1">
      <alignment horizontal="right"/>
    </xf>
    <xf numFmtId="1" fontId="4" fillId="7" borderId="0" xfId="0" applyNumberFormat="1" applyFont="1" applyFill="1" applyBorder="1" applyAlignment="1">
      <alignment horizontal="center"/>
    </xf>
    <xf numFmtId="0" fontId="9" fillId="7" borderId="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188" fontId="4" fillId="7" borderId="0" xfId="0" applyNumberFormat="1" applyFont="1" applyFill="1" applyBorder="1" applyAlignment="1">
      <alignment horizontal="center"/>
    </xf>
    <xf numFmtId="189" fontId="9" fillId="7" borderId="0" xfId="1" applyNumberFormat="1" applyFont="1" applyFill="1" applyBorder="1" applyAlignment="1">
      <alignment horizontal="right"/>
    </xf>
    <xf numFmtId="0" fontId="22" fillId="7" borderId="0" xfId="0" applyFont="1" applyFill="1" applyAlignment="1">
      <alignment horizontal="left"/>
    </xf>
    <xf numFmtId="1" fontId="4" fillId="7" borderId="0" xfId="0" applyNumberFormat="1" applyFont="1" applyFill="1"/>
    <xf numFmtId="0" fontId="13" fillId="7" borderId="0" xfId="0" applyFont="1" applyFill="1"/>
    <xf numFmtId="0" fontId="23" fillId="7" borderId="0" xfId="2" applyNumberFormat="1" applyFont="1" applyFill="1" applyAlignment="1">
      <alignment vertical="center"/>
    </xf>
    <xf numFmtId="0" fontId="23" fillId="7" borderId="0" xfId="2" quotePrefix="1" applyNumberFormat="1" applyFont="1" applyFill="1" applyAlignment="1">
      <alignment vertical="center"/>
    </xf>
    <xf numFmtId="0" fontId="24" fillId="7" borderId="0" xfId="2" applyNumberFormat="1" applyFont="1" applyFill="1" applyAlignment="1" applyProtection="1">
      <alignment horizontal="left" vertical="center"/>
    </xf>
    <xf numFmtId="0" fontId="25" fillId="7" borderId="0" xfId="2" applyNumberFormat="1" applyFont="1" applyFill="1" applyAlignment="1" applyProtection="1">
      <alignment vertical="center"/>
    </xf>
    <xf numFmtId="0" fontId="23" fillId="7" borderId="0" xfId="2" applyNumberFormat="1" applyFont="1" applyFill="1" applyAlignment="1" applyProtection="1">
      <alignment horizontal="left" vertical="center"/>
    </xf>
    <xf numFmtId="0" fontId="29" fillId="7" borderId="0" xfId="2" applyNumberFormat="1" applyFont="1" applyFill="1" applyAlignment="1">
      <alignment vertical="center"/>
    </xf>
    <xf numFmtId="0" fontId="23" fillId="7" borderId="0" xfId="2" applyNumberFormat="1" applyFont="1" applyFill="1" applyAlignment="1" applyProtection="1">
      <alignment horizontal="right" vertical="center"/>
    </xf>
    <xf numFmtId="11" fontId="25" fillId="7" borderId="0" xfId="3" applyNumberFormat="1" applyFont="1" applyFill="1" applyAlignment="1">
      <alignment vertical="center"/>
    </xf>
    <xf numFmtId="0" fontId="21" fillId="7" borderId="0" xfId="0" applyFont="1" applyFill="1"/>
    <xf numFmtId="0" fontId="20" fillId="7" borderId="0" xfId="0" applyFont="1" applyFill="1"/>
    <xf numFmtId="0" fontId="20" fillId="7" borderId="0" xfId="0" applyFont="1" applyFill="1" applyBorder="1"/>
    <xf numFmtId="0" fontId="4" fillId="7" borderId="0" xfId="0" applyFont="1" applyFill="1" applyAlignment="1"/>
    <xf numFmtId="0" fontId="21" fillId="7" borderId="0" xfId="0" applyFont="1" applyFill="1" applyAlignment="1"/>
    <xf numFmtId="0" fontId="4" fillId="7" borderId="0" xfId="2" applyNumberFormat="1" applyFont="1" applyFill="1" applyAlignment="1" applyProtection="1">
      <alignment horizontal="right"/>
    </xf>
    <xf numFmtId="188" fontId="4" fillId="7" borderId="0" xfId="2" applyNumberFormat="1" applyFont="1" applyFill="1" applyAlignment="1" applyProtection="1">
      <alignment horizontal="right"/>
    </xf>
    <xf numFmtId="0" fontId="4" fillId="7" borderId="0" xfId="2" applyNumberFormat="1" applyFont="1" applyFill="1" applyAlignment="1" applyProtection="1">
      <alignment horizontal="left"/>
    </xf>
    <xf numFmtId="2" fontId="4" fillId="7" borderId="0" xfId="2" applyNumberFormat="1" applyFont="1" applyFill="1" applyAlignment="1" applyProtection="1">
      <alignment horizontal="right"/>
    </xf>
    <xf numFmtId="189" fontId="4" fillId="7" borderId="0" xfId="1" applyNumberFormat="1" applyFont="1" applyFill="1" applyBorder="1" applyAlignment="1">
      <alignment horizontal="center"/>
    </xf>
    <xf numFmtId="0" fontId="4" fillId="7" borderId="0" xfId="0" applyFont="1" applyFill="1" applyAlignment="1">
      <alignment horizontal="right"/>
    </xf>
    <xf numFmtId="2" fontId="4" fillId="7" borderId="0" xfId="0" applyNumberFormat="1" applyFont="1" applyFill="1"/>
    <xf numFmtId="0" fontId="22" fillId="7" borderId="0" xfId="0" applyFont="1" applyFill="1"/>
    <xf numFmtId="1" fontId="27" fillId="7" borderId="0" xfId="0" applyNumberFormat="1" applyFont="1" applyFill="1"/>
    <xf numFmtId="0" fontId="22" fillId="7" borderId="0" xfId="0" applyFont="1" applyFill="1" applyAlignment="1">
      <alignment horizontal="center"/>
    </xf>
    <xf numFmtId="189" fontId="4" fillId="7" borderId="0" xfId="0" applyNumberFormat="1" applyFont="1" applyFill="1"/>
    <xf numFmtId="190" fontId="4" fillId="7" borderId="0" xfId="0" applyNumberFormat="1" applyFont="1" applyFill="1" applyAlignment="1">
      <alignment horizontal="right"/>
    </xf>
    <xf numFmtId="0" fontId="28" fillId="7" borderId="0" xfId="0" applyFont="1" applyFill="1"/>
    <xf numFmtId="0" fontId="28" fillId="7" borderId="0" xfId="0" applyFont="1" applyFill="1" applyAlignment="1">
      <alignment horizontal="center"/>
    </xf>
    <xf numFmtId="0" fontId="13" fillId="7" borderId="0" xfId="0" applyFont="1" applyFill="1" applyAlignment="1">
      <alignment horizontal="right"/>
    </xf>
    <xf numFmtId="43" fontId="13" fillId="7" borderId="0" xfId="0" applyNumberFormat="1" applyFont="1" applyFill="1"/>
    <xf numFmtId="189" fontId="13" fillId="7" borderId="0" xfId="0" applyNumberFormat="1" applyFont="1" applyFill="1" applyAlignment="1">
      <alignment horizontal="center"/>
    </xf>
    <xf numFmtId="189" fontId="13" fillId="7" borderId="0" xfId="0" applyNumberFormat="1" applyFont="1" applyFill="1"/>
    <xf numFmtId="189" fontId="4" fillId="7" borderId="0" xfId="0" applyNumberFormat="1" applyFont="1" applyFill="1" applyAlignment="1">
      <alignment horizontal="center"/>
    </xf>
    <xf numFmtId="43" fontId="4" fillId="7" borderId="0" xfId="0" applyNumberFormat="1" applyFont="1" applyFill="1"/>
    <xf numFmtId="0" fontId="26" fillId="6" borderId="0" xfId="0" applyFont="1" applyFill="1"/>
    <xf numFmtId="0" fontId="22" fillId="7" borderId="0" xfId="0" applyFont="1" applyFill="1" applyAlignment="1">
      <alignment horizontal="right"/>
    </xf>
    <xf numFmtId="1" fontId="27" fillId="7" borderId="0" xfId="0" applyNumberFormat="1" applyFont="1" applyFill="1" applyAlignment="1">
      <alignment horizontal="right"/>
    </xf>
    <xf numFmtId="191" fontId="4" fillId="7" borderId="0" xfId="0" applyNumberFormat="1" applyFont="1" applyFill="1"/>
    <xf numFmtId="0" fontId="32" fillId="7" borderId="0" xfId="0" applyFont="1" applyFill="1" applyAlignment="1">
      <alignment horizontal="left"/>
    </xf>
    <xf numFmtId="0" fontId="16" fillId="5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_Sheet2_Calculation for Crossbeam CCB2B Line 98" xfId="3"/>
    <cellStyle name="ปกติ_boat" xfId="2"/>
  </cellStyles>
  <dxfs count="0"/>
  <tableStyles count="0" defaultTableStyle="TableStyleMedium9" defaultPivotStyle="PivotStyleLight16"/>
  <colors>
    <mruColors>
      <color rgb="FFFFFF99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104775</xdr:rowOff>
    </xdr:from>
    <xdr:to>
      <xdr:col>14</xdr:col>
      <xdr:colOff>352425</xdr:colOff>
      <xdr:row>11</xdr:row>
      <xdr:rowOff>9525</xdr:rowOff>
    </xdr:to>
    <xdr:pic>
      <xdr:nvPicPr>
        <xdr:cNvPr id="2" name="Picture 1" descr="RectangularTub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6548"/>
        <a:stretch>
          <a:fillRect/>
        </a:stretch>
      </xdr:blipFill>
      <xdr:spPr bwMode="auto">
        <a:xfrm>
          <a:off x="7419975" y="104775"/>
          <a:ext cx="1704975" cy="1685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1</xdr:row>
      <xdr:rowOff>47625</xdr:rowOff>
    </xdr:from>
    <xdr:to>
      <xdr:col>20</xdr:col>
      <xdr:colOff>133350</xdr:colOff>
      <xdr:row>16</xdr:row>
      <xdr:rowOff>85725</xdr:rowOff>
    </xdr:to>
    <xdr:pic>
      <xdr:nvPicPr>
        <xdr:cNvPr id="2" name="Picture 1" descr="LightLipChann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09550"/>
          <a:ext cx="3514725" cy="2466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X63"/>
  <sheetViews>
    <sheetView tabSelected="1" view="pageBreakPreview" zoomScaleSheetLayoutView="100" workbookViewId="0">
      <selection activeCell="T19" sqref="T18:U19"/>
    </sheetView>
  </sheetViews>
  <sheetFormatPr defaultRowHeight="12.75"/>
  <cols>
    <col min="1" max="1" width="3.28515625" style="62" customWidth="1"/>
    <col min="2" max="2" width="4.5703125" style="62" customWidth="1"/>
    <col min="3" max="3" width="3.5703125" style="62" customWidth="1"/>
    <col min="4" max="4" width="2.7109375" style="62" customWidth="1"/>
    <col min="5" max="5" width="9.42578125" style="62" customWidth="1"/>
    <col min="6" max="6" width="8.85546875" style="70" customWidth="1"/>
    <col min="7" max="7" width="6.5703125" style="62" customWidth="1"/>
    <col min="8" max="8" width="7.85546875" style="62" customWidth="1"/>
    <col min="9" max="9" width="11.85546875" style="62" customWidth="1"/>
    <col min="10" max="11" width="7.7109375" style="62" customWidth="1"/>
    <col min="12" max="12" width="6.42578125" style="62" customWidth="1"/>
    <col min="13" max="13" width="8.42578125" style="62" customWidth="1"/>
    <col min="14" max="14" width="8.140625" style="62" bestFit="1" customWidth="1"/>
    <col min="15" max="15" width="4" style="62" bestFit="1" customWidth="1"/>
    <col min="16" max="16" width="2.28515625" style="62" customWidth="1"/>
    <col min="17" max="17" width="10.42578125" style="62" bestFit="1" customWidth="1"/>
    <col min="18" max="18" width="10" style="62" bestFit="1" customWidth="1"/>
    <col min="19" max="16384" width="9.140625" style="62"/>
  </cols>
  <sheetData>
    <row r="1" spans="1:16" ht="15.75">
      <c r="A1" s="58" t="s">
        <v>14</v>
      </c>
      <c r="B1" s="59"/>
      <c r="C1" s="59"/>
      <c r="D1" s="59"/>
      <c r="E1" s="59"/>
      <c r="F1" s="60"/>
      <c r="G1" s="59"/>
      <c r="H1" s="59"/>
      <c r="I1" s="58" t="s">
        <v>161</v>
      </c>
      <c r="J1" s="61"/>
      <c r="K1" s="59"/>
      <c r="L1" s="59"/>
      <c r="M1" s="59"/>
      <c r="N1" s="59"/>
      <c r="O1" s="59"/>
      <c r="P1" s="59"/>
    </row>
    <row r="2" spans="1:16">
      <c r="A2" s="59" t="s">
        <v>8</v>
      </c>
      <c r="B2" s="59"/>
      <c r="C2" s="63"/>
      <c r="D2" s="63"/>
      <c r="E2" s="63"/>
      <c r="F2" s="60"/>
      <c r="G2" s="59"/>
      <c r="H2" s="59"/>
      <c r="I2" s="59" t="s">
        <v>9</v>
      </c>
      <c r="J2" s="64"/>
      <c r="K2" s="65"/>
      <c r="L2" s="59"/>
      <c r="M2" s="59"/>
      <c r="N2" s="59"/>
      <c r="O2" s="59"/>
      <c r="P2" s="59"/>
    </row>
    <row r="3" spans="1:16">
      <c r="A3" s="66"/>
      <c r="B3" s="66"/>
      <c r="C3" s="67"/>
      <c r="D3" s="67"/>
      <c r="E3" s="67"/>
      <c r="F3" s="68"/>
      <c r="G3" s="66"/>
      <c r="H3" s="66"/>
      <c r="I3" s="66"/>
      <c r="J3" s="67"/>
      <c r="K3" s="66"/>
      <c r="L3" s="66"/>
      <c r="M3" s="66"/>
      <c r="N3" s="66"/>
      <c r="O3" s="66"/>
      <c r="P3" s="59"/>
    </row>
    <row r="4" spans="1:16" ht="3.75" customHeight="1">
      <c r="A4" s="59"/>
      <c r="B4" s="59"/>
      <c r="C4" s="63"/>
      <c r="D4" s="63"/>
      <c r="E4" s="63"/>
      <c r="F4" s="60"/>
      <c r="G4" s="59"/>
      <c r="H4" s="59"/>
      <c r="I4" s="59"/>
      <c r="J4" s="63"/>
      <c r="K4" s="59"/>
      <c r="L4" s="59"/>
      <c r="M4" s="59"/>
      <c r="N4" s="59"/>
      <c r="O4" s="59"/>
      <c r="P4" s="59"/>
    </row>
    <row r="5" spans="1:16">
      <c r="A5" s="69" t="s">
        <v>6</v>
      </c>
      <c r="B5" s="69"/>
      <c r="C5" s="69"/>
      <c r="D5" s="69"/>
      <c r="E5" s="69"/>
      <c r="J5" s="69" t="s">
        <v>7</v>
      </c>
      <c r="P5" s="59"/>
    </row>
    <row r="6" spans="1:16" ht="14.25">
      <c r="A6" s="62" t="s">
        <v>22</v>
      </c>
      <c r="F6" s="62"/>
      <c r="G6" s="71">
        <v>2</v>
      </c>
      <c r="H6" s="62" t="s">
        <v>1</v>
      </c>
      <c r="I6" s="72"/>
      <c r="J6" s="62" t="s">
        <v>2</v>
      </c>
      <c r="M6" s="70" t="s">
        <v>3</v>
      </c>
      <c r="N6" s="73">
        <v>2100000</v>
      </c>
      <c r="O6" s="62" t="s">
        <v>143</v>
      </c>
      <c r="P6" s="59"/>
    </row>
    <row r="7" spans="1:16" ht="14.25" customHeight="1">
      <c r="A7" s="62" t="s">
        <v>34</v>
      </c>
      <c r="F7" s="62"/>
      <c r="G7" s="71">
        <v>0.35</v>
      </c>
      <c r="H7" s="62" t="s">
        <v>1</v>
      </c>
      <c r="I7" s="72"/>
      <c r="J7" s="62" t="s">
        <v>15</v>
      </c>
      <c r="K7" s="74"/>
      <c r="M7" s="70" t="s">
        <v>18</v>
      </c>
      <c r="N7" s="75">
        <v>2500</v>
      </c>
      <c r="O7" s="62" t="s">
        <v>143</v>
      </c>
      <c r="P7" s="59"/>
    </row>
    <row r="8" spans="1:16" ht="15">
      <c r="A8" s="62" t="s">
        <v>21</v>
      </c>
      <c r="F8" s="62"/>
      <c r="G8" s="76">
        <v>50</v>
      </c>
      <c r="H8" s="62" t="s">
        <v>4</v>
      </c>
      <c r="I8" s="72"/>
      <c r="J8" s="77" t="s">
        <v>16</v>
      </c>
      <c r="M8" s="70" t="s">
        <v>119</v>
      </c>
      <c r="N8" s="75">
        <f>N7*0.6</f>
        <v>1500</v>
      </c>
      <c r="O8" s="62" t="s">
        <v>143</v>
      </c>
      <c r="P8" s="59"/>
    </row>
    <row r="9" spans="1:16" ht="12.75" customHeight="1">
      <c r="A9" s="62" t="s">
        <v>20</v>
      </c>
      <c r="F9" s="62"/>
      <c r="G9" s="76">
        <v>50</v>
      </c>
      <c r="H9" s="62" t="s">
        <v>4</v>
      </c>
      <c r="I9" s="72"/>
      <c r="J9" s="77" t="s">
        <v>17</v>
      </c>
      <c r="M9" s="70" t="s">
        <v>19</v>
      </c>
      <c r="N9" s="75">
        <f>N7*0.4</f>
        <v>1000</v>
      </c>
      <c r="O9" s="62" t="s">
        <v>143</v>
      </c>
      <c r="P9" s="59"/>
    </row>
    <row r="10" spans="1:16" ht="15">
      <c r="A10" s="62" t="s">
        <v>152</v>
      </c>
      <c r="F10" s="62"/>
      <c r="G10" s="76">
        <v>50</v>
      </c>
      <c r="H10" s="62" t="s">
        <v>4</v>
      </c>
      <c r="I10" s="72"/>
      <c r="P10" s="59"/>
    </row>
    <row r="11" spans="1:16" ht="12.75" customHeight="1">
      <c r="A11" s="62" t="s">
        <v>23</v>
      </c>
      <c r="F11" s="62"/>
      <c r="G11" s="78">
        <v>25</v>
      </c>
      <c r="H11" s="62" t="s">
        <v>120</v>
      </c>
      <c r="I11" s="79"/>
      <c r="P11" s="59"/>
    </row>
    <row r="12" spans="1:16" ht="12.75" customHeight="1">
      <c r="F12" s="62"/>
      <c r="G12" s="78"/>
      <c r="I12" s="79"/>
      <c r="P12" s="59"/>
    </row>
    <row r="13" spans="1:16" ht="12.75" customHeight="1">
      <c r="F13" s="80"/>
      <c r="H13" s="70"/>
      <c r="I13" s="79"/>
      <c r="P13" s="59"/>
    </row>
    <row r="14" spans="1:16">
      <c r="A14" s="69" t="s">
        <v>24</v>
      </c>
      <c r="B14" s="69"/>
      <c r="C14" s="69"/>
      <c r="D14" s="69"/>
      <c r="E14" s="69"/>
      <c r="F14" s="81"/>
      <c r="H14" s="70"/>
      <c r="I14" s="82"/>
    </row>
    <row r="15" spans="1:16">
      <c r="B15" s="83">
        <v>2.1</v>
      </c>
      <c r="C15" s="59" t="s">
        <v>28</v>
      </c>
      <c r="D15" s="59"/>
      <c r="E15" s="59"/>
      <c r="F15" s="59"/>
      <c r="G15" s="84" t="s">
        <v>27</v>
      </c>
      <c r="H15" s="85">
        <f>SUM(G8:G9)*G7</f>
        <v>35</v>
      </c>
      <c r="I15" s="62" t="s">
        <v>5</v>
      </c>
    </row>
    <row r="16" spans="1:16" ht="15">
      <c r="B16" s="83">
        <v>2.2000000000000002</v>
      </c>
      <c r="C16" s="59" t="s">
        <v>153</v>
      </c>
      <c r="D16" s="59"/>
      <c r="E16" s="59"/>
      <c r="H16" s="78">
        <f>((2*G10*SIN(G11*3.14/180))/(1+(SIN(G11*3.14/180))^2))*G7</f>
        <v>12.545961229081694</v>
      </c>
      <c r="I16" s="62" t="s">
        <v>5</v>
      </c>
    </row>
    <row r="17" spans="1:23" ht="10.5" customHeight="1">
      <c r="A17" s="59"/>
      <c r="F17" s="60"/>
      <c r="G17" s="84"/>
      <c r="M17" s="86"/>
    </row>
    <row r="18" spans="1:23">
      <c r="A18" s="87"/>
      <c r="C18" s="59" t="s">
        <v>25</v>
      </c>
      <c r="D18" s="60" t="s">
        <v>27</v>
      </c>
      <c r="E18" s="59" t="str">
        <f>H15&amp;""&amp;" "&amp;""&amp;"cos"&amp;""&amp;G11&amp;""&amp;"+"&amp;""&amp;""&amp;"Wd"</f>
        <v>35 cos25+Wd</v>
      </c>
      <c r="F18" s="59"/>
      <c r="G18" s="84" t="s">
        <v>27</v>
      </c>
      <c r="H18" s="88">
        <f>H15*COS(G11*3.14/180)+H16</f>
        <v>44.270004937785892</v>
      </c>
      <c r="I18" s="62" t="s">
        <v>5</v>
      </c>
      <c r="J18" s="84" t="s">
        <v>126</v>
      </c>
      <c r="K18" s="89">
        <f>H18*G6/2</f>
        <v>44.270004937785892</v>
      </c>
      <c r="L18" s="62" t="s">
        <v>127</v>
      </c>
    </row>
    <row r="19" spans="1:23">
      <c r="A19" s="90"/>
      <c r="C19" s="59" t="s">
        <v>26</v>
      </c>
      <c r="D19" s="60" t="s">
        <v>27</v>
      </c>
      <c r="E19" s="59" t="str">
        <f>H15&amp;""&amp;" "&amp;""&amp;"sin"&amp;""&amp;G11</f>
        <v>35 sin25</v>
      </c>
      <c r="F19" s="59"/>
      <c r="G19" s="84" t="s">
        <v>27</v>
      </c>
      <c r="H19" s="88">
        <f>H15*SIN(G11*3.14/180)</f>
        <v>14.784622104342931</v>
      </c>
      <c r="I19" s="62" t="s">
        <v>5</v>
      </c>
      <c r="J19" s="84" t="s">
        <v>125</v>
      </c>
      <c r="K19" s="89">
        <f>IF(H22="-",H19*G6/2,H19*G6/4)</f>
        <v>14.784622104342931</v>
      </c>
      <c r="L19" s="62" t="s">
        <v>127</v>
      </c>
    </row>
    <row r="20" spans="1:23" ht="12.75" customHeight="1">
      <c r="A20" s="87"/>
      <c r="B20" s="59"/>
      <c r="C20" s="60" t="s">
        <v>29</v>
      </c>
      <c r="D20" s="60" t="s">
        <v>27</v>
      </c>
      <c r="E20" s="59" t="s">
        <v>31</v>
      </c>
      <c r="F20" s="59"/>
      <c r="G20" s="84" t="s">
        <v>27</v>
      </c>
      <c r="H20" s="88">
        <f>H18*G6^2/8</f>
        <v>22.135002468892946</v>
      </c>
      <c r="I20" s="62" t="s">
        <v>33</v>
      </c>
      <c r="J20" s="59"/>
      <c r="K20" s="59"/>
      <c r="L20" s="59"/>
      <c r="N20" s="91"/>
      <c r="O20" s="91"/>
      <c r="Q20" s="92" t="s">
        <v>122</v>
      </c>
      <c r="R20" s="92">
        <v>2</v>
      </c>
      <c r="S20" s="93"/>
      <c r="T20" s="94"/>
      <c r="U20" s="93"/>
      <c r="V20" s="95"/>
      <c r="W20" s="93"/>
    </row>
    <row r="21" spans="1:23" ht="15">
      <c r="C21" s="60" t="s">
        <v>30</v>
      </c>
      <c r="D21" s="60" t="s">
        <v>27</v>
      </c>
      <c r="E21" s="59" t="s">
        <v>32</v>
      </c>
      <c r="F21" s="59"/>
      <c r="G21" s="84" t="s">
        <v>27</v>
      </c>
      <c r="H21" s="88">
        <f>IF(R20=2,H19*G6^2/8,"-")</f>
        <v>7.3923110521714657</v>
      </c>
      <c r="I21" s="62" t="s">
        <v>33</v>
      </c>
      <c r="J21" s="59"/>
      <c r="K21" s="59"/>
      <c r="Q21" s="92" t="s">
        <v>123</v>
      </c>
      <c r="R21" s="92"/>
      <c r="S21" s="93"/>
      <c r="T21" s="93"/>
      <c r="U21" s="93"/>
      <c r="V21" s="96"/>
      <c r="W21" s="97"/>
    </row>
    <row r="22" spans="1:23" ht="15">
      <c r="C22" s="60"/>
      <c r="D22" s="60"/>
      <c r="E22" s="59" t="s">
        <v>121</v>
      </c>
      <c r="F22" s="59"/>
      <c r="G22" s="84" t="s">
        <v>27</v>
      </c>
      <c r="H22" s="88" t="str">
        <f>IF(R20=1,H19*G6^2/32,"-")</f>
        <v>-</v>
      </c>
      <c r="I22" s="62" t="s">
        <v>132</v>
      </c>
      <c r="J22" s="59"/>
      <c r="K22" s="59"/>
      <c r="Q22" s="98"/>
      <c r="R22" s="99"/>
      <c r="S22" s="93"/>
      <c r="T22" s="93"/>
      <c r="U22" s="93"/>
      <c r="V22" s="96"/>
      <c r="W22" s="97"/>
    </row>
    <row r="23" spans="1:23" ht="15">
      <c r="C23" s="84" t="s">
        <v>156</v>
      </c>
      <c r="D23" s="60" t="s">
        <v>27</v>
      </c>
      <c r="E23" s="59" t="s">
        <v>157</v>
      </c>
      <c r="F23" s="59"/>
      <c r="G23" s="84" t="s">
        <v>27</v>
      </c>
      <c r="H23" s="88">
        <f>H20*100/N8</f>
        <v>1.4756668312595296</v>
      </c>
      <c r="I23" s="108" t="s">
        <v>110</v>
      </c>
      <c r="J23" s="59"/>
      <c r="K23" s="59"/>
      <c r="Q23" s="93"/>
      <c r="R23" s="99"/>
      <c r="S23" s="93"/>
      <c r="T23" s="93"/>
      <c r="U23" s="93"/>
      <c r="V23" s="96"/>
      <c r="W23" s="97"/>
    </row>
    <row r="24" spans="1:23">
      <c r="D24" s="60"/>
      <c r="E24" s="59"/>
      <c r="F24" s="59"/>
      <c r="G24" s="59"/>
      <c r="H24" s="59"/>
      <c r="I24" s="59"/>
      <c r="J24" s="59"/>
      <c r="K24" s="59"/>
      <c r="Q24" s="93"/>
      <c r="R24" s="99"/>
      <c r="S24" s="93"/>
      <c r="T24" s="93"/>
      <c r="U24" s="93"/>
      <c r="V24" s="100"/>
      <c r="W24" s="97"/>
    </row>
    <row r="25" spans="1:23" ht="15" customHeight="1">
      <c r="A25" s="69" t="s">
        <v>118</v>
      </c>
      <c r="D25" s="59"/>
      <c r="E25" s="59"/>
      <c r="G25" s="59"/>
      <c r="H25" s="59"/>
      <c r="I25" s="59"/>
      <c r="K25" s="59"/>
      <c r="Q25" s="93"/>
      <c r="R25" s="99"/>
      <c r="S25" s="93"/>
      <c r="T25" s="93"/>
      <c r="U25" s="93"/>
      <c r="V25" s="96"/>
      <c r="W25" s="93"/>
    </row>
    <row r="26" spans="1:23" ht="15" customHeight="1">
      <c r="A26" s="101"/>
      <c r="B26" s="126" t="s">
        <v>107</v>
      </c>
      <c r="C26" s="57" t="str">
        <f>IF($G$26=1,(VLOOKUP($I$26,'Light Lip'!$A$23:$S$58,2,FALSE)),VLOOKUP($G$26,Rect!$A$17:$N$44,2,FALSE))</f>
        <v xml:space="preserve"> C 100x50x20x4.5</v>
      </c>
      <c r="D26" s="56"/>
      <c r="E26" s="55"/>
      <c r="G26" s="102">
        <v>1</v>
      </c>
      <c r="H26" s="103"/>
      <c r="I26" s="102">
        <v>30</v>
      </c>
      <c r="J26" s="59"/>
      <c r="K26" s="59"/>
    </row>
    <row r="27" spans="1:23" ht="15">
      <c r="A27" s="104"/>
      <c r="B27" s="104"/>
      <c r="C27" s="104"/>
      <c r="D27" s="105"/>
      <c r="E27" s="106" t="s">
        <v>111</v>
      </c>
      <c r="F27" s="107">
        <f>IF($G$26=1,(VLOOKUP($I$26,'Light Lip'!$A$23:$S$58,5,FALSE)),VLOOKUP($G$26,Rect!$A$17:$N$44,5,FALSE))/10</f>
        <v>5</v>
      </c>
      <c r="G27" s="108" t="s">
        <v>96</v>
      </c>
      <c r="H27" s="104"/>
      <c r="I27" s="104"/>
      <c r="J27" s="106" t="s">
        <v>114</v>
      </c>
      <c r="K27" s="107">
        <f>IF($G$26=1,(VLOOKUP($I$26,'Light Lip'!$A$23:$S$58,12,FALSE)),VLOOKUP($G$26,Rect!$A$17:$N$44,9,FALSE))</f>
        <v>139</v>
      </c>
      <c r="L27" s="108" t="s">
        <v>109</v>
      </c>
    </row>
    <row r="28" spans="1:23" ht="15">
      <c r="A28" s="104"/>
      <c r="B28" s="104"/>
      <c r="C28" s="105"/>
      <c r="D28" s="105"/>
      <c r="E28" s="106" t="s">
        <v>112</v>
      </c>
      <c r="F28" s="107">
        <f>IF($G$26=1,(VLOOKUP($I$26,'Light Lip'!$A$23:$S$58,4,FALSE)),VLOOKUP($G$26,Rect!$A$17:$N$44,4,FALSE))/10</f>
        <v>10</v>
      </c>
      <c r="G28" s="108" t="s">
        <v>96</v>
      </c>
      <c r="H28" s="104"/>
      <c r="I28" s="104"/>
      <c r="J28" s="106" t="s">
        <v>98</v>
      </c>
      <c r="K28" s="107">
        <f>IF($G$26=1,(VLOOKUP($I$26,'Light Lip'!$A$23:$S$58,13,FALSE)),VLOOKUP($G$26,Rect!$A$17:$N$44,10,FALSE))</f>
        <v>30.9</v>
      </c>
      <c r="L28" s="108" t="s">
        <v>109</v>
      </c>
    </row>
    <row r="29" spans="1:23" ht="15">
      <c r="A29" s="104"/>
      <c r="B29" s="104"/>
      <c r="C29" s="105"/>
      <c r="D29" s="105"/>
      <c r="E29" s="106" t="s">
        <v>136</v>
      </c>
      <c r="F29" s="109">
        <f>IF($G$26=1,(VLOOKUP($I$26,'Light Lip'!$A$23:$S$58,7,FALSE)),VLOOKUP($G$26,Rect!$A$17:$N$44,6,FALSE))/10</f>
        <v>0.45</v>
      </c>
      <c r="G29" s="108" t="s">
        <v>96</v>
      </c>
      <c r="H29" s="104"/>
      <c r="I29" s="104"/>
      <c r="J29" s="106" t="s">
        <v>116</v>
      </c>
      <c r="K29" s="107">
        <f>IF($G$26=1,(VLOOKUP($I$26,'Light Lip'!$A$23:$S$58,16,FALSE)),VLOOKUP($G$26,Rect!$A$17:$N$44,11,FALSE))</f>
        <v>27.7</v>
      </c>
      <c r="L29" s="108" t="s">
        <v>110</v>
      </c>
      <c r="M29" s="92" t="str">
        <f>IF(K29&lt;H23,"Sx not OK","OK")</f>
        <v>OK</v>
      </c>
    </row>
    <row r="30" spans="1:23" ht="15">
      <c r="A30" s="104"/>
      <c r="B30" s="104"/>
      <c r="C30" s="105"/>
      <c r="D30" s="105"/>
      <c r="E30" s="106" t="s">
        <v>135</v>
      </c>
      <c r="F30" s="109">
        <f>IF($G$26=1,(VLOOKUP($I$26,'Light Lip'!$A$23:$S$58,7,FALSE)),VLOOKUP($G$26,Rect!$A$17:$N$44,6,FALSE))/10</f>
        <v>0.45</v>
      </c>
      <c r="G30" s="108" t="s">
        <v>96</v>
      </c>
      <c r="H30" s="104"/>
      <c r="I30" s="104"/>
      <c r="J30" s="106" t="s">
        <v>117</v>
      </c>
      <c r="K30" s="107">
        <f>IF($G$26=1,(VLOOKUP($I$26,'Light Lip'!$A$23:$S$58,17,FALSE)),VLOOKUP($G$26,Rect!$A$17:$N$44,12,FALSE))</f>
        <v>9.82</v>
      </c>
      <c r="L30" s="108" t="s">
        <v>110</v>
      </c>
    </row>
    <row r="31" spans="1:23" ht="15">
      <c r="A31" s="104"/>
      <c r="B31" s="104"/>
      <c r="C31" s="104"/>
      <c r="D31" s="104"/>
      <c r="E31" s="106" t="s">
        <v>113</v>
      </c>
      <c r="F31" s="109">
        <f>IF($G$26=1,(VLOOKUP($I$26,'Light Lip'!$A$23:$S$58,8,FALSE)),VLOOKUP($G$26,Rect!$A$17:$N$44,8,FALSE))</f>
        <v>9.4689999999999994</v>
      </c>
      <c r="G31" s="108" t="s">
        <v>108</v>
      </c>
      <c r="H31" s="104"/>
      <c r="I31" s="104"/>
      <c r="J31" s="106" t="s">
        <v>134</v>
      </c>
      <c r="K31" s="107">
        <f>IF($G$26=1,(VLOOKUP($I$26,'Light Lip'!$A$23:$S$58,14,FALSE)),VLOOKUP($G$26,Rect!$A$17:$N$44,13,FALSE))</f>
        <v>3.82</v>
      </c>
      <c r="L31" s="108" t="s">
        <v>96</v>
      </c>
    </row>
    <row r="32" spans="1:23">
      <c r="I32" s="104"/>
      <c r="J32" s="106" t="s">
        <v>106</v>
      </c>
      <c r="K32" s="109">
        <f>IF($G$26=1,(VLOOKUP($I$26,'Light Lip'!$A$23:$S$58,9,FALSE)),VLOOKUP($G$26,Rect!$A$17:$N$44,7,FALSE))</f>
        <v>7.43</v>
      </c>
      <c r="L32" s="108" t="s">
        <v>97</v>
      </c>
    </row>
    <row r="33" spans="1:17">
      <c r="I33" s="104"/>
      <c r="J33" s="106"/>
      <c r="K33" s="109"/>
      <c r="L33" s="108"/>
    </row>
    <row r="34" spans="1:17">
      <c r="A34" s="69" t="s">
        <v>115</v>
      </c>
    </row>
    <row r="35" spans="1:17">
      <c r="B35" s="70">
        <v>4.0999999999999996</v>
      </c>
      <c r="C35" s="62" t="s">
        <v>151</v>
      </c>
      <c r="G35" s="84" t="s">
        <v>27</v>
      </c>
      <c r="H35" s="110">
        <f>IF(R20=1,(H20*100/K29)+(H22*100*2/K30),(H20*100/K29)+(H21*100*2/K30))</f>
        <v>230.46598944717107</v>
      </c>
      <c r="I35" s="62" t="s">
        <v>5</v>
      </c>
      <c r="J35" s="92" t="str">
        <f>IF(H35&lt;N8,"fb &lt;Fb, OK.","")</f>
        <v>fb &lt;Fb, OK.</v>
      </c>
    </row>
    <row r="36" spans="1:17">
      <c r="B36" s="70">
        <v>4.2</v>
      </c>
      <c r="C36" s="62" t="s">
        <v>124</v>
      </c>
      <c r="G36" s="111" t="s">
        <v>27</v>
      </c>
      <c r="H36" s="112">
        <f>(K19/((F27-2*F30)*F30))+(K18/((F28-2*F30)*F29))</f>
        <v>18.824091330560339</v>
      </c>
      <c r="I36" s="62" t="s">
        <v>127</v>
      </c>
      <c r="J36" s="92" t="str">
        <f>IF(H36&lt;N9,"fv &lt;Fv, OK.","")</f>
        <v>fv &lt;Fv, OK.</v>
      </c>
    </row>
    <row r="37" spans="1:17">
      <c r="G37" s="111"/>
      <c r="H37" s="92" t="str">
        <f>IF(H36&lt;N9,"","fv &gt;Fv, Section Not OK.")</f>
        <v/>
      </c>
      <c r="J37" s="92"/>
    </row>
    <row r="38" spans="1:17">
      <c r="D38" s="59"/>
      <c r="E38" s="59"/>
    </row>
    <row r="39" spans="1:17">
      <c r="A39" s="69" t="s">
        <v>128</v>
      </c>
    </row>
    <row r="40" spans="1:17">
      <c r="B40" s="62" t="s">
        <v>129</v>
      </c>
      <c r="F40" s="77" t="s">
        <v>131</v>
      </c>
      <c r="H40" s="111" t="s">
        <v>27</v>
      </c>
      <c r="I40" s="79">
        <f>G6/360*100</f>
        <v>0.55555555555555558</v>
      </c>
      <c r="J40" s="62" t="s">
        <v>0</v>
      </c>
    </row>
    <row r="41" spans="1:17" ht="15">
      <c r="B41" s="62" t="s">
        <v>130</v>
      </c>
      <c r="H41" s="111" t="s">
        <v>158</v>
      </c>
      <c r="I41" s="79">
        <f>H18*G6*(G6*100)^3/(145*N6*K27)</f>
        <v>1.6735067016445743E-2</v>
      </c>
      <c r="J41" s="62" t="s">
        <v>0</v>
      </c>
      <c r="K41" s="92" t="str">
        <f>IF(I41&lt;I40,  "OK.","Not OK")</f>
        <v>OK.</v>
      </c>
      <c r="L41" s="77" t="s">
        <v>160</v>
      </c>
    </row>
    <row r="42" spans="1:17">
      <c r="Q42" s="62">
        <f>1/0.007</f>
        <v>142.85714285714286</v>
      </c>
    </row>
    <row r="43" spans="1:17">
      <c r="A43" s="92" t="s">
        <v>149</v>
      </c>
      <c r="B43" s="90" t="s">
        <v>150</v>
      </c>
      <c r="C43" s="113"/>
      <c r="E43" s="127" t="s">
        <v>159</v>
      </c>
      <c r="F43" s="114" t="str">
        <f>C26&amp;""&amp;"mm.Thk,  "&amp;""&amp;K32&amp;" "&amp;L32</f>
        <v xml:space="preserve"> C 100x50x20x4.5mm.Thk,  7.43 kg/m</v>
      </c>
      <c r="G43" s="115"/>
      <c r="H43" s="113"/>
      <c r="I43" s="113"/>
      <c r="J43" s="92" t="s">
        <v>148</v>
      </c>
    </row>
    <row r="44" spans="1:17">
      <c r="B44" s="113"/>
      <c r="C44" s="113"/>
      <c r="E44" s="115"/>
      <c r="F44" s="114"/>
      <c r="G44" s="115"/>
      <c r="H44" s="113"/>
      <c r="I44" s="113"/>
    </row>
    <row r="46" spans="1:17">
      <c r="A46" s="69" t="s">
        <v>133</v>
      </c>
      <c r="F46" s="130" t="str">
        <f>IF(R20=1,"","*** This Case not Consider ***")</f>
        <v>*** This Case not Consider ***</v>
      </c>
    </row>
    <row r="47" spans="1:17">
      <c r="A47" s="111"/>
    </row>
    <row r="48" spans="1:17">
      <c r="A48" s="111"/>
      <c r="F48" s="111" t="s">
        <v>154</v>
      </c>
      <c r="G48" s="116">
        <f>K19*10</f>
        <v>147.84622104342932</v>
      </c>
      <c r="H48" s="62" t="s">
        <v>127</v>
      </c>
    </row>
    <row r="49" spans="1:24">
      <c r="A49" s="111"/>
      <c r="B49" s="62" t="s">
        <v>147</v>
      </c>
      <c r="F49" s="111" t="s">
        <v>146</v>
      </c>
      <c r="G49" s="117" t="str">
        <f>IF(F46="",G7*100,"X")</f>
        <v>X</v>
      </c>
      <c r="H49" s="62" t="s">
        <v>0</v>
      </c>
    </row>
    <row r="50" spans="1:24">
      <c r="B50" s="118" t="s">
        <v>142</v>
      </c>
      <c r="C50" s="118"/>
      <c r="D50" s="118"/>
      <c r="E50" s="119" t="s">
        <v>138</v>
      </c>
      <c r="F50" s="75">
        <v>15</v>
      </c>
      <c r="G50" s="118" t="s">
        <v>46</v>
      </c>
      <c r="H50" s="118" t="s">
        <v>163</v>
      </c>
    </row>
    <row r="51" spans="1:24" ht="15">
      <c r="E51" s="111" t="s">
        <v>141</v>
      </c>
      <c r="F51" s="81">
        <f>3.14*F50^2/400</f>
        <v>1.7662500000000001</v>
      </c>
      <c r="G51" s="108" t="s">
        <v>108</v>
      </c>
    </row>
    <row r="52" spans="1:24">
      <c r="A52" s="111"/>
      <c r="E52" s="111" t="s">
        <v>140</v>
      </c>
      <c r="F52" s="81">
        <f>F50/10/4</f>
        <v>0.375</v>
      </c>
      <c r="G52" s="62" t="s">
        <v>96</v>
      </c>
      <c r="H52" s="62" t="s">
        <v>139</v>
      </c>
      <c r="Q52" s="92"/>
      <c r="R52" s="92"/>
      <c r="S52" s="92"/>
      <c r="T52" s="92"/>
      <c r="U52" s="92"/>
      <c r="V52" s="92"/>
    </row>
    <row r="53" spans="1:24">
      <c r="A53" s="111"/>
      <c r="E53" s="111" t="s">
        <v>155</v>
      </c>
      <c r="F53" s="124">
        <f>G48/F51</f>
        <v>83.70628226096494</v>
      </c>
      <c r="G53" s="62" t="s">
        <v>143</v>
      </c>
      <c r="H53" s="92" t="str">
        <f>IF(N8&gt;F53,  "OK.","Not OK")</f>
        <v>OK.</v>
      </c>
      <c r="Q53" s="92"/>
      <c r="R53" s="120"/>
      <c r="S53" s="121"/>
      <c r="T53" s="92"/>
      <c r="U53" s="92"/>
      <c r="V53" s="92"/>
    </row>
    <row r="54" spans="1:24">
      <c r="A54" s="111"/>
      <c r="B54" s="62" t="s">
        <v>145</v>
      </c>
      <c r="Q54" s="92"/>
      <c r="R54" s="92"/>
      <c r="S54" s="92"/>
      <c r="T54" s="92"/>
      <c r="U54" s="92"/>
      <c r="V54" s="92"/>
    </row>
    <row r="55" spans="1:24">
      <c r="C55" s="70"/>
      <c r="D55" s="70" t="s">
        <v>137</v>
      </c>
      <c r="F55" s="111" t="s">
        <v>144</v>
      </c>
      <c r="G55" s="129" t="e">
        <f>G49/F52</f>
        <v>#VALUE!</v>
      </c>
      <c r="H55" s="92" t="e">
        <f>IF(G55&gt;300,"KL/rx &gt;300 Not Ok.","&lt; 300 ,OK")</f>
        <v>#VALUE!</v>
      </c>
      <c r="Q55" s="120"/>
      <c r="R55" s="120"/>
      <c r="S55" s="122"/>
      <c r="T55" s="92"/>
      <c r="U55" s="92"/>
      <c r="V55" s="92"/>
    </row>
    <row r="56" spans="1:24">
      <c r="Q56" s="120"/>
      <c r="R56" s="120"/>
      <c r="S56" s="123"/>
      <c r="T56" s="92"/>
      <c r="U56" s="92"/>
      <c r="V56" s="92"/>
    </row>
    <row r="57" spans="1:24">
      <c r="A57" s="92" t="s">
        <v>149</v>
      </c>
      <c r="B57" s="90" t="s">
        <v>150</v>
      </c>
      <c r="C57" s="113"/>
      <c r="E57" s="127" t="s">
        <v>162</v>
      </c>
      <c r="G57" s="128" t="str">
        <f>IF(H21="-",E50&amp;" "&amp;""&amp;F50&amp;" "&amp;G50,"No need Sag Rod")</f>
        <v>No need Sag Rod</v>
      </c>
      <c r="H57" s="113"/>
      <c r="I57" s="92" t="s">
        <v>148</v>
      </c>
      <c r="Q57" s="92"/>
      <c r="R57" s="92"/>
      <c r="S57" s="92"/>
      <c r="T57" s="92"/>
      <c r="U57" s="92"/>
      <c r="V57" s="92"/>
    </row>
    <row r="58" spans="1:24">
      <c r="U58" s="70"/>
    </row>
    <row r="59" spans="1:24">
      <c r="S59" s="70"/>
      <c r="U59" s="111"/>
      <c r="V59" s="81"/>
      <c r="W59" s="70"/>
      <c r="X59" s="77"/>
    </row>
    <row r="60" spans="1:24">
      <c r="T60" s="111"/>
      <c r="U60" s="124"/>
      <c r="W60" s="92"/>
    </row>
    <row r="61" spans="1:24">
      <c r="U61" s="70"/>
    </row>
    <row r="62" spans="1:24">
      <c r="N62" s="111"/>
      <c r="O62" s="125"/>
      <c r="T62" s="111"/>
      <c r="U62" s="124"/>
      <c r="W62" s="92"/>
    </row>
    <row r="63" spans="1:24">
      <c r="Q63" s="92"/>
      <c r="R63" s="92"/>
      <c r="S63" s="92"/>
      <c r="T63" s="92"/>
      <c r="U63" s="92"/>
      <c r="V63" s="92"/>
    </row>
  </sheetData>
  <phoneticPr fontId="2" type="noConversion"/>
  <pageMargins left="0.74803149606299213" right="0.19685039370078741" top="0.78740157480314965" bottom="0.6692913385826772" header="0.70866141732283472" footer="0.51181102362204722"/>
  <pageSetup paperSize="9" scale="91" orientation="portrait" r:id="rId1"/>
  <headerFooter alignWithMargins="0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47"/>
  <sheetViews>
    <sheetView topLeftCell="A4" workbookViewId="0">
      <selection activeCell="A18" sqref="A18"/>
    </sheetView>
  </sheetViews>
  <sheetFormatPr defaultRowHeight="12.75"/>
  <cols>
    <col min="1" max="1" width="6.28515625" style="2" customWidth="1"/>
    <col min="2" max="2" width="18.140625" style="2" customWidth="1"/>
    <col min="3" max="3" width="10.85546875" style="2" bestFit="1" customWidth="1"/>
    <col min="4" max="4" width="5.28515625" style="2" customWidth="1"/>
    <col min="5" max="5" width="4.140625" style="2" customWidth="1"/>
    <col min="6" max="6" width="9.85546875" style="2" bestFit="1" customWidth="1"/>
    <col min="7" max="7" width="11.42578125" style="2" customWidth="1"/>
    <col min="8" max="8" width="15.28515625" style="2" customWidth="1"/>
    <col min="9" max="10" width="9.7109375" style="2" customWidth="1"/>
    <col min="11" max="14" width="7.7109375" style="2" customWidth="1"/>
    <col min="15" max="16384" width="9.140625" style="2"/>
  </cols>
  <sheetData>
    <row r="1" spans="1:14">
      <c r="B1" s="1"/>
    </row>
    <row r="2" spans="1:14">
      <c r="B2" s="1"/>
    </row>
    <row r="3" spans="1:14">
      <c r="B3" s="1"/>
    </row>
    <row r="4" spans="1:14">
      <c r="B4" s="3"/>
    </row>
    <row r="5" spans="1:14">
      <c r="B5" s="3"/>
    </row>
    <row r="6" spans="1:14">
      <c r="B6" s="3"/>
    </row>
    <row r="7" spans="1:14">
      <c r="L7" s="2" t="s">
        <v>103</v>
      </c>
    </row>
    <row r="8" spans="1:14">
      <c r="B8" s="3"/>
    </row>
    <row r="10" spans="1:14">
      <c r="B10" s="3"/>
    </row>
    <row r="11" spans="1:14">
      <c r="B11" s="4"/>
    </row>
    <row r="12" spans="1:14">
      <c r="A12" s="2">
        <v>1</v>
      </c>
      <c r="B12" s="4">
        <v>2</v>
      </c>
      <c r="C12" s="2">
        <v>3</v>
      </c>
      <c r="D12" s="4">
        <v>4</v>
      </c>
      <c r="E12" s="2">
        <v>5</v>
      </c>
      <c r="F12" s="4">
        <v>6</v>
      </c>
      <c r="G12" s="2">
        <v>7</v>
      </c>
      <c r="H12" s="4">
        <v>8</v>
      </c>
      <c r="I12" s="2">
        <v>9</v>
      </c>
      <c r="J12" s="4">
        <v>10</v>
      </c>
      <c r="K12" s="2">
        <v>11</v>
      </c>
      <c r="L12" s="4">
        <v>12</v>
      </c>
      <c r="M12" s="2">
        <v>13</v>
      </c>
      <c r="N12" s="4">
        <v>14</v>
      </c>
    </row>
    <row r="13" spans="1:14">
      <c r="B13" s="133"/>
      <c r="C13" s="133"/>
      <c r="D13" s="5"/>
      <c r="E13" s="5"/>
      <c r="F13" s="133" t="s">
        <v>35</v>
      </c>
      <c r="G13" s="132" t="s">
        <v>36</v>
      </c>
      <c r="H13" s="132" t="s">
        <v>37</v>
      </c>
      <c r="I13" s="132" t="s">
        <v>38</v>
      </c>
      <c r="J13" s="132"/>
      <c r="K13" s="132" t="s">
        <v>39</v>
      </c>
      <c r="L13" s="132"/>
      <c r="M13" s="132" t="s">
        <v>40</v>
      </c>
      <c r="N13" s="132"/>
    </row>
    <row r="14" spans="1:14">
      <c r="B14" s="133"/>
      <c r="C14" s="133"/>
      <c r="D14" s="5"/>
      <c r="E14" s="5"/>
      <c r="F14" s="133"/>
      <c r="G14" s="132"/>
      <c r="H14" s="132"/>
      <c r="I14" s="132"/>
      <c r="J14" s="132"/>
      <c r="K14" s="132"/>
      <c r="L14" s="132"/>
      <c r="M14" s="132"/>
      <c r="N14" s="132"/>
    </row>
    <row r="15" spans="1:14">
      <c r="B15" s="133"/>
      <c r="C15" s="133"/>
      <c r="D15" s="5"/>
      <c r="E15" s="5"/>
      <c r="F15" s="5" t="s">
        <v>105</v>
      </c>
      <c r="G15" s="5" t="s">
        <v>41</v>
      </c>
      <c r="H15" s="5" t="s">
        <v>104</v>
      </c>
      <c r="I15" s="5" t="s">
        <v>42</v>
      </c>
      <c r="J15" s="5" t="s">
        <v>43</v>
      </c>
      <c r="K15" s="5" t="s">
        <v>44</v>
      </c>
      <c r="L15" s="5" t="s">
        <v>45</v>
      </c>
      <c r="M15" s="5" t="s">
        <v>101</v>
      </c>
      <c r="N15" s="5" t="s">
        <v>102</v>
      </c>
    </row>
    <row r="16" spans="1:14">
      <c r="B16" s="5"/>
      <c r="C16" s="5" t="s">
        <v>46</v>
      </c>
      <c r="D16" s="5"/>
      <c r="E16" s="5"/>
      <c r="F16" s="5" t="s">
        <v>46</v>
      </c>
      <c r="G16" s="5" t="s">
        <v>47</v>
      </c>
      <c r="H16" s="5" t="s">
        <v>48</v>
      </c>
      <c r="I16" s="5" t="s">
        <v>49</v>
      </c>
      <c r="J16" s="5" t="s">
        <v>49</v>
      </c>
      <c r="K16" s="5" t="s">
        <v>50</v>
      </c>
      <c r="L16" s="5" t="s">
        <v>50</v>
      </c>
      <c r="M16" s="5" t="s">
        <v>0</v>
      </c>
      <c r="N16" s="5" t="s">
        <v>0</v>
      </c>
    </row>
    <row r="17" spans="1:14">
      <c r="A17" s="2">
        <v>1</v>
      </c>
      <c r="B17" s="48"/>
      <c r="C17" s="48"/>
      <c r="D17" s="48"/>
      <c r="E17" s="48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2">
        <f>A17+1</f>
        <v>2</v>
      </c>
      <c r="B18" s="48" t="s">
        <v>94</v>
      </c>
      <c r="C18" s="48"/>
      <c r="D18" s="48" t="s">
        <v>11</v>
      </c>
      <c r="E18" s="48" t="s">
        <v>103</v>
      </c>
      <c r="F18" s="47"/>
      <c r="G18" s="47"/>
      <c r="H18" s="47"/>
      <c r="I18" s="47"/>
      <c r="J18" s="47"/>
      <c r="K18" s="47"/>
      <c r="L18" s="47"/>
      <c r="M18" s="47"/>
      <c r="N18" s="47"/>
    </row>
    <row r="19" spans="1:14">
      <c r="A19" s="2">
        <f t="shared" ref="A19:A44" si="0">A18+1</f>
        <v>3</v>
      </c>
      <c r="B19" s="19" t="str">
        <f>"Tube"&amp;C19&amp;""&amp;"x"&amp;""&amp;F19</f>
        <v>Tube  50x25x2</v>
      </c>
      <c r="C19" s="19" t="s">
        <v>86</v>
      </c>
      <c r="D19" s="21">
        <v>50</v>
      </c>
      <c r="E19" s="21">
        <v>25</v>
      </c>
      <c r="F19" s="22">
        <v>2</v>
      </c>
      <c r="G19" s="7">
        <v>2.12</v>
      </c>
      <c r="H19" s="6">
        <v>2.7</v>
      </c>
      <c r="I19" s="6">
        <v>8.17</v>
      </c>
      <c r="J19" s="6">
        <v>2.76</v>
      </c>
      <c r="K19" s="6">
        <v>3.27</v>
      </c>
      <c r="L19" s="6">
        <v>2.2000000000000002</v>
      </c>
      <c r="M19" s="6">
        <v>1.74</v>
      </c>
      <c r="N19" s="6">
        <v>1.01</v>
      </c>
    </row>
    <row r="20" spans="1:14">
      <c r="A20" s="2">
        <f t="shared" si="0"/>
        <v>4</v>
      </c>
      <c r="B20" s="19" t="str">
        <f>"Tube"&amp;C20&amp;""&amp;"x"&amp;""&amp;F20</f>
        <v>Tube  50x25x2.3</v>
      </c>
      <c r="C20" s="19" t="s">
        <v>86</v>
      </c>
      <c r="D20" s="21">
        <v>50</v>
      </c>
      <c r="E20" s="21">
        <v>25</v>
      </c>
      <c r="F20" s="22">
        <v>2.2999999999999998</v>
      </c>
      <c r="G20" s="7">
        <v>2.44</v>
      </c>
      <c r="H20" s="6">
        <v>3.1</v>
      </c>
      <c r="I20" s="6">
        <v>9.31</v>
      </c>
      <c r="J20" s="6">
        <v>3.1</v>
      </c>
      <c r="K20" s="6">
        <v>3.72</v>
      </c>
      <c r="L20" s="6">
        <v>2.48</v>
      </c>
      <c r="M20" s="6">
        <v>1.68</v>
      </c>
      <c r="N20" s="6">
        <v>0.96</v>
      </c>
    </row>
    <row r="21" spans="1:14">
      <c r="A21" s="2">
        <f t="shared" si="0"/>
        <v>5</v>
      </c>
      <c r="B21" s="19" t="str">
        <f t="shared" ref="B21:B44" si="1">"Tube"&amp;C21&amp;""&amp;"x"&amp;""&amp;F21</f>
        <v>Tube  50x25x3.2</v>
      </c>
      <c r="C21" s="19" t="s">
        <v>86</v>
      </c>
      <c r="D21" s="21">
        <v>50</v>
      </c>
      <c r="E21" s="21">
        <v>25</v>
      </c>
      <c r="F21" s="22">
        <v>3.2</v>
      </c>
      <c r="G21" s="7">
        <v>3.24</v>
      </c>
      <c r="H21" s="6">
        <v>4.13</v>
      </c>
      <c r="I21" s="6">
        <v>11.6</v>
      </c>
      <c r="J21" s="6">
        <v>3.8</v>
      </c>
      <c r="K21" s="6">
        <v>4.6500000000000004</v>
      </c>
      <c r="L21" s="6">
        <v>3.04</v>
      </c>
      <c r="M21" s="6">
        <v>1.68</v>
      </c>
      <c r="N21" s="6">
        <v>0.96</v>
      </c>
    </row>
    <row r="22" spans="1:14">
      <c r="A22" s="2">
        <f t="shared" si="0"/>
        <v>6</v>
      </c>
      <c r="B22" s="19" t="str">
        <f t="shared" si="1"/>
        <v>Tube  50x25x3.6</v>
      </c>
      <c r="C22" s="19" t="s">
        <v>86</v>
      </c>
      <c r="D22" s="21">
        <v>50</v>
      </c>
      <c r="E22" s="21">
        <v>25</v>
      </c>
      <c r="F22" s="22">
        <v>3.6</v>
      </c>
      <c r="G22" s="7">
        <v>3.48</v>
      </c>
      <c r="H22" s="6">
        <v>4.4400000000000004</v>
      </c>
      <c r="I22" s="6">
        <v>11.7</v>
      </c>
      <c r="J22" s="6">
        <v>3.86</v>
      </c>
      <c r="K22" s="6">
        <v>4.7</v>
      </c>
      <c r="L22" s="6">
        <v>3.09</v>
      </c>
      <c r="M22" s="6">
        <v>1.63</v>
      </c>
      <c r="N22" s="6">
        <v>0.93</v>
      </c>
    </row>
    <row r="23" spans="1:14">
      <c r="A23" s="2">
        <f t="shared" si="0"/>
        <v>7</v>
      </c>
      <c r="B23" s="19" t="str">
        <f t="shared" si="1"/>
        <v>Tube 75x38x2.3</v>
      </c>
      <c r="C23" s="19" t="s">
        <v>93</v>
      </c>
      <c r="D23" s="21">
        <v>75</v>
      </c>
      <c r="E23" s="21">
        <v>38</v>
      </c>
      <c r="F23" s="22">
        <v>2.2999999999999998</v>
      </c>
      <c r="G23" s="7">
        <v>3.81</v>
      </c>
      <c r="H23" s="6">
        <v>4.8499999999999996</v>
      </c>
      <c r="I23" s="6">
        <v>34.6</v>
      </c>
      <c r="J23" s="6">
        <v>12</v>
      </c>
      <c r="K23" s="6">
        <v>9.23</v>
      </c>
      <c r="L23" s="6">
        <v>6.3</v>
      </c>
      <c r="M23" s="6">
        <v>2.67</v>
      </c>
      <c r="N23" s="6">
        <v>1.57</v>
      </c>
    </row>
    <row r="24" spans="1:14">
      <c r="A24" s="2">
        <f t="shared" si="0"/>
        <v>8</v>
      </c>
      <c r="B24" s="19" t="str">
        <f t="shared" si="1"/>
        <v>Tube 75x38x3.2</v>
      </c>
      <c r="C24" s="19" t="s">
        <v>93</v>
      </c>
      <c r="D24" s="21">
        <v>75</v>
      </c>
      <c r="E24" s="21">
        <v>38</v>
      </c>
      <c r="F24" s="22">
        <v>3.2</v>
      </c>
      <c r="G24" s="7">
        <v>5.15</v>
      </c>
      <c r="H24" s="6">
        <v>5.15</v>
      </c>
      <c r="I24" s="6">
        <v>45</v>
      </c>
      <c r="J24" s="6">
        <v>15.4</v>
      </c>
      <c r="K24" s="6">
        <v>12</v>
      </c>
      <c r="L24" s="6">
        <v>8.09</v>
      </c>
      <c r="M24" s="6">
        <v>2.62</v>
      </c>
      <c r="N24" s="6">
        <v>1.53</v>
      </c>
    </row>
    <row r="25" spans="1:14">
      <c r="A25" s="2">
        <f t="shared" si="0"/>
        <v>9</v>
      </c>
      <c r="B25" s="19" t="str">
        <f t="shared" si="1"/>
        <v>Tube  75x45x1.6</v>
      </c>
      <c r="C25" s="20" t="s">
        <v>88</v>
      </c>
      <c r="D25" s="20">
        <v>75</v>
      </c>
      <c r="E25" s="20">
        <v>45</v>
      </c>
      <c r="F25" s="23">
        <v>1.6</v>
      </c>
      <c r="G25" s="7">
        <v>2.88</v>
      </c>
      <c r="H25" s="8">
        <v>3.67</v>
      </c>
      <c r="I25" s="8">
        <v>28.4</v>
      </c>
      <c r="J25" s="8">
        <v>12.9</v>
      </c>
      <c r="K25" s="8">
        <v>7.56</v>
      </c>
      <c r="L25" s="8">
        <v>5.75</v>
      </c>
      <c r="M25" s="8">
        <v>2.78</v>
      </c>
      <c r="N25" s="8">
        <v>1.88</v>
      </c>
    </row>
    <row r="26" spans="1:14">
      <c r="A26" s="2">
        <f t="shared" si="0"/>
        <v>10</v>
      </c>
      <c r="B26" s="19" t="str">
        <f t="shared" si="1"/>
        <v>Tube  75x45x2.3</v>
      </c>
      <c r="C26" s="20" t="s">
        <v>88</v>
      </c>
      <c r="D26" s="20">
        <v>75</v>
      </c>
      <c r="E26" s="20">
        <v>45</v>
      </c>
      <c r="F26" s="23">
        <v>2.2999999999999998</v>
      </c>
      <c r="G26" s="7">
        <v>4.0599999999999996</v>
      </c>
      <c r="H26" s="8">
        <v>5.17</v>
      </c>
      <c r="I26" s="8">
        <v>38.9</v>
      </c>
      <c r="J26" s="8">
        <v>17.600000000000001</v>
      </c>
      <c r="K26" s="8">
        <v>10.4</v>
      </c>
      <c r="L26" s="8">
        <v>7.82</v>
      </c>
      <c r="M26" s="8">
        <v>2.74</v>
      </c>
      <c r="N26" s="8">
        <v>1.84</v>
      </c>
    </row>
    <row r="27" spans="1:14">
      <c r="A27" s="2">
        <f t="shared" si="0"/>
        <v>11</v>
      </c>
      <c r="B27" s="19" t="str">
        <f t="shared" si="1"/>
        <v>Tube  75x45x3.2</v>
      </c>
      <c r="C27" s="20" t="s">
        <v>88</v>
      </c>
      <c r="D27" s="20">
        <v>75</v>
      </c>
      <c r="E27" s="20">
        <v>45</v>
      </c>
      <c r="F27" s="23">
        <v>3.2</v>
      </c>
      <c r="G27" s="7">
        <v>5.5</v>
      </c>
      <c r="H27" s="8">
        <v>7.01</v>
      </c>
      <c r="I27" s="8">
        <v>50.8</v>
      </c>
      <c r="J27" s="8">
        <v>22.8</v>
      </c>
      <c r="K27" s="8">
        <v>13.5</v>
      </c>
      <c r="L27" s="8">
        <v>10.1</v>
      </c>
      <c r="M27" s="8">
        <v>2.69</v>
      </c>
      <c r="N27" s="8">
        <v>1.8</v>
      </c>
    </row>
    <row r="28" spans="1:14">
      <c r="A28" s="2">
        <f t="shared" si="0"/>
        <v>12</v>
      </c>
      <c r="B28" s="19" t="str">
        <f t="shared" si="1"/>
        <v>Tube 100x50x2</v>
      </c>
      <c r="C28" s="19" t="s">
        <v>92</v>
      </c>
      <c r="D28" s="19">
        <v>100</v>
      </c>
      <c r="E28" s="19">
        <v>50</v>
      </c>
      <c r="F28" s="22">
        <v>2</v>
      </c>
      <c r="G28" s="7">
        <v>4.4800000000000004</v>
      </c>
      <c r="H28" s="6">
        <v>5.7</v>
      </c>
      <c r="I28" s="6">
        <v>74.099999999999994</v>
      </c>
      <c r="J28" s="6">
        <v>25.5</v>
      </c>
      <c r="K28" s="6">
        <v>14.8</v>
      </c>
      <c r="L28" s="6">
        <v>10.199999999999999</v>
      </c>
      <c r="M28" s="6">
        <v>3.61</v>
      </c>
      <c r="N28" s="6">
        <v>2.11</v>
      </c>
    </row>
    <row r="29" spans="1:14">
      <c r="A29" s="2">
        <f t="shared" si="0"/>
        <v>13</v>
      </c>
      <c r="B29" s="19" t="str">
        <f t="shared" si="1"/>
        <v>Tube 100x50x2.3</v>
      </c>
      <c r="C29" s="19" t="s">
        <v>92</v>
      </c>
      <c r="D29" s="19">
        <v>100</v>
      </c>
      <c r="E29" s="19">
        <v>50</v>
      </c>
      <c r="F29" s="22">
        <v>2.2999999999999998</v>
      </c>
      <c r="G29" s="7">
        <v>5.14</v>
      </c>
      <c r="H29" s="6">
        <v>6.55</v>
      </c>
      <c r="I29" s="6">
        <v>84.8</v>
      </c>
      <c r="J29" s="6">
        <v>29</v>
      </c>
      <c r="K29" s="6">
        <v>17</v>
      </c>
      <c r="L29" s="6">
        <v>11.6</v>
      </c>
      <c r="M29" s="6">
        <v>3.6</v>
      </c>
      <c r="N29" s="6">
        <v>2.1</v>
      </c>
    </row>
    <row r="30" spans="1:14">
      <c r="A30" s="2">
        <f t="shared" si="0"/>
        <v>14</v>
      </c>
      <c r="B30" s="19" t="str">
        <f t="shared" si="1"/>
        <v>Tube 100x50x3.2</v>
      </c>
      <c r="C30" s="19" t="s">
        <v>92</v>
      </c>
      <c r="D30" s="19">
        <v>100</v>
      </c>
      <c r="E30" s="19">
        <v>50</v>
      </c>
      <c r="F30" s="22">
        <v>3.2</v>
      </c>
      <c r="G30" s="7">
        <v>7.01</v>
      </c>
      <c r="H30" s="6">
        <v>8.93</v>
      </c>
      <c r="I30" s="6">
        <v>112</v>
      </c>
      <c r="J30" s="6">
        <v>38</v>
      </c>
      <c r="K30" s="6">
        <v>22.5</v>
      </c>
      <c r="L30" s="6">
        <v>15.2</v>
      </c>
      <c r="M30" s="6">
        <v>3.55</v>
      </c>
      <c r="N30" s="6">
        <v>2.06</v>
      </c>
    </row>
    <row r="31" spans="1:14">
      <c r="A31" s="2">
        <f t="shared" si="0"/>
        <v>15</v>
      </c>
      <c r="B31" s="19" t="str">
        <f t="shared" si="1"/>
        <v>Tube 100x50x3.6</v>
      </c>
      <c r="C31" s="19" t="s">
        <v>92</v>
      </c>
      <c r="D31" s="19">
        <v>100</v>
      </c>
      <c r="E31" s="19">
        <v>50</v>
      </c>
      <c r="F31" s="22">
        <v>3.6</v>
      </c>
      <c r="G31" s="7">
        <v>7.72</v>
      </c>
      <c r="H31" s="6">
        <v>9.84</v>
      </c>
      <c r="I31" s="6">
        <v>121</v>
      </c>
      <c r="J31" s="6">
        <v>40.9</v>
      </c>
      <c r="K31" s="6">
        <v>24.1</v>
      </c>
      <c r="L31" s="6">
        <v>16.3</v>
      </c>
      <c r="M31" s="6">
        <v>3.5</v>
      </c>
      <c r="N31" s="6">
        <v>2.04</v>
      </c>
    </row>
    <row r="32" spans="1:14">
      <c r="A32" s="2">
        <f t="shared" si="0"/>
        <v>16</v>
      </c>
      <c r="B32" s="19" t="str">
        <f t="shared" si="1"/>
        <v>Tube 100x50x4</v>
      </c>
      <c r="C32" s="19" t="s">
        <v>92</v>
      </c>
      <c r="D32" s="19">
        <v>100</v>
      </c>
      <c r="E32" s="19">
        <v>50</v>
      </c>
      <c r="F32" s="22">
        <v>4</v>
      </c>
      <c r="G32" s="7">
        <v>8.59</v>
      </c>
      <c r="H32" s="6">
        <v>10.95</v>
      </c>
      <c r="I32" s="6">
        <v>142</v>
      </c>
      <c r="J32" s="6">
        <v>46.7</v>
      </c>
      <c r="K32" s="6">
        <v>28.4</v>
      </c>
      <c r="L32" s="6">
        <v>18.7</v>
      </c>
      <c r="M32" s="6">
        <v>3.55</v>
      </c>
      <c r="N32" s="6">
        <v>2.0299999999999998</v>
      </c>
    </row>
    <row r="33" spans="1:14">
      <c r="A33" s="2">
        <f t="shared" si="0"/>
        <v>17</v>
      </c>
      <c r="B33" s="19" t="str">
        <f t="shared" si="1"/>
        <v>Tube 100x50x4.5</v>
      </c>
      <c r="C33" s="19" t="s">
        <v>92</v>
      </c>
      <c r="D33" s="19">
        <v>100</v>
      </c>
      <c r="E33" s="19">
        <v>50</v>
      </c>
      <c r="F33" s="22">
        <v>4.5</v>
      </c>
      <c r="G33" s="7">
        <v>9.5500000000000007</v>
      </c>
      <c r="H33" s="6">
        <v>12.17</v>
      </c>
      <c r="I33" s="6">
        <v>147</v>
      </c>
      <c r="J33" s="6">
        <v>48.9</v>
      </c>
      <c r="K33" s="6">
        <v>29.3</v>
      </c>
      <c r="L33" s="6">
        <v>19.5</v>
      </c>
      <c r="M33" s="6">
        <v>3.47</v>
      </c>
      <c r="N33" s="6">
        <v>2</v>
      </c>
    </row>
    <row r="34" spans="1:14">
      <c r="A34" s="2">
        <f t="shared" si="0"/>
        <v>18</v>
      </c>
      <c r="B34" s="19" t="str">
        <f t="shared" si="1"/>
        <v>Tube 125x75x2.3</v>
      </c>
      <c r="C34" s="19" t="s">
        <v>91</v>
      </c>
      <c r="D34" s="19">
        <v>125</v>
      </c>
      <c r="E34" s="19">
        <v>75</v>
      </c>
      <c r="F34" s="22">
        <v>2.2999999999999998</v>
      </c>
      <c r="G34" s="7">
        <v>6.95</v>
      </c>
      <c r="H34" s="6">
        <v>8.85</v>
      </c>
      <c r="I34" s="6">
        <v>192</v>
      </c>
      <c r="J34" s="6">
        <v>87.5</v>
      </c>
      <c r="K34" s="6">
        <v>30.6</v>
      </c>
      <c r="L34" s="6">
        <v>23.3</v>
      </c>
      <c r="M34" s="6">
        <v>4.6500000000000004</v>
      </c>
      <c r="N34" s="6">
        <v>3.14</v>
      </c>
    </row>
    <row r="35" spans="1:14">
      <c r="A35" s="2">
        <f t="shared" si="0"/>
        <v>19</v>
      </c>
      <c r="B35" s="19" t="str">
        <f t="shared" si="1"/>
        <v>Tube 125x75x3.2</v>
      </c>
      <c r="C35" s="19" t="s">
        <v>91</v>
      </c>
      <c r="D35" s="19">
        <v>125</v>
      </c>
      <c r="E35" s="19">
        <v>75</v>
      </c>
      <c r="F35" s="22">
        <v>3.2</v>
      </c>
      <c r="G35" s="7">
        <v>9.52</v>
      </c>
      <c r="H35" s="6">
        <v>12.13</v>
      </c>
      <c r="I35" s="6">
        <v>257</v>
      </c>
      <c r="J35" s="6">
        <v>117</v>
      </c>
      <c r="K35" s="6">
        <v>41.1</v>
      </c>
      <c r="L35" s="6">
        <v>31.1</v>
      </c>
      <c r="M35" s="6">
        <v>4.5999999999999996</v>
      </c>
      <c r="N35" s="6">
        <v>3.1</v>
      </c>
    </row>
    <row r="36" spans="1:14">
      <c r="A36" s="2">
        <f t="shared" si="0"/>
        <v>20</v>
      </c>
      <c r="B36" s="19" t="str">
        <f t="shared" si="1"/>
        <v>Tube 125x75x4</v>
      </c>
      <c r="C36" s="19" t="s">
        <v>91</v>
      </c>
      <c r="D36" s="19">
        <v>125</v>
      </c>
      <c r="E36" s="19">
        <v>75</v>
      </c>
      <c r="F36" s="22">
        <v>4</v>
      </c>
      <c r="G36" s="7">
        <v>11.7</v>
      </c>
      <c r="H36" s="6">
        <v>14.95</v>
      </c>
      <c r="I36" s="6">
        <v>311</v>
      </c>
      <c r="J36" s="6">
        <v>141</v>
      </c>
      <c r="K36" s="6">
        <v>49.7</v>
      </c>
      <c r="L36" s="6">
        <v>37.5</v>
      </c>
      <c r="M36" s="6">
        <v>4.5599999999999996</v>
      </c>
      <c r="N36" s="6">
        <v>3.07</v>
      </c>
    </row>
    <row r="37" spans="1:14">
      <c r="A37" s="2">
        <f t="shared" si="0"/>
        <v>21</v>
      </c>
      <c r="B37" s="19" t="str">
        <f t="shared" si="1"/>
        <v>Tube 125x75x4.5</v>
      </c>
      <c r="C37" s="19" t="s">
        <v>91</v>
      </c>
      <c r="D37" s="19">
        <v>125</v>
      </c>
      <c r="E37" s="19">
        <v>75</v>
      </c>
      <c r="F37" s="22">
        <v>4.5</v>
      </c>
      <c r="G37" s="7">
        <v>13.1</v>
      </c>
      <c r="H37" s="6">
        <v>16.670000000000002</v>
      </c>
      <c r="I37" s="6">
        <v>342</v>
      </c>
      <c r="J37" s="6">
        <v>155</v>
      </c>
      <c r="K37" s="6">
        <v>54.8</v>
      </c>
      <c r="L37" s="6">
        <v>41.2</v>
      </c>
      <c r="M37" s="6">
        <v>4.53</v>
      </c>
      <c r="N37" s="6">
        <v>3.04</v>
      </c>
    </row>
    <row r="38" spans="1:14">
      <c r="A38" s="2">
        <f t="shared" si="0"/>
        <v>22</v>
      </c>
      <c r="B38" s="19" t="str">
        <f t="shared" si="1"/>
        <v>Tube 125x75x6</v>
      </c>
      <c r="C38" s="19" t="s">
        <v>91</v>
      </c>
      <c r="D38" s="19">
        <v>125</v>
      </c>
      <c r="E38" s="19">
        <v>75</v>
      </c>
      <c r="F38" s="22">
        <v>6</v>
      </c>
      <c r="G38" s="7">
        <v>17</v>
      </c>
      <c r="H38" s="6">
        <v>21.63</v>
      </c>
      <c r="I38" s="6">
        <v>428</v>
      </c>
      <c r="J38" s="6">
        <v>192</v>
      </c>
      <c r="K38" s="6">
        <v>68.5</v>
      </c>
      <c r="L38" s="6">
        <v>51.1</v>
      </c>
      <c r="M38" s="6">
        <v>4.45</v>
      </c>
      <c r="N38" s="6">
        <v>2.98</v>
      </c>
    </row>
    <row r="39" spans="1:14">
      <c r="A39" s="2">
        <f t="shared" si="0"/>
        <v>23</v>
      </c>
      <c r="B39" s="19" t="str">
        <f t="shared" si="1"/>
        <v>Tube 150x50x3.2</v>
      </c>
      <c r="C39" s="19" t="s">
        <v>90</v>
      </c>
      <c r="D39" s="19">
        <v>150</v>
      </c>
      <c r="E39" s="19">
        <v>50</v>
      </c>
      <c r="F39" s="22">
        <v>3.2</v>
      </c>
      <c r="G39" s="7">
        <v>9.6300000000000008</v>
      </c>
      <c r="H39" s="6">
        <v>12.13</v>
      </c>
      <c r="I39" s="6">
        <v>314.92</v>
      </c>
      <c r="J39" s="6">
        <v>55.71</v>
      </c>
      <c r="K39" s="6">
        <v>42.61</v>
      </c>
      <c r="L39" s="6">
        <v>22.61</v>
      </c>
      <c r="M39" s="6">
        <v>5.16</v>
      </c>
      <c r="N39" s="6">
        <v>2.17</v>
      </c>
    </row>
    <row r="40" spans="1:14">
      <c r="A40" s="2">
        <f t="shared" si="0"/>
        <v>24</v>
      </c>
      <c r="B40" s="19" t="str">
        <f t="shared" si="1"/>
        <v>Tube 150x50x4.5</v>
      </c>
      <c r="C40" s="19" t="s">
        <v>90</v>
      </c>
      <c r="D40" s="19">
        <v>150</v>
      </c>
      <c r="E40" s="19">
        <v>50</v>
      </c>
      <c r="F40" s="22">
        <v>4.5</v>
      </c>
      <c r="G40" s="7">
        <v>13.5</v>
      </c>
      <c r="H40" s="6">
        <v>17.03</v>
      </c>
      <c r="I40" s="6">
        <v>423.93</v>
      </c>
      <c r="J40" s="6">
        <v>75.75</v>
      </c>
      <c r="K40" s="6">
        <v>53.35</v>
      </c>
      <c r="L40" s="6">
        <v>29.82</v>
      </c>
      <c r="M40" s="6">
        <v>5.05</v>
      </c>
      <c r="N40" s="6">
        <v>2.11</v>
      </c>
    </row>
    <row r="41" spans="1:14">
      <c r="A41" s="2">
        <f t="shared" si="0"/>
        <v>25</v>
      </c>
      <c r="B41" s="19" t="str">
        <f t="shared" si="1"/>
        <v>Tube 150x50x6.3</v>
      </c>
      <c r="C41" s="19" t="s">
        <v>90</v>
      </c>
      <c r="D41" s="19">
        <v>150</v>
      </c>
      <c r="E41" s="19">
        <v>50</v>
      </c>
      <c r="F41" s="22">
        <v>6.3</v>
      </c>
      <c r="G41" s="7">
        <v>18.77</v>
      </c>
      <c r="H41" s="6">
        <v>22.84</v>
      </c>
      <c r="I41" s="6">
        <v>536.98</v>
      </c>
      <c r="J41" s="6">
        <v>93.65</v>
      </c>
      <c r="K41" s="6">
        <v>72.760000000000005</v>
      </c>
      <c r="L41" s="6">
        <v>36.869999999999997</v>
      </c>
      <c r="M41" s="6">
        <v>4.93</v>
      </c>
      <c r="N41" s="6">
        <v>2.0299999999999998</v>
      </c>
    </row>
    <row r="42" spans="1:14">
      <c r="A42" s="2">
        <f t="shared" si="0"/>
        <v>26</v>
      </c>
      <c r="B42" s="19" t="str">
        <f t="shared" si="1"/>
        <v>Tube200x100x4.5</v>
      </c>
      <c r="C42" s="19" t="s">
        <v>89</v>
      </c>
      <c r="D42" s="19">
        <v>200</v>
      </c>
      <c r="E42" s="19">
        <v>100</v>
      </c>
      <c r="F42" s="22">
        <v>4.5</v>
      </c>
      <c r="G42" s="7">
        <v>20.100000000000001</v>
      </c>
      <c r="H42" s="6">
        <v>25.67</v>
      </c>
      <c r="I42" s="9">
        <v>1330</v>
      </c>
      <c r="J42" s="6">
        <v>455</v>
      </c>
      <c r="K42" s="6">
        <v>133</v>
      </c>
      <c r="L42" s="6">
        <v>90.9</v>
      </c>
      <c r="M42" s="6">
        <v>7.2</v>
      </c>
      <c r="N42" s="6">
        <v>4.21</v>
      </c>
    </row>
    <row r="43" spans="1:14">
      <c r="A43" s="2">
        <f t="shared" si="0"/>
        <v>27</v>
      </c>
      <c r="B43" s="19" t="str">
        <f t="shared" si="1"/>
        <v>Tube  200x100x6</v>
      </c>
      <c r="C43" s="19" t="s">
        <v>87</v>
      </c>
      <c r="D43" s="19">
        <v>200</v>
      </c>
      <c r="E43" s="19">
        <v>100</v>
      </c>
      <c r="F43" s="22">
        <v>6</v>
      </c>
      <c r="G43" s="7">
        <v>26.4</v>
      </c>
      <c r="H43" s="6">
        <v>33.630000000000003</v>
      </c>
      <c r="I43" s="9">
        <v>1700</v>
      </c>
      <c r="J43" s="6">
        <v>577</v>
      </c>
      <c r="K43" s="6">
        <v>170</v>
      </c>
      <c r="L43" s="6">
        <v>115</v>
      </c>
      <c r="M43" s="6">
        <v>7.12</v>
      </c>
      <c r="N43" s="6">
        <v>4.1399999999999997</v>
      </c>
    </row>
    <row r="44" spans="1:14">
      <c r="A44" s="2">
        <f t="shared" si="0"/>
        <v>28</v>
      </c>
      <c r="B44" s="19" t="str">
        <f t="shared" si="1"/>
        <v>Tube  200x100x6.3</v>
      </c>
      <c r="C44" s="19" t="s">
        <v>87</v>
      </c>
      <c r="D44" s="19">
        <v>200</v>
      </c>
      <c r="E44" s="19">
        <v>100</v>
      </c>
      <c r="F44" s="22">
        <v>6.3</v>
      </c>
      <c r="G44" s="7">
        <v>27.4</v>
      </c>
      <c r="H44" s="6">
        <v>34.799999999999997</v>
      </c>
      <c r="I44" s="9">
        <v>1739</v>
      </c>
      <c r="J44" s="6">
        <v>591</v>
      </c>
      <c r="K44" s="6">
        <v>174</v>
      </c>
      <c r="L44" s="6">
        <v>118</v>
      </c>
      <c r="M44" s="6">
        <v>7.06</v>
      </c>
      <c r="N44" s="6">
        <v>4.12</v>
      </c>
    </row>
    <row r="45" spans="1:14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>
      <c r="B46" s="4"/>
    </row>
    <row r="47" spans="1:14">
      <c r="B47" s="4"/>
    </row>
  </sheetData>
  <mergeCells count="9">
    <mergeCell ref="B45:N45"/>
    <mergeCell ref="M13:N14"/>
    <mergeCell ref="B15:C15"/>
    <mergeCell ref="B13:C14"/>
    <mergeCell ref="F13:F14"/>
    <mergeCell ref="G13:G14"/>
    <mergeCell ref="H13:H14"/>
    <mergeCell ref="I13:J14"/>
    <mergeCell ref="K13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S61"/>
  <sheetViews>
    <sheetView workbookViewId="0">
      <selection activeCell="B22" sqref="B22"/>
    </sheetView>
  </sheetViews>
  <sheetFormatPr defaultRowHeight="12.75"/>
  <cols>
    <col min="1" max="1" width="9.140625" style="2"/>
    <col min="2" max="2" width="20.28515625" style="2" customWidth="1"/>
    <col min="3" max="3" width="11.7109375" style="2" customWidth="1"/>
    <col min="4" max="4" width="4.5703125" style="2" customWidth="1"/>
    <col min="5" max="6" width="3.85546875" style="2" customWidth="1"/>
    <col min="7" max="7" width="5.7109375" style="2" customWidth="1"/>
    <col min="8" max="8" width="11.5703125" style="2" customWidth="1"/>
    <col min="9" max="9" width="10" style="2" customWidth="1"/>
    <col min="10" max="19" width="7.28515625" style="2" customWidth="1"/>
    <col min="20" max="16384" width="9.140625" style="2"/>
  </cols>
  <sheetData>
    <row r="1" spans="3:7">
      <c r="C1" s="1" t="s">
        <v>52</v>
      </c>
      <c r="D1" s="1"/>
      <c r="E1" s="1"/>
      <c r="F1" s="1"/>
      <c r="G1" s="10"/>
    </row>
    <row r="2" spans="3:7">
      <c r="C2" s="11"/>
      <c r="D2" s="11"/>
      <c r="E2" s="11"/>
      <c r="F2" s="11"/>
      <c r="G2" s="10"/>
    </row>
    <row r="3" spans="3:7">
      <c r="C3" s="11"/>
      <c r="D3" s="11"/>
      <c r="E3" s="11"/>
      <c r="F3" s="11"/>
      <c r="G3" s="10"/>
    </row>
    <row r="4" spans="3:7">
      <c r="C4" s="11"/>
      <c r="D4" s="11"/>
      <c r="E4" s="11"/>
      <c r="F4" s="11"/>
      <c r="G4" s="10"/>
    </row>
    <row r="5" spans="3:7">
      <c r="C5" s="11"/>
      <c r="D5" s="11"/>
      <c r="E5" s="11"/>
      <c r="F5" s="11"/>
      <c r="G5" s="10"/>
    </row>
    <row r="6" spans="3:7">
      <c r="C6" s="11"/>
      <c r="D6" s="11"/>
      <c r="E6" s="11"/>
      <c r="F6" s="11"/>
      <c r="G6" s="10"/>
    </row>
    <row r="7" spans="3:7">
      <c r="C7" s="11"/>
      <c r="D7" s="11"/>
      <c r="E7" s="11"/>
      <c r="F7" s="11"/>
      <c r="G7" s="10"/>
    </row>
    <row r="8" spans="3:7">
      <c r="C8" s="11"/>
      <c r="D8" s="11"/>
      <c r="E8" s="11"/>
      <c r="F8" s="11"/>
      <c r="G8" s="10"/>
    </row>
    <row r="9" spans="3:7">
      <c r="C9" s="11"/>
      <c r="D9" s="11"/>
      <c r="E9" s="11"/>
      <c r="F9" s="11"/>
      <c r="G9" s="10"/>
    </row>
    <row r="10" spans="3:7">
      <c r="C10" s="11"/>
      <c r="D10" s="11"/>
      <c r="E10" s="11"/>
      <c r="F10" s="11"/>
      <c r="G10" s="10"/>
    </row>
    <row r="11" spans="3:7">
      <c r="C11" s="11"/>
      <c r="D11" s="11"/>
      <c r="E11" s="11"/>
      <c r="F11" s="11"/>
      <c r="G11" s="10"/>
    </row>
    <row r="12" spans="3:7">
      <c r="C12" s="11"/>
      <c r="D12" s="11"/>
      <c r="E12" s="11"/>
      <c r="F12" s="11"/>
      <c r="G12" s="10"/>
    </row>
    <row r="13" spans="3:7">
      <c r="C13" s="11"/>
      <c r="D13" s="11"/>
      <c r="E13" s="11"/>
      <c r="F13" s="11"/>
      <c r="G13" s="10"/>
    </row>
    <row r="14" spans="3:7">
      <c r="C14" s="11"/>
      <c r="D14" s="11"/>
      <c r="E14" s="11"/>
      <c r="F14" s="11"/>
      <c r="G14" s="10"/>
    </row>
    <row r="15" spans="3:7">
      <c r="C15" s="11"/>
      <c r="D15" s="11"/>
      <c r="E15" s="11"/>
      <c r="F15" s="11"/>
      <c r="G15" s="10"/>
    </row>
    <row r="16" spans="3:7">
      <c r="C16" s="4"/>
      <c r="D16" s="4"/>
      <c r="E16" s="4"/>
      <c r="F16" s="4"/>
    </row>
    <row r="17" spans="1:19">
      <c r="C17" s="4"/>
      <c r="D17" s="4"/>
      <c r="E17" s="4"/>
      <c r="F17" s="4"/>
    </row>
    <row r="18" spans="1:19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  <c r="M18" s="2">
        <v>13</v>
      </c>
      <c r="N18" s="2">
        <v>14</v>
      </c>
      <c r="O18" s="2">
        <v>15</v>
      </c>
      <c r="P18" s="2">
        <v>16</v>
      </c>
      <c r="Q18" s="2">
        <v>17</v>
      </c>
      <c r="R18" s="2">
        <v>18</v>
      </c>
      <c r="S18" s="2">
        <v>19</v>
      </c>
    </row>
    <row r="19" spans="1:19" ht="40.5" customHeight="1">
      <c r="C19" s="133" t="s">
        <v>53</v>
      </c>
      <c r="D19" s="133"/>
      <c r="E19" s="133"/>
      <c r="F19" s="133"/>
      <c r="G19" s="133"/>
      <c r="H19" s="132" t="s">
        <v>54</v>
      </c>
      <c r="I19" s="132" t="s">
        <v>55</v>
      </c>
      <c r="J19" s="132" t="s">
        <v>56</v>
      </c>
      <c r="K19" s="132"/>
      <c r="L19" s="132" t="s">
        <v>57</v>
      </c>
      <c r="M19" s="132"/>
      <c r="N19" s="132" t="s">
        <v>58</v>
      </c>
      <c r="O19" s="132"/>
      <c r="P19" s="132" t="s">
        <v>59</v>
      </c>
      <c r="Q19" s="132"/>
      <c r="R19" s="132" t="s">
        <v>60</v>
      </c>
      <c r="S19" s="132"/>
    </row>
    <row r="20" spans="1:19" ht="14.25">
      <c r="C20" s="24" t="s">
        <v>61</v>
      </c>
      <c r="D20" s="24" t="s">
        <v>99</v>
      </c>
      <c r="E20" s="24" t="s">
        <v>10</v>
      </c>
      <c r="F20" s="24" t="s">
        <v>12</v>
      </c>
      <c r="G20" s="5" t="s">
        <v>13</v>
      </c>
      <c r="H20" s="132"/>
      <c r="I20" s="132"/>
      <c r="J20" s="5" t="s">
        <v>62</v>
      </c>
      <c r="K20" s="5" t="s">
        <v>63</v>
      </c>
      <c r="L20" s="5" t="s">
        <v>64</v>
      </c>
      <c r="M20" s="5" t="s">
        <v>65</v>
      </c>
      <c r="N20" s="5" t="s">
        <v>66</v>
      </c>
      <c r="O20" s="5" t="s">
        <v>67</v>
      </c>
      <c r="P20" s="5" t="s">
        <v>68</v>
      </c>
      <c r="Q20" s="5" t="s">
        <v>69</v>
      </c>
      <c r="R20" s="5" t="s">
        <v>70</v>
      </c>
      <c r="S20" s="5" t="s">
        <v>71</v>
      </c>
    </row>
    <row r="21" spans="1:19">
      <c r="A21" s="2">
        <v>1</v>
      </c>
      <c r="C21" s="24"/>
      <c r="D21" s="49"/>
      <c r="E21" s="49"/>
      <c r="F21" s="49"/>
      <c r="G21" s="41"/>
      <c r="H21" s="42"/>
      <c r="I21" s="42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>
      <c r="A22" s="2">
        <f>A21+1</f>
        <v>2</v>
      </c>
      <c r="B22" s="10" t="s">
        <v>95</v>
      </c>
      <c r="C22" s="24"/>
      <c r="D22" s="49"/>
      <c r="E22" s="49"/>
      <c r="F22" s="49"/>
      <c r="G22" s="41"/>
      <c r="H22" s="42"/>
      <c r="I22" s="42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A23" s="2">
        <f t="shared" ref="A23:A58" si="0">A22+1</f>
        <v>3</v>
      </c>
      <c r="B23" s="19" t="str">
        <f t="shared" ref="B23:B58" si="1">" C "&amp;C23&amp;""&amp;"x"&amp;""&amp;G23</f>
        <v xml:space="preserve"> C 250x75x25x4.5</v>
      </c>
      <c r="C23" s="44" t="s">
        <v>72</v>
      </c>
      <c r="D23" s="44">
        <v>200</v>
      </c>
      <c r="E23" s="44">
        <v>75</v>
      </c>
      <c r="F23" s="44">
        <v>25</v>
      </c>
      <c r="G23" s="40">
        <v>4.5</v>
      </c>
      <c r="H23" s="6">
        <v>18.920000000000002</v>
      </c>
      <c r="I23" s="7">
        <v>14.9</v>
      </c>
      <c r="J23" s="6">
        <v>0</v>
      </c>
      <c r="K23" s="6">
        <v>2.0699999999999998</v>
      </c>
      <c r="L23" s="12">
        <v>1690</v>
      </c>
      <c r="M23" s="6">
        <v>129</v>
      </c>
      <c r="N23" s="6">
        <v>9.44</v>
      </c>
      <c r="O23" s="6">
        <v>2.62</v>
      </c>
      <c r="P23" s="6">
        <v>135</v>
      </c>
      <c r="Q23" s="6">
        <v>23.8</v>
      </c>
      <c r="R23" s="6">
        <v>5.0999999999999996</v>
      </c>
      <c r="S23" s="6">
        <v>0</v>
      </c>
    </row>
    <row r="24" spans="1:19">
      <c r="A24" s="2">
        <f t="shared" si="0"/>
        <v>4</v>
      </c>
      <c r="B24" s="45" t="str">
        <f t="shared" si="1"/>
        <v xml:space="preserve"> C 200x75x25x4.5</v>
      </c>
      <c r="C24" s="43" t="s">
        <v>73</v>
      </c>
      <c r="D24" s="43">
        <v>200</v>
      </c>
      <c r="E24" s="43">
        <v>75</v>
      </c>
      <c r="F24" s="43">
        <v>25</v>
      </c>
      <c r="G24" s="36">
        <v>4.5</v>
      </c>
      <c r="H24" s="8">
        <v>16.670000000000002</v>
      </c>
      <c r="I24" s="7">
        <v>13.1</v>
      </c>
      <c r="J24" s="8">
        <v>0</v>
      </c>
      <c r="K24" s="8">
        <v>2.3199999999999998</v>
      </c>
      <c r="L24" s="8">
        <v>990</v>
      </c>
      <c r="M24" s="8">
        <v>121</v>
      </c>
      <c r="N24" s="8">
        <v>7.61</v>
      </c>
      <c r="O24" s="8">
        <v>2.69</v>
      </c>
      <c r="P24" s="8">
        <v>99</v>
      </c>
      <c r="Q24" s="8">
        <v>23.3</v>
      </c>
      <c r="R24" s="8">
        <v>5.6</v>
      </c>
      <c r="S24" s="8">
        <v>0</v>
      </c>
    </row>
    <row r="25" spans="1:19">
      <c r="A25" s="2">
        <f t="shared" si="0"/>
        <v>5</v>
      </c>
      <c r="B25" s="45" t="str">
        <f t="shared" si="1"/>
        <v xml:space="preserve"> C 200x75x25x4</v>
      </c>
      <c r="C25" s="43" t="s">
        <v>73</v>
      </c>
      <c r="D25" s="43">
        <v>200</v>
      </c>
      <c r="E25" s="43">
        <v>75</v>
      </c>
      <c r="F25" s="43">
        <v>25</v>
      </c>
      <c r="G25" s="36">
        <v>4</v>
      </c>
      <c r="H25" s="8">
        <v>14.95</v>
      </c>
      <c r="I25" s="7">
        <v>11.7</v>
      </c>
      <c r="J25" s="8">
        <v>0</v>
      </c>
      <c r="K25" s="8">
        <v>2.3199999999999998</v>
      </c>
      <c r="L25" s="8">
        <v>895</v>
      </c>
      <c r="M25" s="8">
        <v>110</v>
      </c>
      <c r="N25" s="8">
        <v>7.74</v>
      </c>
      <c r="O25" s="8">
        <v>2.72</v>
      </c>
      <c r="P25" s="8">
        <v>89.5</v>
      </c>
      <c r="Q25" s="8">
        <v>21.3</v>
      </c>
      <c r="R25" s="8">
        <v>5.7</v>
      </c>
      <c r="S25" s="8">
        <v>0</v>
      </c>
    </row>
    <row r="26" spans="1:19">
      <c r="A26" s="2">
        <f t="shared" si="0"/>
        <v>6</v>
      </c>
      <c r="B26" s="46" t="str">
        <f t="shared" si="1"/>
        <v xml:space="preserve"> C 200x75x25x3.2</v>
      </c>
      <c r="C26" s="43" t="s">
        <v>73</v>
      </c>
      <c r="D26" s="43">
        <v>200</v>
      </c>
      <c r="E26" s="43">
        <v>75</v>
      </c>
      <c r="F26" s="43">
        <v>25</v>
      </c>
      <c r="G26" s="40">
        <v>3.2</v>
      </c>
      <c r="H26" s="6">
        <v>12.13</v>
      </c>
      <c r="I26" s="7">
        <v>9.52</v>
      </c>
      <c r="J26" s="6">
        <v>0</v>
      </c>
      <c r="K26" s="6">
        <v>2.33</v>
      </c>
      <c r="L26" s="6">
        <v>736</v>
      </c>
      <c r="M26" s="6">
        <v>92.3</v>
      </c>
      <c r="N26" s="6">
        <v>7.7</v>
      </c>
      <c r="O26" s="6">
        <v>2.76</v>
      </c>
      <c r="P26" s="6">
        <v>73.599999999999994</v>
      </c>
      <c r="Q26" s="6">
        <v>17.8</v>
      </c>
      <c r="R26" s="6">
        <v>5.7</v>
      </c>
      <c r="S26" s="6">
        <v>0</v>
      </c>
    </row>
    <row r="27" spans="1:19">
      <c r="A27" s="2">
        <f t="shared" si="0"/>
        <v>7</v>
      </c>
      <c r="B27" s="19" t="str">
        <f t="shared" si="1"/>
        <v xml:space="preserve"> C 200x75x20x4.5</v>
      </c>
      <c r="C27" s="25" t="s">
        <v>74</v>
      </c>
      <c r="D27" s="25">
        <v>200</v>
      </c>
      <c r="E27" s="50">
        <v>75</v>
      </c>
      <c r="F27" s="50">
        <v>20</v>
      </c>
      <c r="G27" s="33">
        <v>4.5</v>
      </c>
      <c r="H27" s="26">
        <v>16.22</v>
      </c>
      <c r="I27" s="27">
        <v>12.7</v>
      </c>
      <c r="J27" s="26">
        <v>0</v>
      </c>
      <c r="K27" s="26">
        <v>2.19</v>
      </c>
      <c r="L27" s="26">
        <v>963</v>
      </c>
      <c r="M27" s="26">
        <v>109</v>
      </c>
      <c r="N27" s="26">
        <v>7.71</v>
      </c>
      <c r="O27" s="26">
        <v>2.6</v>
      </c>
      <c r="P27" s="26">
        <v>96.3</v>
      </c>
      <c r="Q27" s="26">
        <v>20.6</v>
      </c>
      <c r="R27" s="26">
        <v>5.7</v>
      </c>
      <c r="S27" s="26">
        <v>0</v>
      </c>
    </row>
    <row r="28" spans="1:19">
      <c r="A28" s="2">
        <f t="shared" si="0"/>
        <v>8</v>
      </c>
      <c r="B28" s="45" t="str">
        <f t="shared" si="1"/>
        <v xml:space="preserve"> C 200x75x20x4</v>
      </c>
      <c r="C28" s="29" t="s">
        <v>74</v>
      </c>
      <c r="D28" s="29">
        <v>200</v>
      </c>
      <c r="E28" s="51">
        <v>75</v>
      </c>
      <c r="F28" s="51">
        <v>20</v>
      </c>
      <c r="G28" s="33">
        <v>4</v>
      </c>
      <c r="H28" s="26">
        <v>14.55</v>
      </c>
      <c r="I28" s="27">
        <v>11.4</v>
      </c>
      <c r="J28" s="26">
        <v>0</v>
      </c>
      <c r="K28" s="26">
        <v>2.19</v>
      </c>
      <c r="L28" s="26">
        <v>871</v>
      </c>
      <c r="M28" s="26">
        <v>100</v>
      </c>
      <c r="N28" s="26">
        <v>7.74</v>
      </c>
      <c r="O28" s="26">
        <v>2.62</v>
      </c>
      <c r="P28" s="26">
        <v>87.1</v>
      </c>
      <c r="Q28" s="26">
        <v>18.899999999999999</v>
      </c>
      <c r="R28" s="26">
        <v>5.3</v>
      </c>
      <c r="S28" s="26">
        <v>0</v>
      </c>
    </row>
    <row r="29" spans="1:19">
      <c r="A29" s="2">
        <f t="shared" si="0"/>
        <v>9</v>
      </c>
      <c r="B29" s="46" t="str">
        <f t="shared" si="1"/>
        <v xml:space="preserve"> C 200x75x20x3.2</v>
      </c>
      <c r="C29" s="30" t="s">
        <v>74</v>
      </c>
      <c r="D29" s="30">
        <v>200</v>
      </c>
      <c r="E29" s="51">
        <v>75</v>
      </c>
      <c r="F29" s="51">
        <v>20</v>
      </c>
      <c r="G29" s="34">
        <v>3.2</v>
      </c>
      <c r="H29" s="28">
        <v>11.81</v>
      </c>
      <c r="I29" s="27">
        <v>9.27</v>
      </c>
      <c r="J29" s="28">
        <v>0</v>
      </c>
      <c r="K29" s="28">
        <v>2.19</v>
      </c>
      <c r="L29" s="28">
        <v>716</v>
      </c>
      <c r="M29" s="28">
        <v>84.1</v>
      </c>
      <c r="N29" s="28">
        <v>7.79</v>
      </c>
      <c r="O29" s="28">
        <v>2.67</v>
      </c>
      <c r="P29" s="28">
        <v>71.599999999999994</v>
      </c>
      <c r="Q29" s="28">
        <v>15.8</v>
      </c>
      <c r="R29" s="28">
        <v>5.3</v>
      </c>
      <c r="S29" s="28">
        <v>0</v>
      </c>
    </row>
    <row r="30" spans="1:19">
      <c r="A30" s="2">
        <f t="shared" si="0"/>
        <v>10</v>
      </c>
      <c r="B30" s="19" t="str">
        <f t="shared" si="1"/>
        <v xml:space="preserve"> C 150x75x25x4.5</v>
      </c>
      <c r="C30" s="18" t="s">
        <v>75</v>
      </c>
      <c r="D30" s="16">
        <v>150</v>
      </c>
      <c r="E30" s="16">
        <v>75</v>
      </c>
      <c r="F30" s="16">
        <v>25</v>
      </c>
      <c r="G30" s="6">
        <v>4.5</v>
      </c>
      <c r="H30" s="6">
        <v>14.42</v>
      </c>
      <c r="I30" s="7">
        <v>11.3</v>
      </c>
      <c r="J30" s="6">
        <v>0</v>
      </c>
      <c r="K30" s="6">
        <v>2.65</v>
      </c>
      <c r="L30" s="6">
        <v>501</v>
      </c>
      <c r="M30" s="6">
        <v>109</v>
      </c>
      <c r="N30" s="6">
        <v>5.9</v>
      </c>
      <c r="O30" s="6">
        <v>2.75</v>
      </c>
      <c r="P30" s="6">
        <v>66.900000000000006</v>
      </c>
      <c r="Q30" s="6">
        <v>22.5</v>
      </c>
      <c r="R30" s="6">
        <v>5.4</v>
      </c>
      <c r="S30" s="6">
        <v>0</v>
      </c>
    </row>
    <row r="31" spans="1:19">
      <c r="A31" s="2">
        <f t="shared" si="0"/>
        <v>11</v>
      </c>
      <c r="B31" s="45" t="str">
        <f t="shared" si="1"/>
        <v xml:space="preserve"> C 150x75x25x4</v>
      </c>
      <c r="C31" s="18" t="s">
        <v>75</v>
      </c>
      <c r="D31" s="18">
        <v>150</v>
      </c>
      <c r="E31" s="18">
        <v>75</v>
      </c>
      <c r="F31" s="18">
        <v>25</v>
      </c>
      <c r="G31" s="6">
        <v>4</v>
      </c>
      <c r="H31" s="6">
        <v>12.95</v>
      </c>
      <c r="I31" s="7">
        <v>10.199999999999999</v>
      </c>
      <c r="J31" s="6">
        <v>0</v>
      </c>
      <c r="K31" s="6">
        <v>2.65</v>
      </c>
      <c r="L31" s="6">
        <v>455</v>
      </c>
      <c r="M31" s="6">
        <v>99.8</v>
      </c>
      <c r="N31" s="6">
        <v>5.93</v>
      </c>
      <c r="O31" s="6">
        <v>2.78</v>
      </c>
      <c r="P31" s="6">
        <v>60.6</v>
      </c>
      <c r="Q31" s="6">
        <v>20.6</v>
      </c>
      <c r="R31" s="6">
        <v>6.3</v>
      </c>
      <c r="S31" s="6">
        <v>0</v>
      </c>
    </row>
    <row r="32" spans="1:19">
      <c r="A32" s="2">
        <f t="shared" si="0"/>
        <v>12</v>
      </c>
      <c r="B32" s="46" t="str">
        <f t="shared" si="1"/>
        <v xml:space="preserve"> C 150x75x25x3.2</v>
      </c>
      <c r="C32" s="17" t="s">
        <v>75</v>
      </c>
      <c r="D32" s="17">
        <v>150</v>
      </c>
      <c r="E32" s="17">
        <v>75</v>
      </c>
      <c r="F32" s="17">
        <v>25</v>
      </c>
      <c r="G32" s="6">
        <v>3.2</v>
      </c>
      <c r="H32" s="6">
        <v>10.53</v>
      </c>
      <c r="I32" s="7">
        <v>8.27</v>
      </c>
      <c r="J32" s="6">
        <v>0</v>
      </c>
      <c r="K32" s="6">
        <v>2.66</v>
      </c>
      <c r="L32" s="6">
        <v>375</v>
      </c>
      <c r="M32" s="6">
        <v>83.6</v>
      </c>
      <c r="N32" s="6">
        <v>5.97</v>
      </c>
      <c r="O32" s="6">
        <v>2.82</v>
      </c>
      <c r="P32" s="6">
        <v>50</v>
      </c>
      <c r="Q32" s="6">
        <v>17.3</v>
      </c>
      <c r="R32" s="6">
        <v>6.3</v>
      </c>
      <c r="S32" s="6">
        <v>0</v>
      </c>
    </row>
    <row r="33" spans="1:19">
      <c r="A33" s="2">
        <f t="shared" si="0"/>
        <v>13</v>
      </c>
      <c r="B33" s="45" t="str">
        <f t="shared" si="1"/>
        <v xml:space="preserve"> C 150x75x20x4.5</v>
      </c>
      <c r="C33" s="25" t="s">
        <v>76</v>
      </c>
      <c r="D33" s="25">
        <v>150</v>
      </c>
      <c r="E33" s="50">
        <v>75</v>
      </c>
      <c r="F33" s="50">
        <v>20</v>
      </c>
      <c r="G33" s="33">
        <v>4.5</v>
      </c>
      <c r="H33" s="26">
        <v>13.97</v>
      </c>
      <c r="I33" s="27">
        <v>11</v>
      </c>
      <c r="J33" s="26">
        <v>0</v>
      </c>
      <c r="K33" s="26">
        <v>2.5</v>
      </c>
      <c r="L33" s="26">
        <v>489</v>
      </c>
      <c r="M33" s="26">
        <v>99.2</v>
      </c>
      <c r="N33" s="26">
        <v>5.92</v>
      </c>
      <c r="O33" s="26">
        <v>2.66</v>
      </c>
      <c r="P33" s="26">
        <v>65.2</v>
      </c>
      <c r="Q33" s="26">
        <v>19.8</v>
      </c>
      <c r="R33" s="26">
        <v>6.4</v>
      </c>
      <c r="S33" s="26">
        <v>0</v>
      </c>
    </row>
    <row r="34" spans="1:19">
      <c r="A34" s="2">
        <f t="shared" si="0"/>
        <v>14</v>
      </c>
      <c r="B34" s="45" t="str">
        <f t="shared" si="1"/>
        <v xml:space="preserve"> C 150x75x20x4</v>
      </c>
      <c r="C34" s="29" t="s">
        <v>76</v>
      </c>
      <c r="D34" s="29">
        <v>150</v>
      </c>
      <c r="E34" s="51">
        <v>75</v>
      </c>
      <c r="F34" s="51">
        <v>20</v>
      </c>
      <c r="G34" s="33">
        <v>4</v>
      </c>
      <c r="H34" s="26">
        <v>12.55</v>
      </c>
      <c r="I34" s="27">
        <v>9.85</v>
      </c>
      <c r="J34" s="26">
        <v>0</v>
      </c>
      <c r="K34" s="26">
        <v>2.5099999999999998</v>
      </c>
      <c r="L34" s="26">
        <v>445</v>
      </c>
      <c r="M34" s="26">
        <v>91</v>
      </c>
      <c r="N34" s="26">
        <v>5.95</v>
      </c>
      <c r="O34" s="26">
        <v>2.69</v>
      </c>
      <c r="P34" s="26">
        <v>59.3</v>
      </c>
      <c r="Q34" s="26">
        <v>18.2</v>
      </c>
      <c r="R34" s="26">
        <v>6</v>
      </c>
      <c r="S34" s="26">
        <v>0</v>
      </c>
    </row>
    <row r="35" spans="1:19">
      <c r="A35" s="2">
        <f t="shared" si="0"/>
        <v>15</v>
      </c>
      <c r="B35" s="46" t="str">
        <f t="shared" si="1"/>
        <v xml:space="preserve"> C 150x75x20x3.2</v>
      </c>
      <c r="C35" s="30" t="s">
        <v>76</v>
      </c>
      <c r="D35" s="30">
        <v>150</v>
      </c>
      <c r="E35" s="51">
        <v>75</v>
      </c>
      <c r="F35" s="51">
        <v>20</v>
      </c>
      <c r="G35" s="34">
        <v>3.2</v>
      </c>
      <c r="H35" s="28">
        <v>10.210000000000001</v>
      </c>
      <c r="I35" s="27">
        <v>8.01</v>
      </c>
      <c r="J35" s="28">
        <v>0</v>
      </c>
      <c r="K35" s="28">
        <v>2.5099999999999998</v>
      </c>
      <c r="L35" s="28">
        <v>366</v>
      </c>
      <c r="M35" s="28">
        <v>76.400000000000006</v>
      </c>
      <c r="N35" s="28">
        <v>5.99</v>
      </c>
      <c r="O35" s="28">
        <v>2.74</v>
      </c>
      <c r="P35" s="28">
        <v>48.9</v>
      </c>
      <c r="Q35" s="28">
        <v>15.3</v>
      </c>
      <c r="R35" s="28">
        <v>5.8</v>
      </c>
      <c r="S35" s="28">
        <v>0</v>
      </c>
    </row>
    <row r="36" spans="1:19">
      <c r="A36" s="2">
        <f t="shared" si="0"/>
        <v>16</v>
      </c>
      <c r="B36" s="45" t="str">
        <f t="shared" si="1"/>
        <v xml:space="preserve"> C 150x65x20x4</v>
      </c>
      <c r="C36" s="13" t="s">
        <v>77</v>
      </c>
      <c r="D36" s="13">
        <v>150</v>
      </c>
      <c r="E36" s="13">
        <v>65</v>
      </c>
      <c r="F36" s="13">
        <v>20</v>
      </c>
      <c r="G36" s="8">
        <v>4</v>
      </c>
      <c r="H36" s="8">
        <v>11.75</v>
      </c>
      <c r="I36" s="7">
        <v>9.2200000000000006</v>
      </c>
      <c r="J36" s="8">
        <v>0</v>
      </c>
      <c r="K36" s="8">
        <v>2.11</v>
      </c>
      <c r="L36" s="8">
        <v>401</v>
      </c>
      <c r="M36" s="8">
        <v>63.7</v>
      </c>
      <c r="N36" s="8">
        <v>5.48</v>
      </c>
      <c r="O36" s="8">
        <v>2.33</v>
      </c>
      <c r="P36" s="8">
        <v>53.5</v>
      </c>
      <c r="Q36" s="8">
        <v>14.5</v>
      </c>
      <c r="R36" s="8">
        <v>5.0999999999999996</v>
      </c>
      <c r="S36" s="8">
        <v>0</v>
      </c>
    </row>
    <row r="37" spans="1:19">
      <c r="A37" s="2">
        <f t="shared" si="0"/>
        <v>17</v>
      </c>
      <c r="B37" s="45" t="str">
        <f t="shared" si="1"/>
        <v xml:space="preserve"> C 150x65x20x3.2</v>
      </c>
      <c r="C37" s="14" t="s">
        <v>77</v>
      </c>
      <c r="D37" s="14">
        <v>150</v>
      </c>
      <c r="E37" s="14">
        <v>65</v>
      </c>
      <c r="F37" s="14">
        <v>20</v>
      </c>
      <c r="G37" s="6">
        <v>3.2</v>
      </c>
      <c r="H37" s="6">
        <v>9.5670000000000002</v>
      </c>
      <c r="I37" s="7">
        <v>7.51</v>
      </c>
      <c r="J37" s="6">
        <v>0</v>
      </c>
      <c r="K37" s="6">
        <v>2.11</v>
      </c>
      <c r="L37" s="6">
        <v>332</v>
      </c>
      <c r="M37" s="6">
        <v>53.8</v>
      </c>
      <c r="N37" s="6">
        <v>5.89</v>
      </c>
      <c r="O37" s="6">
        <v>2.37</v>
      </c>
      <c r="P37" s="6">
        <v>44.3</v>
      </c>
      <c r="Q37" s="6">
        <v>12.2</v>
      </c>
      <c r="R37" s="6">
        <v>5</v>
      </c>
      <c r="S37" s="6">
        <v>0</v>
      </c>
    </row>
    <row r="38" spans="1:19">
      <c r="A38" s="2">
        <f t="shared" si="0"/>
        <v>18</v>
      </c>
      <c r="B38" s="46" t="str">
        <f t="shared" si="1"/>
        <v xml:space="preserve"> C 150x65x20x2.3</v>
      </c>
      <c r="C38" s="15" t="s">
        <v>77</v>
      </c>
      <c r="D38" s="15">
        <v>150</v>
      </c>
      <c r="E38" s="15">
        <v>65</v>
      </c>
      <c r="F38" s="15">
        <v>20</v>
      </c>
      <c r="G38" s="6">
        <v>2.2999999999999998</v>
      </c>
      <c r="H38" s="6">
        <v>7.0119999999999996</v>
      </c>
      <c r="I38" s="7">
        <v>5.5</v>
      </c>
      <c r="J38" s="6">
        <v>0</v>
      </c>
      <c r="K38" s="6">
        <v>2.12</v>
      </c>
      <c r="L38" s="6">
        <v>248</v>
      </c>
      <c r="M38" s="6">
        <v>41.1</v>
      </c>
      <c r="N38" s="6">
        <v>5.94</v>
      </c>
      <c r="O38" s="6">
        <v>2.42</v>
      </c>
      <c r="P38" s="6">
        <v>33</v>
      </c>
      <c r="Q38" s="6">
        <v>9.3699999999999992</v>
      </c>
      <c r="R38" s="6">
        <v>5.0999999999999996</v>
      </c>
      <c r="S38" s="6">
        <v>0</v>
      </c>
    </row>
    <row r="39" spans="1:19">
      <c r="A39" s="2">
        <f t="shared" si="0"/>
        <v>19</v>
      </c>
      <c r="B39" s="45" t="str">
        <f t="shared" si="1"/>
        <v xml:space="preserve"> C 150x50x20x4.5</v>
      </c>
      <c r="C39" s="25" t="s">
        <v>78</v>
      </c>
      <c r="D39" s="50">
        <v>150</v>
      </c>
      <c r="E39" s="50">
        <v>50</v>
      </c>
      <c r="F39" s="50">
        <v>20</v>
      </c>
      <c r="G39" s="33">
        <v>4.5</v>
      </c>
      <c r="H39" s="26">
        <v>11.72</v>
      </c>
      <c r="I39" s="27">
        <v>9.1999999999999993</v>
      </c>
      <c r="J39" s="26">
        <v>0</v>
      </c>
      <c r="K39" s="26">
        <v>1.54</v>
      </c>
      <c r="L39" s="26">
        <v>368</v>
      </c>
      <c r="M39" s="26">
        <v>35.700000000000003</v>
      </c>
      <c r="N39" s="26">
        <v>5.6</v>
      </c>
      <c r="O39" s="26">
        <v>1.75</v>
      </c>
      <c r="P39" s="26">
        <v>49</v>
      </c>
      <c r="Q39" s="26">
        <v>10.5</v>
      </c>
      <c r="R39" s="26">
        <v>5.2</v>
      </c>
      <c r="S39" s="26">
        <v>0</v>
      </c>
    </row>
    <row r="40" spans="1:19">
      <c r="A40" s="2">
        <f t="shared" si="0"/>
        <v>20</v>
      </c>
      <c r="B40" s="45" t="str">
        <f t="shared" si="1"/>
        <v xml:space="preserve"> C 150x50x20x3.2</v>
      </c>
      <c r="C40" s="29" t="s">
        <v>78</v>
      </c>
      <c r="D40" s="51">
        <v>150</v>
      </c>
      <c r="E40" s="51">
        <v>50</v>
      </c>
      <c r="F40" s="51">
        <v>20</v>
      </c>
      <c r="G40" s="34">
        <v>3.2</v>
      </c>
      <c r="H40" s="28">
        <v>8.6069999999999993</v>
      </c>
      <c r="I40" s="27">
        <v>6.76</v>
      </c>
      <c r="J40" s="28">
        <v>0</v>
      </c>
      <c r="K40" s="28">
        <v>1.54</v>
      </c>
      <c r="L40" s="28">
        <v>280</v>
      </c>
      <c r="M40" s="28">
        <v>28.3</v>
      </c>
      <c r="N40" s="28">
        <v>5.71</v>
      </c>
      <c r="O40" s="28">
        <v>1.81</v>
      </c>
      <c r="P40" s="28">
        <v>37.4</v>
      </c>
      <c r="Q40" s="28">
        <v>8.19</v>
      </c>
      <c r="R40" s="28">
        <v>3.7</v>
      </c>
      <c r="S40" s="28">
        <v>0</v>
      </c>
    </row>
    <row r="41" spans="1:19">
      <c r="A41" s="2">
        <f t="shared" si="0"/>
        <v>21</v>
      </c>
      <c r="B41" s="46" t="str">
        <f t="shared" si="1"/>
        <v xml:space="preserve"> C 150x50x20x2.3</v>
      </c>
      <c r="C41" s="30" t="s">
        <v>78</v>
      </c>
      <c r="D41" s="52">
        <v>150</v>
      </c>
      <c r="E41" s="52">
        <v>50</v>
      </c>
      <c r="F41" s="52">
        <v>20</v>
      </c>
      <c r="G41" s="34">
        <v>2.2999999999999998</v>
      </c>
      <c r="H41" s="28">
        <v>6.3220000000000001</v>
      </c>
      <c r="I41" s="27">
        <v>4.96</v>
      </c>
      <c r="J41" s="28">
        <v>0</v>
      </c>
      <c r="K41" s="28">
        <v>1.55</v>
      </c>
      <c r="L41" s="28">
        <v>210</v>
      </c>
      <c r="M41" s="28">
        <v>21.9</v>
      </c>
      <c r="N41" s="28">
        <v>5.77</v>
      </c>
      <c r="O41" s="28">
        <v>1.86</v>
      </c>
      <c r="P41" s="28">
        <v>28</v>
      </c>
      <c r="Q41" s="28">
        <v>6.33</v>
      </c>
      <c r="R41" s="28">
        <v>3.8</v>
      </c>
      <c r="S41" s="28">
        <v>0</v>
      </c>
    </row>
    <row r="42" spans="1:19">
      <c r="A42" s="2">
        <f t="shared" si="0"/>
        <v>22</v>
      </c>
      <c r="B42" s="45" t="str">
        <f t="shared" si="1"/>
        <v xml:space="preserve"> C 125x50x20x4.5</v>
      </c>
      <c r="C42" s="13" t="s">
        <v>79</v>
      </c>
      <c r="D42" s="13">
        <v>125</v>
      </c>
      <c r="E42" s="53">
        <v>50</v>
      </c>
      <c r="F42" s="53">
        <v>20</v>
      </c>
      <c r="G42" s="8">
        <v>4.5</v>
      </c>
      <c r="H42" s="8">
        <v>10.59</v>
      </c>
      <c r="I42" s="7">
        <v>8.32</v>
      </c>
      <c r="J42" s="8">
        <v>0</v>
      </c>
      <c r="K42" s="8">
        <v>1.68</v>
      </c>
      <c r="L42" s="8">
        <v>238</v>
      </c>
      <c r="M42" s="8">
        <v>33.5</v>
      </c>
      <c r="N42" s="8">
        <v>4.74</v>
      </c>
      <c r="O42" s="8">
        <v>1.78</v>
      </c>
      <c r="P42" s="8">
        <v>38</v>
      </c>
      <c r="Q42" s="8">
        <v>10</v>
      </c>
      <c r="R42" s="8">
        <v>4</v>
      </c>
      <c r="S42" s="8">
        <v>0</v>
      </c>
    </row>
    <row r="43" spans="1:19">
      <c r="A43" s="2">
        <f t="shared" si="0"/>
        <v>23</v>
      </c>
      <c r="B43" s="45" t="str">
        <f t="shared" si="1"/>
        <v xml:space="preserve"> C 125x50x20x4</v>
      </c>
      <c r="C43" s="14" t="s">
        <v>79</v>
      </c>
      <c r="D43" s="13">
        <v>125</v>
      </c>
      <c r="E43" s="53">
        <v>50</v>
      </c>
      <c r="F43" s="53">
        <v>20</v>
      </c>
      <c r="G43" s="8">
        <v>4</v>
      </c>
      <c r="H43" s="8">
        <v>9.548</v>
      </c>
      <c r="I43" s="7">
        <v>7.5</v>
      </c>
      <c r="J43" s="8">
        <v>0</v>
      </c>
      <c r="K43" s="8">
        <v>1.68</v>
      </c>
      <c r="L43" s="8">
        <v>217</v>
      </c>
      <c r="M43" s="8">
        <v>33.1</v>
      </c>
      <c r="N43" s="8">
        <v>4.7699999999999996</v>
      </c>
      <c r="O43" s="8">
        <v>1.81</v>
      </c>
      <c r="P43" s="8">
        <v>34.700000000000003</v>
      </c>
      <c r="Q43" s="8">
        <v>9.3800000000000008</v>
      </c>
      <c r="R43" s="8">
        <v>4</v>
      </c>
      <c r="S43" s="8">
        <v>0</v>
      </c>
    </row>
    <row r="44" spans="1:19">
      <c r="A44" s="2">
        <f t="shared" si="0"/>
        <v>24</v>
      </c>
      <c r="B44" s="45" t="str">
        <f t="shared" si="1"/>
        <v xml:space="preserve"> C 125x50x20x3.2</v>
      </c>
      <c r="C44" s="14" t="s">
        <v>79</v>
      </c>
      <c r="D44" s="13">
        <v>125</v>
      </c>
      <c r="E44" s="53">
        <v>50</v>
      </c>
      <c r="F44" s="53">
        <v>20</v>
      </c>
      <c r="G44" s="6">
        <v>3.2</v>
      </c>
      <c r="H44" s="6">
        <v>7.8070000000000004</v>
      </c>
      <c r="I44" s="7">
        <v>6.13</v>
      </c>
      <c r="J44" s="6">
        <v>0</v>
      </c>
      <c r="K44" s="6">
        <v>1.68</v>
      </c>
      <c r="L44" s="6">
        <v>181</v>
      </c>
      <c r="M44" s="6">
        <v>26.6</v>
      </c>
      <c r="N44" s="6">
        <v>4.82</v>
      </c>
      <c r="O44" s="6">
        <v>1.85</v>
      </c>
      <c r="P44" s="6">
        <v>29</v>
      </c>
      <c r="Q44" s="6">
        <v>8.02</v>
      </c>
      <c r="R44" s="6">
        <v>4</v>
      </c>
      <c r="S44" s="6">
        <v>0</v>
      </c>
    </row>
    <row r="45" spans="1:19">
      <c r="A45" s="2">
        <f t="shared" si="0"/>
        <v>25</v>
      </c>
      <c r="B45" s="46" t="str">
        <f t="shared" si="1"/>
        <v xml:space="preserve"> C 125x50x20x2.3</v>
      </c>
      <c r="C45" s="15" t="s">
        <v>79</v>
      </c>
      <c r="D45" s="13">
        <v>125</v>
      </c>
      <c r="E45" s="53">
        <v>50</v>
      </c>
      <c r="F45" s="53">
        <v>20</v>
      </c>
      <c r="G45" s="6">
        <v>2.2999999999999998</v>
      </c>
      <c r="H45" s="6">
        <v>5.7469999999999999</v>
      </c>
      <c r="I45" s="7">
        <v>4.51</v>
      </c>
      <c r="J45" s="6">
        <v>0</v>
      </c>
      <c r="K45" s="6">
        <v>1.69</v>
      </c>
      <c r="L45" s="6">
        <v>137</v>
      </c>
      <c r="M45" s="6">
        <v>20.6</v>
      </c>
      <c r="N45" s="6">
        <v>4.88</v>
      </c>
      <c r="O45" s="6">
        <v>1.89</v>
      </c>
      <c r="P45" s="6">
        <v>21.9</v>
      </c>
      <c r="Q45" s="6">
        <v>6.22</v>
      </c>
      <c r="R45" s="6">
        <v>4.0999999999999996</v>
      </c>
      <c r="S45" s="6">
        <v>0</v>
      </c>
    </row>
    <row r="46" spans="1:19">
      <c r="A46" s="2">
        <f t="shared" si="0"/>
        <v>26</v>
      </c>
      <c r="B46" s="45" t="str">
        <f t="shared" si="1"/>
        <v xml:space="preserve"> C 120x60x25x4.5</v>
      </c>
      <c r="C46" s="37" t="s">
        <v>80</v>
      </c>
      <c r="D46" s="50">
        <v>120</v>
      </c>
      <c r="E46" s="50">
        <v>60</v>
      </c>
      <c r="F46" s="50">
        <v>25</v>
      </c>
      <c r="G46" s="36">
        <v>4.5</v>
      </c>
      <c r="H46" s="8">
        <v>11.72</v>
      </c>
      <c r="I46" s="7">
        <v>9.1999999999999993</v>
      </c>
      <c r="J46" s="8">
        <v>0</v>
      </c>
      <c r="K46" s="8">
        <v>2.25</v>
      </c>
      <c r="L46" s="8">
        <v>252</v>
      </c>
      <c r="M46" s="8">
        <v>58</v>
      </c>
      <c r="N46" s="8">
        <v>4.63</v>
      </c>
      <c r="O46" s="8">
        <v>2.2200000000000002</v>
      </c>
      <c r="P46" s="8">
        <v>41.9</v>
      </c>
      <c r="Q46" s="8">
        <v>15.5</v>
      </c>
      <c r="R46" s="8">
        <v>5.3</v>
      </c>
      <c r="S46" s="8">
        <v>0</v>
      </c>
    </row>
    <row r="47" spans="1:19">
      <c r="A47" s="2">
        <f t="shared" si="0"/>
        <v>27</v>
      </c>
      <c r="B47" s="45" t="str">
        <f t="shared" si="1"/>
        <v xml:space="preserve"> C 120x60x25x3.2</v>
      </c>
      <c r="C47" s="38" t="s">
        <v>80</v>
      </c>
      <c r="D47" s="51">
        <v>120</v>
      </c>
      <c r="E47" s="51">
        <v>60</v>
      </c>
      <c r="F47" s="51">
        <v>25</v>
      </c>
      <c r="G47" s="33">
        <v>3.2</v>
      </c>
      <c r="H47" s="26">
        <v>8.2870000000000008</v>
      </c>
      <c r="I47" s="27">
        <v>6.51</v>
      </c>
      <c r="J47" s="26">
        <v>0</v>
      </c>
      <c r="K47" s="26">
        <v>2.12</v>
      </c>
      <c r="L47" s="26">
        <v>186</v>
      </c>
      <c r="M47" s="26">
        <v>40.9</v>
      </c>
      <c r="N47" s="26">
        <v>4.74</v>
      </c>
      <c r="O47" s="26">
        <v>2.2200000000000002</v>
      </c>
      <c r="P47" s="26">
        <v>31</v>
      </c>
      <c r="Q47" s="26">
        <v>10.5</v>
      </c>
      <c r="R47" s="26">
        <v>4.9000000000000004</v>
      </c>
      <c r="S47" s="26">
        <v>0</v>
      </c>
    </row>
    <row r="48" spans="1:19">
      <c r="A48" s="2">
        <f t="shared" si="0"/>
        <v>28</v>
      </c>
      <c r="B48" s="46" t="str">
        <f t="shared" si="1"/>
        <v xml:space="preserve"> C 120x60x25x2.3</v>
      </c>
      <c r="C48" s="39" t="s">
        <v>80</v>
      </c>
      <c r="D48" s="52">
        <v>120</v>
      </c>
      <c r="E48" s="52">
        <v>60</v>
      </c>
      <c r="F48" s="52">
        <v>25</v>
      </c>
      <c r="G48" s="33">
        <v>2.2999999999999998</v>
      </c>
      <c r="H48" s="26">
        <v>6.0919999999999996</v>
      </c>
      <c r="I48" s="27">
        <v>4.78</v>
      </c>
      <c r="J48" s="26">
        <v>0</v>
      </c>
      <c r="K48" s="26">
        <v>2.13</v>
      </c>
      <c r="L48" s="26">
        <v>140</v>
      </c>
      <c r="M48" s="26">
        <v>31.3</v>
      </c>
      <c r="N48" s="26">
        <v>4.79</v>
      </c>
      <c r="O48" s="26">
        <v>2.27</v>
      </c>
      <c r="P48" s="26">
        <v>23.3</v>
      </c>
      <c r="Q48" s="26">
        <v>8.1</v>
      </c>
      <c r="R48" s="26">
        <v>5.0999999999999996</v>
      </c>
      <c r="S48" s="26">
        <v>0</v>
      </c>
    </row>
    <row r="49" spans="1:19">
      <c r="A49" s="2">
        <f t="shared" si="0"/>
        <v>29</v>
      </c>
      <c r="B49" s="46" t="str">
        <f t="shared" si="1"/>
        <v xml:space="preserve"> C 120x40x20x3.2</v>
      </c>
      <c r="C49" s="35" t="s">
        <v>81</v>
      </c>
      <c r="D49" s="35">
        <v>120</v>
      </c>
      <c r="E49" s="35">
        <v>40</v>
      </c>
      <c r="F49" s="35">
        <v>20</v>
      </c>
      <c r="G49" s="8">
        <v>3.2</v>
      </c>
      <c r="H49" s="8">
        <v>7.0069999999999997</v>
      </c>
      <c r="I49" s="7">
        <v>5.5</v>
      </c>
      <c r="J49" s="8">
        <v>0</v>
      </c>
      <c r="K49" s="8">
        <v>1.32</v>
      </c>
      <c r="L49" s="8">
        <v>144</v>
      </c>
      <c r="M49" s="8">
        <v>15.3</v>
      </c>
      <c r="N49" s="8">
        <v>4.53</v>
      </c>
      <c r="O49" s="8">
        <v>1.48</v>
      </c>
      <c r="P49" s="8">
        <v>24</v>
      </c>
      <c r="Q49" s="8">
        <v>5.71</v>
      </c>
      <c r="R49" s="8">
        <v>3.4</v>
      </c>
      <c r="S49" s="8">
        <v>0</v>
      </c>
    </row>
    <row r="50" spans="1:19">
      <c r="A50" s="2">
        <f t="shared" si="0"/>
        <v>30</v>
      </c>
      <c r="B50" s="19" t="str">
        <f t="shared" si="1"/>
        <v xml:space="preserve"> C 100x50x20x4.5</v>
      </c>
      <c r="C50" s="25" t="s">
        <v>82</v>
      </c>
      <c r="D50" s="50">
        <v>100</v>
      </c>
      <c r="E50" s="50">
        <v>50</v>
      </c>
      <c r="F50" s="50">
        <v>20</v>
      </c>
      <c r="G50" s="33">
        <v>4.5</v>
      </c>
      <c r="H50" s="26">
        <v>9.4689999999999994</v>
      </c>
      <c r="I50" s="27">
        <v>7.43</v>
      </c>
      <c r="J50" s="26">
        <v>0</v>
      </c>
      <c r="K50" s="26">
        <v>1.86</v>
      </c>
      <c r="L50" s="26">
        <v>139</v>
      </c>
      <c r="M50" s="26">
        <v>30.9</v>
      </c>
      <c r="N50" s="26">
        <v>3.82</v>
      </c>
      <c r="O50" s="26">
        <v>1.81</v>
      </c>
      <c r="P50" s="26">
        <v>27.7</v>
      </c>
      <c r="Q50" s="26">
        <v>9.82</v>
      </c>
      <c r="R50" s="26">
        <v>4.3</v>
      </c>
      <c r="S50" s="26">
        <v>0</v>
      </c>
    </row>
    <row r="51" spans="1:19">
      <c r="A51" s="2">
        <f t="shared" si="0"/>
        <v>31</v>
      </c>
      <c r="B51" s="45" t="str">
        <f t="shared" si="1"/>
        <v xml:space="preserve"> C 100x50x20x4</v>
      </c>
      <c r="C51" s="29" t="s">
        <v>82</v>
      </c>
      <c r="D51" s="51">
        <v>100</v>
      </c>
      <c r="E51" s="51">
        <v>50</v>
      </c>
      <c r="F51" s="51">
        <v>20</v>
      </c>
      <c r="G51" s="33">
        <v>4</v>
      </c>
      <c r="H51" s="26">
        <v>8.548</v>
      </c>
      <c r="I51" s="27">
        <v>6.71</v>
      </c>
      <c r="J51" s="26">
        <v>0</v>
      </c>
      <c r="K51" s="26">
        <v>1.86</v>
      </c>
      <c r="L51" s="26">
        <v>127</v>
      </c>
      <c r="M51" s="26">
        <v>28.7</v>
      </c>
      <c r="N51" s="26">
        <v>3.85</v>
      </c>
      <c r="O51" s="26">
        <v>1.83</v>
      </c>
      <c r="P51" s="26">
        <v>25.4</v>
      </c>
      <c r="Q51" s="26">
        <v>9.1300000000000008</v>
      </c>
      <c r="R51" s="26">
        <v>4.3</v>
      </c>
      <c r="S51" s="26">
        <v>0</v>
      </c>
    </row>
    <row r="52" spans="1:19">
      <c r="A52" s="2">
        <f t="shared" si="0"/>
        <v>32</v>
      </c>
      <c r="B52" s="45" t="str">
        <f t="shared" si="1"/>
        <v xml:space="preserve"> C 100x50x20x3.2</v>
      </c>
      <c r="C52" s="29" t="s">
        <v>82</v>
      </c>
      <c r="D52" s="51">
        <v>100</v>
      </c>
      <c r="E52" s="51">
        <v>50</v>
      </c>
      <c r="F52" s="51">
        <v>20</v>
      </c>
      <c r="G52" s="34">
        <v>3.2</v>
      </c>
      <c r="H52" s="28">
        <v>7.0069999999999997</v>
      </c>
      <c r="I52" s="27">
        <v>5.5</v>
      </c>
      <c r="J52" s="28">
        <v>0</v>
      </c>
      <c r="K52" s="28">
        <v>1.86</v>
      </c>
      <c r="L52" s="28">
        <v>107</v>
      </c>
      <c r="M52" s="28">
        <v>24.5</v>
      </c>
      <c r="N52" s="28">
        <v>3.9</v>
      </c>
      <c r="O52" s="28">
        <v>1.87</v>
      </c>
      <c r="P52" s="28">
        <v>21.3</v>
      </c>
      <c r="Q52" s="28">
        <v>7.81</v>
      </c>
      <c r="R52" s="28">
        <v>4.4000000000000004</v>
      </c>
      <c r="S52" s="28">
        <v>0</v>
      </c>
    </row>
    <row r="53" spans="1:19">
      <c r="A53" s="2">
        <f t="shared" si="0"/>
        <v>33</v>
      </c>
      <c r="B53" s="45" t="str">
        <f t="shared" si="1"/>
        <v xml:space="preserve"> C 100x50x20x2.3</v>
      </c>
      <c r="C53" s="29" t="s">
        <v>82</v>
      </c>
      <c r="D53" s="51">
        <v>100</v>
      </c>
      <c r="E53" s="51">
        <v>50</v>
      </c>
      <c r="F53" s="51">
        <v>20</v>
      </c>
      <c r="G53" s="34">
        <v>2.2999999999999998</v>
      </c>
      <c r="H53" s="28">
        <v>5.1719999999999997</v>
      </c>
      <c r="I53" s="27">
        <v>4.0599999999999996</v>
      </c>
      <c r="J53" s="28">
        <v>0</v>
      </c>
      <c r="K53" s="28">
        <v>1.86</v>
      </c>
      <c r="L53" s="28">
        <v>80.7</v>
      </c>
      <c r="M53" s="28">
        <v>19</v>
      </c>
      <c r="N53" s="28">
        <v>3.95</v>
      </c>
      <c r="O53" s="28">
        <v>1.92</v>
      </c>
      <c r="P53" s="28">
        <v>16</v>
      </c>
      <c r="Q53" s="28">
        <v>6.06</v>
      </c>
      <c r="R53" s="28">
        <v>4.4000000000000004</v>
      </c>
      <c r="S53" s="28">
        <v>0</v>
      </c>
    </row>
    <row r="54" spans="1:19">
      <c r="A54" s="2">
        <f t="shared" si="0"/>
        <v>34</v>
      </c>
      <c r="B54" s="45" t="str">
        <f t="shared" si="1"/>
        <v xml:space="preserve"> C 90x45x15x3.2</v>
      </c>
      <c r="C54" s="13" t="s">
        <v>83</v>
      </c>
      <c r="D54" s="53">
        <v>90</v>
      </c>
      <c r="E54" s="53">
        <v>45</v>
      </c>
      <c r="F54" s="53">
        <v>15</v>
      </c>
      <c r="G54" s="36">
        <v>3.2</v>
      </c>
      <c r="H54" s="8">
        <v>6.367</v>
      </c>
      <c r="I54" s="7">
        <v>5</v>
      </c>
      <c r="J54" s="8">
        <v>0</v>
      </c>
      <c r="K54" s="8">
        <v>1.72</v>
      </c>
      <c r="L54" s="8">
        <v>76.900000000000006</v>
      </c>
      <c r="M54" s="8">
        <v>18.3</v>
      </c>
      <c r="N54" s="8">
        <v>3.48</v>
      </c>
      <c r="O54" s="8">
        <v>1.69</v>
      </c>
      <c r="P54" s="8">
        <v>17.100000000000001</v>
      </c>
      <c r="Q54" s="8">
        <v>6.57</v>
      </c>
      <c r="R54" s="8">
        <v>4.0999999999999996</v>
      </c>
      <c r="S54" s="8">
        <v>0</v>
      </c>
    </row>
    <row r="55" spans="1:19">
      <c r="A55" s="2">
        <f t="shared" si="0"/>
        <v>35</v>
      </c>
      <c r="B55" s="45" t="str">
        <f t="shared" si="1"/>
        <v xml:space="preserve"> C 90x45x15x2.3</v>
      </c>
      <c r="C55" s="14" t="s">
        <v>83</v>
      </c>
      <c r="D55" s="43">
        <v>90</v>
      </c>
      <c r="E55" s="43">
        <v>45</v>
      </c>
      <c r="F55" s="43">
        <v>15</v>
      </c>
      <c r="G55" s="36">
        <v>2.2999999999999998</v>
      </c>
      <c r="H55" s="8">
        <v>4.7119999999999997</v>
      </c>
      <c r="I55" s="7">
        <v>3.7</v>
      </c>
      <c r="J55" s="8">
        <v>0</v>
      </c>
      <c r="K55" s="8">
        <v>1.73</v>
      </c>
      <c r="L55" s="8">
        <v>58.6</v>
      </c>
      <c r="M55" s="8">
        <v>14.2</v>
      </c>
      <c r="N55" s="8">
        <v>3.53</v>
      </c>
      <c r="O55" s="8">
        <v>1.74</v>
      </c>
      <c r="P55" s="8">
        <v>13</v>
      </c>
      <c r="Q55" s="8">
        <v>5.14</v>
      </c>
      <c r="R55" s="8">
        <v>4.0999999999999996</v>
      </c>
      <c r="S55" s="8">
        <v>0</v>
      </c>
    </row>
    <row r="56" spans="1:19">
      <c r="A56" s="2">
        <f t="shared" si="0"/>
        <v>36</v>
      </c>
      <c r="B56" s="19" t="str">
        <f t="shared" si="1"/>
        <v xml:space="preserve"> C 75x45x15x2.3</v>
      </c>
      <c r="C56" s="31" t="s">
        <v>84</v>
      </c>
      <c r="D56" s="31">
        <v>75</v>
      </c>
      <c r="E56" s="31">
        <v>45</v>
      </c>
      <c r="F56" s="31">
        <v>15</v>
      </c>
      <c r="G56" s="28">
        <v>2.2999999999999998</v>
      </c>
      <c r="H56" s="28">
        <v>4.1369999999999996</v>
      </c>
      <c r="I56" s="27">
        <v>3.25</v>
      </c>
      <c r="J56" s="28">
        <v>0</v>
      </c>
      <c r="K56" s="28">
        <v>1.72</v>
      </c>
      <c r="L56" s="28">
        <v>37.1</v>
      </c>
      <c r="M56" s="28">
        <v>11.8</v>
      </c>
      <c r="N56" s="28">
        <v>3</v>
      </c>
      <c r="O56" s="28">
        <v>1.69</v>
      </c>
      <c r="P56" s="28">
        <v>9.9</v>
      </c>
      <c r="Q56" s="28">
        <v>4.24</v>
      </c>
      <c r="R56" s="28">
        <v>4</v>
      </c>
      <c r="S56" s="28">
        <v>0</v>
      </c>
    </row>
    <row r="57" spans="1:19">
      <c r="A57" s="2">
        <f t="shared" si="0"/>
        <v>37</v>
      </c>
      <c r="B57" s="45" t="str">
        <f t="shared" si="1"/>
        <v xml:space="preserve"> C 75x45x15x2</v>
      </c>
      <c r="C57" s="32" t="s">
        <v>84</v>
      </c>
      <c r="D57" s="32">
        <v>75</v>
      </c>
      <c r="E57" s="32">
        <v>45</v>
      </c>
      <c r="F57" s="32">
        <v>15</v>
      </c>
      <c r="G57" s="28">
        <v>2</v>
      </c>
      <c r="H57" s="28">
        <v>3.637</v>
      </c>
      <c r="I57" s="27">
        <v>2.86</v>
      </c>
      <c r="J57" s="28">
        <v>0</v>
      </c>
      <c r="K57" s="28">
        <v>1.72</v>
      </c>
      <c r="L57" s="28">
        <v>33</v>
      </c>
      <c r="M57" s="28">
        <v>10.5</v>
      </c>
      <c r="N57" s="28">
        <v>3.01</v>
      </c>
      <c r="O57" s="28">
        <v>1.7</v>
      </c>
      <c r="P57" s="28">
        <v>8.7899999999999991</v>
      </c>
      <c r="Q57" s="28">
        <v>3.76</v>
      </c>
      <c r="R57" s="28">
        <v>4</v>
      </c>
      <c r="S57" s="28">
        <v>0</v>
      </c>
    </row>
    <row r="58" spans="1:19">
      <c r="A58" s="2">
        <f t="shared" si="0"/>
        <v>38</v>
      </c>
      <c r="B58" s="54" t="str">
        <f t="shared" si="1"/>
        <v xml:space="preserve"> C 75x35x15x2.3</v>
      </c>
      <c r="C58" s="8" t="s">
        <v>85</v>
      </c>
      <c r="D58" s="8">
        <v>75</v>
      </c>
      <c r="E58" s="8">
        <v>35</v>
      </c>
      <c r="F58" s="8">
        <v>15</v>
      </c>
      <c r="G58" s="8">
        <v>2.2999999999999998</v>
      </c>
      <c r="H58" s="8">
        <v>3.677</v>
      </c>
      <c r="I58" s="7">
        <v>2.89</v>
      </c>
      <c r="J58" s="8">
        <v>0</v>
      </c>
      <c r="K58" s="8">
        <v>1.29</v>
      </c>
      <c r="L58" s="8">
        <v>31</v>
      </c>
      <c r="M58" s="8">
        <v>6.58</v>
      </c>
      <c r="N58" s="8">
        <v>2.91</v>
      </c>
      <c r="O58" s="8">
        <v>1.34</v>
      </c>
      <c r="P58" s="8">
        <v>8.2799999999999994</v>
      </c>
      <c r="Q58" s="8">
        <v>2.98</v>
      </c>
      <c r="R58" s="8">
        <v>3.1</v>
      </c>
      <c r="S58" s="8">
        <v>0</v>
      </c>
    </row>
    <row r="59" spans="1:19">
      <c r="C59" s="134" t="s">
        <v>51</v>
      </c>
      <c r="D59" s="134"/>
      <c r="E59" s="134"/>
      <c r="F59" s="134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</row>
    <row r="60" spans="1:19">
      <c r="C60" s="4"/>
      <c r="D60" s="4"/>
      <c r="E60" s="4"/>
      <c r="F60" s="4"/>
    </row>
    <row r="61" spans="1:19">
      <c r="C61" s="4"/>
      <c r="D61" s="4"/>
      <c r="E61" s="4"/>
      <c r="F61" s="4"/>
      <c r="G61" s="2" t="s">
        <v>100</v>
      </c>
    </row>
  </sheetData>
  <mergeCells count="9">
    <mergeCell ref="C59:S59"/>
    <mergeCell ref="P19:Q19"/>
    <mergeCell ref="R19:S19"/>
    <mergeCell ref="C19:G19"/>
    <mergeCell ref="H19:H20"/>
    <mergeCell ref="I19:I20"/>
    <mergeCell ref="J19:K19"/>
    <mergeCell ref="L19:M19"/>
    <mergeCell ref="N19:O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ST1</vt:lpstr>
      <vt:lpstr>Rect</vt:lpstr>
      <vt:lpstr>Light Lip</vt:lpstr>
      <vt:lpstr>'ST1'!Print_Area</vt:lpstr>
    </vt:vector>
  </TitlesOfParts>
  <Company>Biotechnology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WincoolV4</dc:creator>
  <cp:lastModifiedBy>88</cp:lastModifiedBy>
  <cp:lastPrinted>2009-10-12T14:50:06Z</cp:lastPrinted>
  <dcterms:created xsi:type="dcterms:W3CDTF">2009-03-10T15:54:54Z</dcterms:created>
  <dcterms:modified xsi:type="dcterms:W3CDTF">2010-03-27T14:18:21Z</dcterms:modified>
</cp:coreProperties>
</file>