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240" yWindow="120" windowWidth="24735" windowHeight="12210" activeTab="2"/>
  </bookViews>
  <sheets>
    <sheet name="Drained1" sheetId="1" r:id="rId1"/>
    <sheet name="Drained2" sheetId="3" r:id="rId2"/>
    <sheet name="Undrained" sheetId="4" r:id="rId3"/>
  </sheets>
  <definedNames>
    <definedName name="_xlnm.Print_Area" localSheetId="0">Drained1!$A$1:$R$62</definedName>
    <definedName name="_xlnm.Print_Area" localSheetId="1">Drained2!$A$1:$R$61</definedName>
    <definedName name="_xlnm.Print_Area" localSheetId="2">Undrained!$A$1:$R$61</definedName>
  </definedNames>
  <calcPr calcId="152511"/>
</workbook>
</file>

<file path=xl/calcChain.xml><?xml version="1.0" encoding="utf-8"?>
<calcChain xmlns="http://schemas.openxmlformats.org/spreadsheetml/2006/main">
  <c r="I10" i="1" l="1"/>
  <c r="I10" i="3"/>
  <c r="I10" i="4"/>
  <c r="O56" i="4"/>
  <c r="O55" i="4"/>
  <c r="O54" i="4"/>
  <c r="O53" i="4"/>
  <c r="O52" i="4"/>
  <c r="O51" i="4"/>
  <c r="L56" i="4"/>
  <c r="L55" i="4"/>
  <c r="L54" i="4"/>
  <c r="L53" i="4"/>
  <c r="L52" i="4"/>
  <c r="L51" i="4"/>
  <c r="C41" i="4" l="1"/>
  <c r="C39" i="4"/>
  <c r="C37" i="4"/>
  <c r="P56" i="4"/>
  <c r="P55" i="4"/>
  <c r="P54" i="4"/>
  <c r="P53" i="4"/>
  <c r="P52" i="4"/>
  <c r="P51" i="4"/>
  <c r="U49" i="4"/>
  <c r="T49" i="4"/>
  <c r="U48" i="4"/>
  <c r="O45" i="4"/>
  <c r="C40" i="4"/>
  <c r="P56" i="3"/>
  <c r="P55" i="3"/>
  <c r="P54" i="3"/>
  <c r="P53" i="3"/>
  <c r="P52" i="3"/>
  <c r="P51" i="3"/>
  <c r="P56" i="1"/>
  <c r="P55" i="1"/>
  <c r="P54" i="1"/>
  <c r="P53" i="1"/>
  <c r="P52" i="1"/>
  <c r="P51" i="1"/>
  <c r="C41" i="3"/>
  <c r="C39" i="3"/>
  <c r="C38" i="3"/>
  <c r="C37" i="3"/>
  <c r="U49" i="3"/>
  <c r="T49" i="3"/>
  <c r="U48" i="3"/>
  <c r="O45" i="3"/>
  <c r="C40" i="3"/>
  <c r="U49" i="1"/>
  <c r="U48" i="1"/>
  <c r="T49" i="1"/>
  <c r="O45" i="1"/>
  <c r="X41" i="1"/>
  <c r="W41" i="1"/>
  <c r="V41" i="1"/>
  <c r="U41" i="1"/>
  <c r="T41" i="1"/>
  <c r="C40" i="1"/>
  <c r="C39" i="1"/>
  <c r="C38" i="1"/>
  <c r="C37" i="1"/>
  <c r="I38" i="3" l="1"/>
  <c r="I37" i="4"/>
  <c r="I40" i="4"/>
  <c r="I37" i="3"/>
  <c r="I40" i="3"/>
  <c r="I39" i="3"/>
  <c r="C41" i="1"/>
  <c r="I40" i="1" s="1"/>
  <c r="I37" i="1"/>
  <c r="I39" i="1"/>
  <c r="I38" i="1"/>
  <c r="O46" i="4" l="1"/>
  <c r="O37" i="4"/>
  <c r="M37" i="4"/>
  <c r="M37" i="3"/>
  <c r="O46" i="3"/>
  <c r="O37" i="3"/>
  <c r="O37" i="1"/>
  <c r="O46" i="1"/>
  <c r="M37" i="1"/>
  <c r="O40" i="1" s="1"/>
  <c r="O40" i="4" l="1"/>
  <c r="O40" i="3"/>
</calcChain>
</file>

<file path=xl/sharedStrings.xml><?xml version="1.0" encoding="utf-8"?>
<sst xmlns="http://schemas.openxmlformats.org/spreadsheetml/2006/main" count="304" uniqueCount="135">
  <si>
    <t>Project Name :</t>
  </si>
  <si>
    <t>Project No:</t>
  </si>
  <si>
    <t>Client :</t>
  </si>
  <si>
    <t>Subject :</t>
  </si>
  <si>
    <t>Prepared by:</t>
  </si>
  <si>
    <t>PV</t>
  </si>
  <si>
    <t>Date :</t>
  </si>
  <si>
    <t>Checked by:</t>
  </si>
  <si>
    <t>Ref. BH:</t>
  </si>
  <si>
    <t>m</t>
  </si>
  <si>
    <r>
      <t>kN/m</t>
    </r>
    <r>
      <rPr>
        <vertAlign val="superscript"/>
        <sz val="11"/>
        <color theme="1"/>
        <rFont val="Calibri"/>
        <family val="2"/>
        <scheme val="minor"/>
      </rPr>
      <t>3</t>
    </r>
  </si>
  <si>
    <t>Calculated FS =</t>
  </si>
  <si>
    <t>TRENCH STABILITY (3D)</t>
  </si>
  <si>
    <t>kPa</t>
  </si>
  <si>
    <t>q = vertical surcharge =</t>
  </si>
  <si>
    <r>
      <t>q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vertical surcharge that contributes to S =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</si>
  <si>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soil unit weight in crack zone =</t>
    </r>
  </si>
  <si>
    <r>
      <t>z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depth of tension crack =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</si>
  <si>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fc</t>
    </r>
    <r>
      <rPr>
        <sz val="11"/>
        <color theme="1"/>
        <rFont val="Calibri"/>
        <family val="2"/>
        <scheme val="minor"/>
      </rPr>
      <t xml:space="preserve"> = unit weight of fluid in crack</t>
    </r>
  </si>
  <si>
    <r>
      <t>H</t>
    </r>
    <r>
      <rPr>
        <vertAlign val="subscript"/>
        <sz val="11"/>
        <color theme="1"/>
        <rFont val="Calibri"/>
        <family val="2"/>
        <scheme val="minor"/>
      </rPr>
      <t>fc</t>
    </r>
    <r>
      <rPr>
        <sz val="11"/>
        <color theme="1"/>
        <rFont val="Calibri"/>
        <family val="2"/>
        <scheme val="minor"/>
      </rPr>
      <t xml:space="preserve"> = height of fluid in crack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</si>
  <si>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= operator to allow U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(1 = yes, 0 = no)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</si>
  <si>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 = soil unit weight between GWT and crack</t>
    </r>
  </si>
  <si>
    <t>(-)</t>
  </si>
  <si>
    <r>
      <t>c'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effective cohesion above GWT</t>
    </r>
  </si>
  <si>
    <t>degree</t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</si>
  <si>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' = effective friction angle (constant along depth) =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</si>
  <si>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>= soil saturated unit weight below GWT</t>
    </r>
  </si>
  <si>
    <r>
      <t>c'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 effective cohesion below GWT</t>
    </r>
  </si>
  <si>
    <t>H = depth of trench =</t>
  </si>
  <si>
    <t>L = length of trench =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</si>
  <si>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unit weight of slurry in trench</t>
    </r>
  </si>
  <si>
    <r>
      <t>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height of slurry in trench =</t>
    </r>
  </si>
  <si>
    <r>
      <t>z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= depth of GWT from surface =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</si>
  <si>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 xml:space="preserve">w </t>
    </r>
    <r>
      <rPr>
        <sz val="11"/>
        <color theme="1"/>
        <rFont val="Calibri"/>
        <family val="2"/>
        <scheme val="minor"/>
      </rPr>
      <t>= unit weight of water =</t>
    </r>
  </si>
  <si>
    <t>K = lateral earth pressure coeff. for side panels =</t>
  </si>
  <si>
    <t>Calculated Parameters for Coefficients in Cubic Equation</t>
  </si>
  <si>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1 =</t>
    </r>
  </si>
  <si>
    <r>
      <t>Λ1</t>
    </r>
    <r>
      <rPr>
        <sz val="14.3"/>
        <color theme="1"/>
        <rFont val="Calibri"/>
        <family val="2"/>
      </rPr>
      <t xml:space="preserve"> =</t>
    </r>
  </si>
  <si>
    <r>
      <t>Γ1</t>
    </r>
    <r>
      <rPr>
        <sz val="14.3"/>
        <color theme="1"/>
        <rFont val="Calibri"/>
        <family val="2"/>
      </rPr>
      <t xml:space="preserve"> =</t>
    </r>
  </si>
  <si>
    <t>kN/m (Equation 16)</t>
  </si>
  <si>
    <t>kN/m (Equation 12)</t>
  </si>
  <si>
    <t>kN/m (Equation 10)</t>
  </si>
  <si>
    <t>Ω =</t>
  </si>
  <si>
    <t>kN/m (Equation 14)</t>
  </si>
  <si>
    <t>Ф1 =</t>
  </si>
  <si>
    <t>kN (Equation 6)</t>
  </si>
  <si>
    <t>For Equation (6)</t>
  </si>
  <si>
    <t>Term 1</t>
  </si>
  <si>
    <t>Term 2</t>
  </si>
  <si>
    <t>Term 3</t>
  </si>
  <si>
    <t>Term 4</t>
  </si>
  <si>
    <t>Term 5</t>
  </si>
  <si>
    <t>Coefficients in Cubic Equation</t>
  </si>
  <si>
    <t>A1 =</t>
  </si>
  <si>
    <t>B1 =</t>
  </si>
  <si>
    <t>C1 =</t>
  </si>
  <si>
    <t>D1 =</t>
  </si>
  <si>
    <r>
      <t xml:space="preserve">(cos 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+</t>
    </r>
  </si>
  <si>
    <r>
      <t xml:space="preserve">(cos 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</t>
    </r>
  </si>
  <si>
    <t>= 0</t>
  </si>
  <si>
    <r>
      <t xml:space="preserve">Initial Guess for cos 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 xml:space="preserve">cr </t>
    </r>
    <r>
      <rPr>
        <sz val="11"/>
        <color theme="1"/>
        <rFont val="Calibri"/>
        <family val="2"/>
        <scheme val="minor"/>
      </rPr>
      <t>=</t>
    </r>
  </si>
  <si>
    <t>(from 0.707 to 0)</t>
  </si>
  <si>
    <t>Click on cell O40 and then</t>
  </si>
  <si>
    <t>1) Data -&gt; What-if Analysis -&gt; Goal Seek</t>
  </si>
  <si>
    <t>2) To Value: 0</t>
  </si>
  <si>
    <t>3) By Changing Cell: O39</t>
  </si>
  <si>
    <t>4) OK</t>
  </si>
  <si>
    <t>Cubic Equation (Eq. 22)</t>
  </si>
  <si>
    <r>
      <t xml:space="preserve">Calculated Critical Angle    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cr</t>
    </r>
    <r>
      <rPr>
        <sz val="11"/>
        <color theme="1"/>
        <rFont val="Calibri"/>
        <family val="2"/>
        <scheme val="minor"/>
      </rPr>
      <t xml:space="preserve"> =</t>
    </r>
  </si>
  <si>
    <r>
      <t>Drained Effective Stress Stability Analysis for z</t>
    </r>
    <r>
      <rPr>
        <b/>
        <vertAlign val="subscript"/>
        <sz val="11"/>
        <color rgb="FF0000FF"/>
        <rFont val="Calibri"/>
        <family val="2"/>
        <scheme val="minor"/>
      </rPr>
      <t>w</t>
    </r>
    <r>
      <rPr>
        <b/>
        <sz val="11"/>
        <color rgb="FF0000FF"/>
        <rFont val="Calibri"/>
        <family val="2"/>
        <scheme val="minor"/>
      </rPr>
      <t xml:space="preserve"> &gt; z</t>
    </r>
    <r>
      <rPr>
        <b/>
        <vertAlign val="subscript"/>
        <sz val="11"/>
        <color rgb="FF0000FF"/>
        <rFont val="Calibri"/>
        <family val="2"/>
        <scheme val="minor"/>
      </rPr>
      <t>c</t>
    </r>
  </si>
  <si>
    <r>
      <t>z</t>
    </r>
    <r>
      <rPr>
        <vertAlign val="subscript"/>
        <sz val="11"/>
        <color theme="1"/>
        <rFont val="Calibri"/>
        <family val="2"/>
        <scheme val="minor"/>
      </rPr>
      <t>w</t>
    </r>
  </si>
  <si>
    <t>FS</t>
  </si>
  <si>
    <r>
      <t>Results from Changing z</t>
    </r>
    <r>
      <rPr>
        <b/>
        <vertAlign val="subscript"/>
        <sz val="11"/>
        <color rgb="FF0000FF"/>
        <rFont val="Calibri"/>
        <family val="2"/>
        <scheme val="minor"/>
      </rPr>
      <t>w</t>
    </r>
  </si>
  <si>
    <t>Required FS =</t>
  </si>
  <si>
    <t>Plotting Required FS</t>
  </si>
  <si>
    <t>(put in Table below)</t>
  </si>
  <si>
    <t>Spreadsheet created 27 November 2011, Punlop</t>
  </si>
  <si>
    <r>
      <t>Drained Effective Stress Stability Analysis for z</t>
    </r>
    <r>
      <rPr>
        <b/>
        <vertAlign val="subscript"/>
        <sz val="11"/>
        <color rgb="FF0000FF"/>
        <rFont val="Calibri"/>
        <family val="2"/>
        <scheme val="minor"/>
      </rPr>
      <t>w</t>
    </r>
    <r>
      <rPr>
        <b/>
        <sz val="11"/>
        <color rgb="FF0000FF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</rPr>
      <t>≤</t>
    </r>
    <r>
      <rPr>
        <b/>
        <sz val="11"/>
        <color rgb="FF0000FF"/>
        <rFont val="Calibri"/>
        <family val="2"/>
        <scheme val="minor"/>
      </rPr>
      <t xml:space="preserve"> z</t>
    </r>
    <r>
      <rPr>
        <b/>
        <vertAlign val="subscript"/>
        <sz val="11"/>
        <color rgb="FF0000FF"/>
        <rFont val="Calibri"/>
        <family val="2"/>
        <scheme val="minor"/>
      </rPr>
      <t>c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</si>
  <si>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soil unit weight in crack zone, above GWT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</si>
  <si>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c.sat</t>
    </r>
    <r>
      <rPr>
        <sz val="11"/>
        <color theme="1"/>
        <rFont val="Calibri"/>
        <family val="2"/>
        <scheme val="minor"/>
      </rPr>
      <t xml:space="preserve"> = soil unit weight in crack zone, below GWT</t>
    </r>
  </si>
  <si>
    <t>c' = effective cohesion (constant along depth)</t>
  </si>
  <si>
    <r>
      <rPr>
        <sz val="11"/>
        <color theme="1"/>
        <rFont val="Symbol"/>
        <family val="1"/>
        <charset val="2"/>
      </rPr>
      <t>y2</t>
    </r>
    <r>
      <rPr>
        <sz val="11"/>
        <color theme="1"/>
        <rFont val="Calibri"/>
        <family val="2"/>
        <scheme val="minor"/>
      </rPr>
      <t xml:space="preserve"> =</t>
    </r>
  </si>
  <si>
    <r>
      <t>Λ2</t>
    </r>
    <r>
      <rPr>
        <sz val="14.3"/>
        <color theme="1"/>
        <rFont val="Calibri"/>
        <family val="2"/>
      </rPr>
      <t xml:space="preserve"> =</t>
    </r>
  </si>
  <si>
    <r>
      <t>Γ2</t>
    </r>
    <r>
      <rPr>
        <sz val="14.3"/>
        <color theme="1"/>
        <rFont val="Calibri"/>
        <family val="2"/>
      </rPr>
      <t xml:space="preserve"> =</t>
    </r>
  </si>
  <si>
    <t>Ф2 =</t>
  </si>
  <si>
    <t>kN/m (Equation 44)</t>
  </si>
  <si>
    <t>kN/m (Equation 41)</t>
  </si>
  <si>
    <t>kN/m (Equation 39)</t>
  </si>
  <si>
    <t>kN (Equation 34)</t>
  </si>
  <si>
    <t>A2 =</t>
  </si>
  <si>
    <t>B2 =</t>
  </si>
  <si>
    <t>C2 =</t>
  </si>
  <si>
    <t>D2 =</t>
  </si>
  <si>
    <t>Cubic Equation (Eq. 50)</t>
  </si>
  <si>
    <t>Spreadsheet created 22 November 2011, modified 27 November 2011, Punlop</t>
  </si>
  <si>
    <t>Undrained Total Stress Stability Analysis</t>
  </si>
  <si>
    <t>Input Parameters for Undrained Case</t>
  </si>
  <si>
    <r>
      <t>Input Parameters for Drained Case z</t>
    </r>
    <r>
      <rPr>
        <b/>
        <vertAlign val="subscript"/>
        <sz val="10"/>
        <color rgb="FF0000FF"/>
        <rFont val="Arial"/>
        <family val="2"/>
      </rPr>
      <t>w</t>
    </r>
    <r>
      <rPr>
        <b/>
        <sz val="10"/>
        <color rgb="FF0000FF"/>
        <rFont val="Arial"/>
        <family val="2"/>
      </rPr>
      <t xml:space="preserve"> &gt; z</t>
    </r>
    <r>
      <rPr>
        <b/>
        <vertAlign val="subscript"/>
        <sz val="10"/>
        <color rgb="FF0000FF"/>
        <rFont val="Arial"/>
        <family val="2"/>
      </rPr>
      <t>c</t>
    </r>
  </si>
  <si>
    <r>
      <t>Input Parameters for Drained Case z</t>
    </r>
    <r>
      <rPr>
        <b/>
        <vertAlign val="subscript"/>
        <sz val="10"/>
        <color rgb="FF0000FF"/>
        <rFont val="Arial"/>
        <family val="2"/>
      </rPr>
      <t>w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0000FF"/>
        <rFont val="Calibri"/>
        <family val="2"/>
      </rPr>
      <t>≤</t>
    </r>
    <r>
      <rPr>
        <b/>
        <sz val="10"/>
        <color rgb="FF0000FF"/>
        <rFont val="Arial"/>
        <family val="2"/>
      </rPr>
      <t xml:space="preserve"> z</t>
    </r>
    <r>
      <rPr>
        <b/>
        <vertAlign val="subscript"/>
        <sz val="10"/>
        <color rgb="FF0000FF"/>
        <rFont val="Arial"/>
        <family val="2"/>
      </rPr>
      <t>c</t>
    </r>
  </si>
  <si>
    <t>a = undrained shear strenght at z = 0</t>
  </si>
  <si>
    <t>kPa/m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</si>
  <si>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>= soil saturated unit weight</t>
    </r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</si>
  <si>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soil unit weight in crack zone</t>
    </r>
  </si>
  <si>
    <r>
      <t>b = change of c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with depth</t>
    </r>
  </si>
  <si>
    <r>
      <rPr>
        <sz val="11"/>
        <color theme="1"/>
        <rFont val="Symbol"/>
        <family val="1"/>
        <charset val="2"/>
      </rPr>
      <t>y3</t>
    </r>
    <r>
      <rPr>
        <sz val="11"/>
        <color theme="1"/>
        <rFont val="Calibri"/>
        <family val="2"/>
        <scheme val="minor"/>
      </rPr>
      <t xml:space="preserve"> =</t>
    </r>
  </si>
  <si>
    <r>
      <t>Γ3</t>
    </r>
    <r>
      <rPr>
        <sz val="14.3"/>
        <color theme="1"/>
        <rFont val="Calibri"/>
        <family val="2"/>
      </rPr>
      <t xml:space="preserve"> =</t>
    </r>
  </si>
  <si>
    <t>Ф3 =</t>
  </si>
  <si>
    <t>kN/m (Equation 63)</t>
  </si>
  <si>
    <t>kN/m (Equation 60)</t>
  </si>
  <si>
    <t>kN (Equation 57)</t>
  </si>
  <si>
    <t>A3 =</t>
  </si>
  <si>
    <t>D3 =</t>
  </si>
  <si>
    <t>Cubic Equation (Eq. 67)</t>
  </si>
  <si>
    <r>
      <t>Results from Changing H</t>
    </r>
    <r>
      <rPr>
        <b/>
        <vertAlign val="subscript"/>
        <sz val="11"/>
        <color rgb="FF0000FF"/>
        <rFont val="Calibri"/>
        <family val="2"/>
        <scheme val="minor"/>
      </rPr>
      <t>s</t>
    </r>
  </si>
  <si>
    <t>Slurry Depth</t>
  </si>
  <si>
    <r>
      <t>H</t>
    </r>
    <r>
      <rPr>
        <vertAlign val="subscript"/>
        <sz val="11"/>
        <color theme="1"/>
        <rFont val="Calibri"/>
        <family val="2"/>
        <scheme val="minor"/>
      </rPr>
      <t>s</t>
    </r>
  </si>
  <si>
    <t>Reference: Fox, P.J. (2004). "Analytical solutions for stability of slurry trench." J. of Geotech. and Geoenviron., ASCE, Vol.130(7), 749-758.</t>
  </si>
  <si>
    <t>L = 8.0</t>
  </si>
  <si>
    <t>LTA</t>
  </si>
  <si>
    <t>Adv Eng Consultancy for Proposed NSE, C4361</t>
  </si>
  <si>
    <t>Trench Stability by Limit Equilibrium</t>
  </si>
  <si>
    <t>2608224A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</si>
  <si>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</si>
  <si>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</si>
  <si>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</si>
  <si>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</si>
  <si>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</si>
  <si>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</si>
  <si>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</si>
  <si>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L = 16.4</t>
  </si>
  <si>
    <t>L = 18</t>
  </si>
  <si>
    <t>L = 25</t>
  </si>
  <si>
    <t>L = 30</t>
  </si>
  <si>
    <t>L = 10000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</si>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</sst>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11"/>
      <color theme="1"/>
      <name val="Calibri"/>
      <family val="2"/>
    </font>
    <font>
      <sz val="14.3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vertAlign val="subscript"/>
      <sz val="10"/>
      <color rgb="FF0000FF"/>
      <name val="Arial"/>
      <family val="2"/>
    </font>
    <font>
      <b/>
      <vertAlign val="subscript"/>
      <sz val="11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b/>
      <sz val="11"/>
      <color rgb="FF0000FF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4" xfId="0" applyFill="1" applyBorder="1"/>
    <xf numFmtId="164" fontId="0" fillId="0" borderId="0" xfId="0" applyNumberFormat="1" applyFill="1" applyBorder="1" applyAlignment="1">
      <alignment horizontal="left"/>
    </xf>
    <xf numFmtId="0" fontId="8" fillId="0" borderId="0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quotePrefix="1" applyBorder="1"/>
    <xf numFmtId="2" fontId="0" fillId="0" borderId="0" xfId="0" applyNumberFormat="1" applyAlignment="1">
      <alignment horizontal="center"/>
    </xf>
    <xf numFmtId="0" fontId="11" fillId="0" borderId="0" xfId="0" applyFont="1" applyFill="1" applyBorder="1"/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9" xfId="0" applyBorder="1"/>
    <xf numFmtId="0" fontId="0" fillId="0" borderId="9" xfId="0" applyBorder="1" applyAlignment="1">
      <alignment horizontal="center" wrapText="1"/>
    </xf>
    <xf numFmtId="164" fontId="0" fillId="0" borderId="18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" borderId="6" xfId="0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15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</xf>
    <xf numFmtId="0" fontId="11" fillId="0" borderId="2" xfId="0" applyFont="1" applyBorder="1"/>
    <xf numFmtId="0" fontId="0" fillId="0" borderId="0" xfId="0" applyFill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Trench Stability (3D)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8016846107648"/>
          <c:y val="0.16091440733265144"/>
          <c:w val="0.81604476590144948"/>
          <c:h val="0.62442805879201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Drained1!$K$50</c:f>
              <c:strCache>
                <c:ptCount val="1"/>
                <c:pt idx="0">
                  <c:v>L = 16.4</c:v>
                </c:pt>
              </c:strCache>
            </c:strRef>
          </c:tx>
          <c:xVal>
            <c:numRef>
              <c:f>Drained1!$L$51:$L$56</c:f>
              <c:numCache>
                <c:formatCode>0.0</c:formatCode>
                <c:ptCount val="6"/>
                <c:pt idx="0">
                  <c:v>4</c:v>
                </c:pt>
              </c:numCache>
            </c:numRef>
          </c:xVal>
          <c:yVal>
            <c:numRef>
              <c:f>Drained1!$M$51:$M$56</c:f>
              <c:numCache>
                <c:formatCode>General</c:formatCode>
                <c:ptCount val="6"/>
                <c:pt idx="0">
                  <c:v>1.5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Drained1!$O$50</c:f>
              <c:strCache>
                <c:ptCount val="1"/>
                <c:pt idx="0">
                  <c:v>L = 18</c:v>
                </c:pt>
              </c:strCache>
            </c:strRef>
          </c:tx>
          <c:xVal>
            <c:numRef>
              <c:f>Drained1!$P$51:$P$56</c:f>
              <c:numCache>
                <c:formatCode>0.0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Drained1!$Q$51:$Q$56</c:f>
              <c:numCache>
                <c:formatCode>General</c:formatCode>
                <c:ptCount val="6"/>
              </c:numCache>
            </c:numRef>
          </c:yVal>
          <c:smooth val="1"/>
        </c:ser>
        <c:ser>
          <c:idx val="1"/>
          <c:order val="2"/>
          <c:tx>
            <c:v>Required FS</c:v>
          </c:tx>
          <c:marker>
            <c:symbol val="none"/>
          </c:marker>
          <c:xVal>
            <c:numRef>
              <c:f>Drained1!$T$48:$T$49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Drained1!$U$48:$U$49</c:f>
              <c:numCache>
                <c:formatCode>0.00</c:formatCode>
                <c:ptCount val="2"/>
                <c:pt idx="0">
                  <c:v>1.5</c:v>
                </c:pt>
                <c:pt idx="1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82680"/>
        <c:axId val="198745264"/>
      </c:scatterChart>
      <c:valAx>
        <c:axId val="19878268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Depth of Groundwater below</a:t>
                </a:r>
                <a:r>
                  <a:rPr lang="en-US" sz="1200" baseline="0"/>
                  <a:t> Ground Level (m)</a:t>
                </a:r>
                <a:endParaRPr lang="en-US" sz="1200"/>
              </a:p>
            </c:rich>
          </c:tx>
          <c:layout/>
          <c:overlay val="0"/>
        </c:title>
        <c:numFmt formatCode="0.0" sourceLinked="1"/>
        <c:majorTickMark val="none"/>
        <c:minorTickMark val="in"/>
        <c:tickLblPos val="nextTo"/>
        <c:crossAx val="198745264"/>
        <c:crosses val="autoZero"/>
        <c:crossBetween val="midCat"/>
        <c:majorUnit val="0.5"/>
        <c:minorUnit val="0.1"/>
      </c:valAx>
      <c:valAx>
        <c:axId val="198745264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of Safety (FS)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98782680"/>
        <c:crosses val="autoZero"/>
        <c:crossBetween val="midCat"/>
        <c:majorUnit val="0.5"/>
        <c:minorUnit val="0.1"/>
      </c:valAx>
    </c:plotArea>
    <c:legend>
      <c:legendPos val="r"/>
      <c:layout>
        <c:manualLayout>
          <c:xMode val="edge"/>
          <c:yMode val="edge"/>
          <c:x val="0.56335952830298386"/>
          <c:y val="0.48242614185737975"/>
          <c:w val="0.18669270783512101"/>
          <c:h val="0.207459844796347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Trench Stability (3D)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8016846107648"/>
          <c:y val="0.16091440733265144"/>
          <c:w val="0.81604476590144948"/>
          <c:h val="0.62442805879201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Drained2!$K$50</c:f>
              <c:strCache>
                <c:ptCount val="1"/>
                <c:pt idx="0">
                  <c:v>L = 25</c:v>
                </c:pt>
              </c:strCache>
            </c:strRef>
          </c:tx>
          <c:xVal>
            <c:numRef>
              <c:f>Drained2!$L$51:$L$56</c:f>
              <c:numCache>
                <c:formatCode>0.0</c:formatCode>
                <c:ptCount val="6"/>
                <c:pt idx="0">
                  <c:v>2</c:v>
                </c:pt>
              </c:numCache>
            </c:numRef>
          </c:xVal>
          <c:yVal>
            <c:numRef>
              <c:f>Drained2!$M$51:$M$56</c:f>
              <c:numCache>
                <c:formatCode>General</c:formatCode>
                <c:ptCount val="6"/>
                <c:pt idx="0">
                  <c:v>0.99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Drained2!$O$50</c:f>
              <c:strCache>
                <c:ptCount val="1"/>
                <c:pt idx="0">
                  <c:v>L = 30</c:v>
                </c:pt>
              </c:strCache>
            </c:strRef>
          </c:tx>
          <c:xVal>
            <c:numRef>
              <c:f>Drained2!$P$51:$P$56</c:f>
              <c:numCache>
                <c:formatCode>0.0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Drained2!$Q$51:$Q$56</c:f>
              <c:numCache>
                <c:formatCode>General</c:formatCode>
                <c:ptCount val="6"/>
              </c:numCache>
            </c:numRef>
          </c:yVal>
          <c:smooth val="1"/>
        </c:ser>
        <c:ser>
          <c:idx val="1"/>
          <c:order val="2"/>
          <c:tx>
            <c:v>Required FS</c:v>
          </c:tx>
          <c:marker>
            <c:symbol val="none"/>
          </c:marker>
          <c:xVal>
            <c:numRef>
              <c:f>Drained2!$T$48:$T$49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Drained2!$U$48:$U$49</c:f>
              <c:numCache>
                <c:formatCode>0.00</c:formatCode>
                <c:ptCount val="2"/>
                <c:pt idx="0">
                  <c:v>1.5</c:v>
                </c:pt>
                <c:pt idx="1">
                  <c:v>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400568"/>
        <c:axId val="197401744"/>
      </c:scatterChart>
      <c:valAx>
        <c:axId val="1974005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Depth of Groundwater below</a:t>
                </a:r>
                <a:r>
                  <a:rPr lang="en-US" sz="1200" baseline="0"/>
                  <a:t> Ground Level (m)</a:t>
                </a:r>
                <a:endParaRPr lang="en-US" sz="1200"/>
              </a:p>
            </c:rich>
          </c:tx>
          <c:layout/>
          <c:overlay val="0"/>
        </c:title>
        <c:numFmt formatCode="0.0" sourceLinked="1"/>
        <c:majorTickMark val="none"/>
        <c:minorTickMark val="in"/>
        <c:tickLblPos val="nextTo"/>
        <c:crossAx val="197401744"/>
        <c:crosses val="autoZero"/>
        <c:crossBetween val="midCat"/>
        <c:majorUnit val="0.5"/>
        <c:minorUnit val="0.1"/>
      </c:valAx>
      <c:valAx>
        <c:axId val="197401744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of Safety (FS)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97400568"/>
        <c:crosses val="autoZero"/>
        <c:crossBetween val="midCat"/>
        <c:majorUnit val="0.5"/>
        <c:minorUnit val="0.1"/>
      </c:valAx>
    </c:plotArea>
    <c:legend>
      <c:legendPos val="r"/>
      <c:layout>
        <c:manualLayout>
          <c:xMode val="edge"/>
          <c:yMode val="edge"/>
          <c:x val="0.56335952830298386"/>
          <c:y val="0.48242614185737992"/>
          <c:w val="0.18669270783512107"/>
          <c:h val="0.207459844796348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Trench Stability (3D)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8016846107648"/>
          <c:y val="0.16091440733265144"/>
          <c:w val="0.81604476590144948"/>
          <c:h val="0.62442805879201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Undrained!$J$50</c:f>
              <c:strCache>
                <c:ptCount val="1"/>
                <c:pt idx="0">
                  <c:v>L = 10000</c:v>
                </c:pt>
              </c:strCache>
            </c:strRef>
          </c:tx>
          <c:xVal>
            <c:numRef>
              <c:f>Undrained!$L$51:$L$56</c:f>
              <c:numCache>
                <c:formatCode>0.0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Undrained!$M$51:$M$56</c:f>
              <c:numCache>
                <c:formatCode>General</c:formatCode>
                <c:ptCount val="6"/>
                <c:pt idx="0">
                  <c:v>1.1399999999999999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Undrained!$N$50</c:f>
              <c:strCache>
                <c:ptCount val="1"/>
                <c:pt idx="0">
                  <c:v>L = 8.0</c:v>
                </c:pt>
              </c:strCache>
            </c:strRef>
          </c:tx>
          <c:xVal>
            <c:numRef>
              <c:f>Undrained!$P$51:$P$56</c:f>
              <c:numCache>
                <c:formatCode>0.0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Undrained!$Q$51:$Q$56</c:f>
              <c:numCache>
                <c:formatCode>General</c:formatCode>
                <c:ptCount val="6"/>
              </c:numCache>
            </c:numRef>
          </c:yVal>
          <c:smooth val="1"/>
        </c:ser>
        <c:ser>
          <c:idx val="1"/>
          <c:order val="2"/>
          <c:tx>
            <c:v>Required FS</c:v>
          </c:tx>
          <c:marker>
            <c:symbol val="none"/>
          </c:marker>
          <c:xVal>
            <c:numRef>
              <c:f>Undrained!$T$48:$T$49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</c:v>
                </c:pt>
              </c:numCache>
            </c:numRef>
          </c:xVal>
          <c:yVal>
            <c:numRef>
              <c:f>Undrained!$U$48:$U$49</c:f>
              <c:numCache>
                <c:formatCode>0.00</c:formatCode>
                <c:ptCount val="2"/>
                <c:pt idx="0">
                  <c:v>1.1000000000000001</c:v>
                </c:pt>
                <c:pt idx="1">
                  <c:v>1.1000000000000001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99000"/>
        <c:axId val="197399392"/>
      </c:scatterChart>
      <c:valAx>
        <c:axId val="19739900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Depth of Slurry below</a:t>
                </a:r>
                <a:r>
                  <a:rPr lang="en-US" sz="1200" baseline="0"/>
                  <a:t> Ground Level (m)</a:t>
                </a:r>
                <a:endParaRPr lang="en-US" sz="1200"/>
              </a:p>
            </c:rich>
          </c:tx>
          <c:layout/>
          <c:overlay val="0"/>
        </c:title>
        <c:numFmt formatCode="0.0" sourceLinked="1"/>
        <c:majorTickMark val="none"/>
        <c:minorTickMark val="in"/>
        <c:tickLblPos val="nextTo"/>
        <c:crossAx val="197399392"/>
        <c:crosses val="autoZero"/>
        <c:crossBetween val="midCat"/>
        <c:majorUnit val="0.5"/>
        <c:minorUnit val="0.1"/>
      </c:valAx>
      <c:valAx>
        <c:axId val="197399392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of Safety (FS)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97399000"/>
        <c:crosses val="autoZero"/>
        <c:crossBetween val="midCat"/>
        <c:majorUnit val="0.5"/>
        <c:minorUnit val="0.1"/>
      </c:valAx>
    </c:plotArea>
    <c:legend>
      <c:legendPos val="r"/>
      <c:layout>
        <c:manualLayout>
          <c:xMode val="edge"/>
          <c:yMode val="edge"/>
          <c:x val="0.56812935757626748"/>
          <c:y val="0.50427498448079844"/>
          <c:w val="0.18669270783512118"/>
          <c:h val="0.207459844796348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14</xdr:row>
      <xdr:rowOff>77723</xdr:rowOff>
    </xdr:from>
    <xdr:to>
      <xdr:col>17</xdr:col>
      <xdr:colOff>393007</xdr:colOff>
      <xdr:row>30</xdr:row>
      <xdr:rowOff>175846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4199" y="2854627"/>
          <a:ext cx="7263462" cy="3637027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197826</xdr:colOff>
      <xdr:row>42</xdr:row>
      <xdr:rowOff>29308</xdr:rowOff>
    </xdr:from>
    <xdr:to>
      <xdr:col>7</xdr:col>
      <xdr:colOff>608134</xdr:colOff>
      <xdr:row>58</xdr:row>
      <xdr:rowOff>183173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197826</xdr:colOff>
      <xdr:row>42</xdr:row>
      <xdr:rowOff>29308</xdr:rowOff>
    </xdr:from>
    <xdr:to>
      <xdr:col>7</xdr:col>
      <xdr:colOff>608134</xdr:colOff>
      <xdr:row>58</xdr:row>
      <xdr:rowOff>183173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28575</xdr:colOff>
      <xdr:row>14</xdr:row>
      <xdr:rowOff>8161</xdr:rowOff>
    </xdr:from>
    <xdr:to>
      <xdr:col>17</xdr:col>
      <xdr:colOff>315134</xdr:colOff>
      <xdr:row>30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91050" y="2789461"/>
          <a:ext cx="7173134" cy="3582764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197826</xdr:colOff>
      <xdr:row>42</xdr:row>
      <xdr:rowOff>29308</xdr:rowOff>
    </xdr:from>
    <xdr:to>
      <xdr:col>7</xdr:col>
      <xdr:colOff>608134</xdr:colOff>
      <xdr:row>58</xdr:row>
      <xdr:rowOff>183173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57150</xdr:colOff>
      <xdr:row>14</xdr:row>
      <xdr:rowOff>13002</xdr:rowOff>
    </xdr:from>
    <xdr:to>
      <xdr:col>17</xdr:col>
      <xdr:colOff>304801</xdr:colOff>
      <xdr:row>30</xdr:row>
      <xdr:rowOff>136201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19625" y="2794302"/>
          <a:ext cx="7134226" cy="3514099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opLeftCell="A21" zoomScale="50" zoomScaleNormal="50" workbookViewId="0">
      <selection activeCell="AC41" sqref="AC41"/>
    </sheetView>
  </sheetViews>
  <sheetFormatPr defaultRowHeight="15" x14ac:dyDescent="0.25"/>
  <cols>
    <col min="1" max="1" width="3.7109375" customWidth="1"/>
    <col min="2" max="2" width="19.140625" customWidth="1"/>
    <col min="3" max="3" width="12.140625" customWidth="1"/>
    <col min="4" max="4" width="13.28515625" customWidth="1"/>
    <col min="5" max="5" width="9.5703125" customWidth="1"/>
    <col min="6" max="6" width="10.5703125" bestFit="1" customWidth="1"/>
    <col min="7" max="7" width="9" customWidth="1"/>
    <col min="8" max="8" width="10.140625" customWidth="1"/>
    <col min="9" max="9" width="10.85546875" customWidth="1"/>
    <col min="15" max="15" width="9.28515625" bestFit="1" customWidth="1"/>
  </cols>
  <sheetData>
    <row r="1" spans="1:18" ht="15.75" thickTop="1" x14ac:dyDescent="0.25">
      <c r="A1" s="1"/>
      <c r="B1" s="78" t="s">
        <v>122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0" t="s">
        <v>134</v>
      </c>
    </row>
    <row r="2" spans="1:18" x14ac:dyDescent="0.25">
      <c r="A2" s="3"/>
      <c r="B2" s="10" t="s">
        <v>123</v>
      </c>
      <c r="C2" s="4" t="s">
        <v>124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3"/>
      <c r="B3" s="10" t="s">
        <v>125</v>
      </c>
      <c r="C3" s="4" t="s">
        <v>126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/>
      <c r="B4" s="10" t="s">
        <v>127</v>
      </c>
      <c r="C4" s="4" t="s">
        <v>128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/>
      <c r="B5" s="4"/>
      <c r="C5" s="4"/>
      <c r="D5" s="4"/>
      <c r="E5" s="4"/>
      <c r="F5" s="4"/>
      <c r="G5" s="4"/>
      <c r="H5" s="4"/>
      <c r="J5" s="4"/>
      <c r="K5" s="4"/>
      <c r="L5" s="4"/>
      <c r="M5" s="4"/>
      <c r="N5" s="4"/>
      <c r="O5" s="4"/>
      <c r="P5" s="4"/>
      <c r="Q5" s="4"/>
      <c r="R5" s="5"/>
    </row>
    <row r="6" spans="1:18" ht="23.25" x14ac:dyDescent="0.35">
      <c r="A6" s="3"/>
      <c r="B6" s="4"/>
      <c r="C6" s="4"/>
      <c r="D6" s="4"/>
      <c r="E6" s="4"/>
      <c r="F6" s="4"/>
      <c r="G6" s="4"/>
      <c r="H6" s="6" t="s">
        <v>12</v>
      </c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hidden="1" x14ac:dyDescent="0.25">
      <c r="A7" s="3"/>
      <c r="B7" s="7" t="s">
        <v>0</v>
      </c>
      <c r="C7" s="61" t="s">
        <v>119</v>
      </c>
      <c r="D7" s="62"/>
      <c r="E7" s="62"/>
      <c r="F7" s="63"/>
      <c r="G7" s="7"/>
      <c r="H7" s="7" t="s">
        <v>1</v>
      </c>
      <c r="I7" s="68" t="s">
        <v>121</v>
      </c>
      <c r="J7" s="4"/>
      <c r="K7" s="4"/>
      <c r="L7" s="4"/>
      <c r="M7" s="4"/>
      <c r="N7" s="4"/>
      <c r="O7" s="4"/>
      <c r="P7" s="4"/>
      <c r="Q7" s="4"/>
      <c r="R7" s="5"/>
    </row>
    <row r="8" spans="1:18" hidden="1" x14ac:dyDescent="0.25">
      <c r="A8" s="3"/>
      <c r="B8" s="7" t="s">
        <v>2</v>
      </c>
      <c r="C8" s="64" t="s">
        <v>118</v>
      </c>
      <c r="D8" s="62"/>
      <c r="E8" s="62"/>
      <c r="F8" s="63"/>
      <c r="G8" s="7"/>
      <c r="H8" s="7"/>
      <c r="I8" s="7"/>
      <c r="J8" s="4"/>
      <c r="K8" s="4"/>
      <c r="L8" s="4"/>
      <c r="M8" s="4"/>
      <c r="N8" s="4"/>
      <c r="O8" s="4"/>
      <c r="P8" s="4"/>
      <c r="Q8" s="4"/>
      <c r="R8" s="5"/>
    </row>
    <row r="9" spans="1:18" hidden="1" x14ac:dyDescent="0.25">
      <c r="A9" s="3"/>
      <c r="B9" s="7" t="s">
        <v>3</v>
      </c>
      <c r="C9" s="64" t="s">
        <v>120</v>
      </c>
      <c r="D9" s="62"/>
      <c r="E9" s="62"/>
      <c r="F9" s="63"/>
      <c r="G9" s="7"/>
      <c r="H9" s="4"/>
      <c r="I9" s="4"/>
      <c r="J9" s="7"/>
      <c r="K9" s="4"/>
      <c r="L9" s="4"/>
      <c r="M9" s="4"/>
      <c r="N9" s="4"/>
      <c r="O9" s="4"/>
      <c r="P9" s="4"/>
      <c r="Q9" s="4"/>
      <c r="R9" s="5"/>
    </row>
    <row r="10" spans="1:18" hidden="1" x14ac:dyDescent="0.25">
      <c r="A10" s="3"/>
      <c r="B10" s="7" t="s">
        <v>4</v>
      </c>
      <c r="C10" s="65" t="s">
        <v>5</v>
      </c>
      <c r="D10" s="7"/>
      <c r="E10" s="7"/>
      <c r="F10" s="7"/>
      <c r="G10" s="4"/>
      <c r="H10" s="7" t="s">
        <v>6</v>
      </c>
      <c r="I10" s="69">
        <f ca="1">TODAY()</f>
        <v>41838</v>
      </c>
      <c r="J10" s="4"/>
      <c r="K10" s="4"/>
      <c r="L10" s="4"/>
      <c r="M10" s="4"/>
      <c r="N10" s="4"/>
      <c r="O10" s="4"/>
      <c r="P10" s="4"/>
      <c r="Q10" s="4"/>
      <c r="R10" s="5"/>
    </row>
    <row r="11" spans="1:18" hidden="1" x14ac:dyDescent="0.25">
      <c r="A11" s="3"/>
      <c r="B11" s="7" t="s">
        <v>7</v>
      </c>
      <c r="C11" s="66" t="s">
        <v>5</v>
      </c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  <c r="P11" s="4"/>
      <c r="Q11" s="4"/>
      <c r="R11" s="5"/>
    </row>
    <row r="12" spans="1:18" x14ac:dyDescent="0.25">
      <c r="A12" s="3"/>
      <c r="B12" s="8" t="s">
        <v>8</v>
      </c>
      <c r="C12" s="66"/>
      <c r="D12" s="4"/>
      <c r="E12" s="9"/>
      <c r="F12" s="7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21"/>
      <c r="B14" s="23" t="s">
        <v>97</v>
      </c>
      <c r="C14" s="9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4"/>
      <c r="P14" s="4"/>
      <c r="Q14" s="4"/>
      <c r="R14" s="5"/>
    </row>
    <row r="15" spans="1:18" x14ac:dyDescent="0.25">
      <c r="A15" s="21"/>
      <c r="B15" s="24" t="s">
        <v>14</v>
      </c>
      <c r="C15" s="25"/>
      <c r="D15" s="26"/>
      <c r="E15" s="67">
        <v>10</v>
      </c>
      <c r="F15" s="9" t="s">
        <v>13</v>
      </c>
      <c r="G15" s="9"/>
      <c r="H15" s="11"/>
      <c r="I15" s="17"/>
      <c r="J15" s="9"/>
      <c r="K15" s="9"/>
      <c r="L15" s="9"/>
      <c r="M15" s="9"/>
      <c r="N15" s="9"/>
      <c r="O15" s="4"/>
      <c r="P15" s="4"/>
      <c r="Q15" s="4"/>
      <c r="R15" s="5"/>
    </row>
    <row r="16" spans="1:18" ht="18" x14ac:dyDescent="0.35">
      <c r="A16" s="21"/>
      <c r="B16" s="25" t="s">
        <v>15</v>
      </c>
      <c r="C16" s="25"/>
      <c r="D16" s="26"/>
      <c r="E16" s="67">
        <v>10</v>
      </c>
      <c r="F16" s="9" t="s">
        <v>13</v>
      </c>
      <c r="G16" s="9"/>
      <c r="H16" s="11"/>
      <c r="I16" s="17"/>
      <c r="J16" s="9"/>
      <c r="K16" s="9"/>
      <c r="L16" s="9"/>
      <c r="M16" s="9"/>
      <c r="N16" s="9"/>
      <c r="O16" s="4"/>
      <c r="P16" s="4"/>
      <c r="Q16" s="4"/>
      <c r="R16" s="5"/>
    </row>
    <row r="17" spans="1:21" ht="18.75" x14ac:dyDescent="0.35">
      <c r="A17" s="21"/>
      <c r="B17" s="27" t="s">
        <v>16</v>
      </c>
      <c r="C17" s="27"/>
      <c r="D17" s="28"/>
      <c r="E17" s="67">
        <v>17</v>
      </c>
      <c r="F17" s="9" t="s">
        <v>10</v>
      </c>
      <c r="G17" s="9"/>
      <c r="H17" s="11"/>
      <c r="I17" s="17"/>
      <c r="J17" s="9"/>
      <c r="K17" s="9"/>
      <c r="L17" s="9"/>
      <c r="M17" s="9"/>
      <c r="N17" s="9"/>
      <c r="O17" s="4"/>
      <c r="P17" s="4"/>
      <c r="Q17" s="4"/>
      <c r="R17" s="5"/>
    </row>
    <row r="18" spans="1:21" ht="18" x14ac:dyDescent="0.35">
      <c r="A18" s="21"/>
      <c r="B18" s="27" t="s">
        <v>17</v>
      </c>
      <c r="C18" s="27"/>
      <c r="D18" s="27"/>
      <c r="E18" s="67">
        <v>0</v>
      </c>
      <c r="F18" s="9" t="s">
        <v>9</v>
      </c>
      <c r="G18" s="9"/>
      <c r="H18" s="9"/>
      <c r="I18" s="9"/>
      <c r="J18" s="9"/>
      <c r="K18" s="9"/>
      <c r="L18" s="9"/>
      <c r="M18" s="9"/>
      <c r="N18" s="9"/>
      <c r="O18" s="4"/>
      <c r="P18" s="4"/>
      <c r="Q18" s="4"/>
      <c r="R18" s="5"/>
    </row>
    <row r="19" spans="1:21" ht="18.75" x14ac:dyDescent="0.35">
      <c r="A19" s="21"/>
      <c r="B19" s="27" t="s">
        <v>18</v>
      </c>
      <c r="C19" s="27"/>
      <c r="D19" s="28"/>
      <c r="E19" s="67">
        <v>9.81</v>
      </c>
      <c r="F19" s="9" t="s">
        <v>10</v>
      </c>
      <c r="G19" s="18"/>
      <c r="H19" s="11"/>
      <c r="I19" s="13"/>
      <c r="J19" s="9"/>
      <c r="K19" s="9"/>
      <c r="L19" s="9"/>
      <c r="M19" s="9"/>
      <c r="N19" s="9"/>
      <c r="O19" s="4"/>
      <c r="P19" s="4"/>
      <c r="Q19" s="4"/>
      <c r="R19" s="5"/>
    </row>
    <row r="20" spans="1:21" ht="18" x14ac:dyDescent="0.35">
      <c r="A20" s="21"/>
      <c r="B20" s="27" t="s">
        <v>19</v>
      </c>
      <c r="C20" s="27"/>
      <c r="D20" s="28"/>
      <c r="E20" s="67">
        <v>0</v>
      </c>
      <c r="F20" s="14" t="s">
        <v>9</v>
      </c>
      <c r="G20" s="18"/>
      <c r="H20" s="14"/>
      <c r="I20" s="9"/>
      <c r="J20" s="9"/>
      <c r="K20" s="9"/>
      <c r="L20" s="9"/>
      <c r="M20" s="9"/>
      <c r="N20" s="9"/>
      <c r="O20" s="4"/>
      <c r="P20" s="4"/>
      <c r="Q20" s="4"/>
      <c r="R20" s="5"/>
    </row>
    <row r="21" spans="1:21" ht="18" x14ac:dyDescent="0.35">
      <c r="A21" s="21"/>
      <c r="B21" s="27" t="s">
        <v>20</v>
      </c>
      <c r="C21" s="27"/>
      <c r="D21" s="28"/>
      <c r="E21" s="74">
        <v>0</v>
      </c>
      <c r="F21" s="9" t="s">
        <v>22</v>
      </c>
      <c r="G21" s="9"/>
      <c r="H21" s="9"/>
      <c r="I21" s="9"/>
      <c r="J21" s="9"/>
      <c r="K21" s="9"/>
      <c r="L21" s="9"/>
      <c r="M21" s="9"/>
      <c r="N21" s="9"/>
      <c r="O21" s="4"/>
      <c r="P21" s="4"/>
      <c r="Q21" s="4"/>
      <c r="R21" s="5"/>
    </row>
    <row r="22" spans="1:21" ht="17.25" x14ac:dyDescent="0.25">
      <c r="A22" s="21"/>
      <c r="B22" s="25" t="s">
        <v>21</v>
      </c>
      <c r="C22" s="25"/>
      <c r="D22" s="25"/>
      <c r="E22" s="67">
        <v>17.5</v>
      </c>
      <c r="F22" s="9" t="s">
        <v>10</v>
      </c>
      <c r="G22" s="9"/>
      <c r="H22" s="9"/>
      <c r="I22" s="9"/>
      <c r="J22" s="9"/>
      <c r="K22" s="9"/>
      <c r="L22" s="9"/>
      <c r="M22" s="9"/>
      <c r="N22" s="9"/>
      <c r="O22" s="4"/>
      <c r="P22" s="4"/>
      <c r="Q22" s="4"/>
      <c r="R22" s="5"/>
    </row>
    <row r="23" spans="1:21" ht="18" x14ac:dyDescent="0.35">
      <c r="A23" s="21"/>
      <c r="B23" s="29" t="s">
        <v>23</v>
      </c>
      <c r="C23" s="26"/>
      <c r="D23" s="26"/>
      <c r="E23" s="67">
        <v>0</v>
      </c>
      <c r="F23" s="14" t="s">
        <v>13</v>
      </c>
      <c r="G23" s="13"/>
      <c r="H23" s="13"/>
      <c r="I23" s="9"/>
      <c r="J23" s="9"/>
      <c r="K23" s="9"/>
      <c r="L23" s="9"/>
      <c r="M23" s="9"/>
      <c r="N23" s="9"/>
      <c r="O23" s="4"/>
      <c r="P23" s="4"/>
      <c r="Q23" s="4"/>
      <c r="R23" s="5"/>
    </row>
    <row r="24" spans="1:21" x14ac:dyDescent="0.25">
      <c r="A24" s="21"/>
      <c r="B24" s="29" t="s">
        <v>25</v>
      </c>
      <c r="C24" s="30"/>
      <c r="D24" s="31"/>
      <c r="E24" s="70">
        <v>32</v>
      </c>
      <c r="F24" s="22" t="s">
        <v>24</v>
      </c>
      <c r="G24" s="18"/>
      <c r="H24" s="19"/>
      <c r="I24" s="9"/>
      <c r="J24" s="9"/>
      <c r="K24" s="9"/>
      <c r="L24" s="9"/>
      <c r="M24" s="9"/>
      <c r="N24" s="9"/>
      <c r="O24" s="4"/>
      <c r="P24" s="4"/>
      <c r="Q24" s="4"/>
      <c r="R24" s="5"/>
    </row>
    <row r="25" spans="1:21" ht="18.75" x14ac:dyDescent="0.35">
      <c r="A25" s="21"/>
      <c r="B25" s="27" t="s">
        <v>26</v>
      </c>
      <c r="C25" s="32"/>
      <c r="D25" s="33"/>
      <c r="E25" s="70">
        <v>19.600000000000001</v>
      </c>
      <c r="F25" s="9" t="s">
        <v>10</v>
      </c>
      <c r="G25" s="18"/>
      <c r="H25" s="19"/>
      <c r="I25" s="9"/>
      <c r="J25" s="9"/>
      <c r="K25" s="9"/>
      <c r="L25" s="9"/>
      <c r="M25" s="9"/>
      <c r="N25" s="9"/>
      <c r="O25" s="4"/>
      <c r="P25" s="4"/>
      <c r="Q25" s="4"/>
      <c r="R25" s="5"/>
    </row>
    <row r="26" spans="1:21" ht="18" x14ac:dyDescent="0.35">
      <c r="A26" s="21"/>
      <c r="B26" s="34" t="s">
        <v>27</v>
      </c>
      <c r="C26" s="32"/>
      <c r="D26" s="33"/>
      <c r="E26" s="76">
        <v>0</v>
      </c>
      <c r="F26" s="22" t="s">
        <v>13</v>
      </c>
      <c r="G26" s="18"/>
      <c r="H26" s="19"/>
      <c r="I26" s="9"/>
      <c r="J26" s="9"/>
      <c r="K26" s="9"/>
      <c r="L26" s="9"/>
      <c r="M26" s="9"/>
      <c r="N26" s="9"/>
      <c r="O26" s="4"/>
      <c r="P26" s="4"/>
      <c r="Q26" s="4"/>
      <c r="R26" s="5"/>
      <c r="T26" s="16"/>
      <c r="U26" s="16"/>
    </row>
    <row r="27" spans="1:21" x14ac:dyDescent="0.25">
      <c r="A27" s="21"/>
      <c r="B27" s="29" t="s">
        <v>28</v>
      </c>
      <c r="C27" s="30"/>
      <c r="D27" s="31"/>
      <c r="E27" s="70">
        <v>20</v>
      </c>
      <c r="F27" s="22" t="s">
        <v>9</v>
      </c>
      <c r="G27" s="18"/>
      <c r="H27" s="19"/>
      <c r="I27" s="9"/>
      <c r="J27" s="9"/>
      <c r="K27" s="9"/>
      <c r="L27" s="9"/>
      <c r="M27" s="9"/>
      <c r="N27" s="9"/>
      <c r="O27" s="4"/>
      <c r="P27" s="4"/>
      <c r="Q27" s="4"/>
      <c r="R27" s="5"/>
      <c r="T27" s="16"/>
      <c r="U27" s="16"/>
    </row>
    <row r="28" spans="1:21" x14ac:dyDescent="0.25">
      <c r="A28" s="21"/>
      <c r="B28" s="29" t="s">
        <v>29</v>
      </c>
      <c r="C28" s="30"/>
      <c r="D28" s="31"/>
      <c r="E28" s="70">
        <v>16.399999999999999</v>
      </c>
      <c r="F28" s="22" t="s">
        <v>9</v>
      </c>
      <c r="G28" s="18"/>
      <c r="H28" s="19"/>
      <c r="I28" s="9"/>
      <c r="J28" s="9"/>
      <c r="K28" s="9"/>
      <c r="L28" s="9"/>
      <c r="M28" s="9"/>
      <c r="N28" s="9"/>
      <c r="O28" s="4"/>
      <c r="P28" s="4"/>
      <c r="Q28" s="4"/>
      <c r="R28" s="5"/>
    </row>
    <row r="29" spans="1:21" ht="18.75" x14ac:dyDescent="0.35">
      <c r="A29" s="21"/>
      <c r="B29" s="25" t="s">
        <v>30</v>
      </c>
      <c r="C29" s="30"/>
      <c r="D29" s="31"/>
      <c r="E29" s="70">
        <v>11</v>
      </c>
      <c r="F29" s="9" t="s">
        <v>10</v>
      </c>
      <c r="G29" s="18"/>
      <c r="H29" s="19"/>
      <c r="I29" s="9"/>
      <c r="J29" s="9"/>
      <c r="K29" s="9"/>
      <c r="L29" s="9"/>
      <c r="M29" s="9"/>
      <c r="N29" s="9"/>
      <c r="O29" s="4"/>
      <c r="P29" s="4"/>
      <c r="Q29" s="4"/>
      <c r="R29" s="5"/>
    </row>
    <row r="30" spans="1:21" ht="18" x14ac:dyDescent="0.35">
      <c r="A30" s="21"/>
      <c r="B30" s="25" t="s">
        <v>31</v>
      </c>
      <c r="C30" s="30"/>
      <c r="D30" s="31"/>
      <c r="E30" s="71">
        <v>19.7</v>
      </c>
      <c r="F30" s="22" t="s">
        <v>9</v>
      </c>
      <c r="G30" s="18"/>
      <c r="H30" s="19"/>
      <c r="I30" s="9"/>
      <c r="J30" s="9"/>
      <c r="K30" s="9"/>
      <c r="L30" s="9"/>
      <c r="M30" s="9"/>
      <c r="N30" s="9"/>
      <c r="O30" s="4"/>
      <c r="P30" s="4"/>
      <c r="Q30" s="4"/>
      <c r="R30" s="5"/>
    </row>
    <row r="31" spans="1:21" ht="18" x14ac:dyDescent="0.35">
      <c r="A31" s="21"/>
      <c r="B31" s="27" t="s">
        <v>32</v>
      </c>
      <c r="C31" s="32"/>
      <c r="D31" s="33"/>
      <c r="E31" s="70">
        <v>4</v>
      </c>
      <c r="F31" s="22" t="s">
        <v>9</v>
      </c>
      <c r="G31" s="18"/>
      <c r="H31" s="19"/>
      <c r="I31" s="9"/>
      <c r="J31" s="9"/>
      <c r="K31" s="9"/>
      <c r="L31" s="9"/>
      <c r="M31" s="9"/>
      <c r="N31" s="9"/>
      <c r="O31" s="4"/>
      <c r="P31" s="4"/>
      <c r="Q31" s="4"/>
      <c r="R31" s="5"/>
    </row>
    <row r="32" spans="1:21" ht="18.75" x14ac:dyDescent="0.35">
      <c r="A32" s="21"/>
      <c r="B32" s="27" t="s">
        <v>33</v>
      </c>
      <c r="C32" s="32"/>
      <c r="D32" s="33"/>
      <c r="E32" s="71">
        <v>9.81</v>
      </c>
      <c r="F32" s="9" t="s">
        <v>10</v>
      </c>
      <c r="G32" s="18"/>
      <c r="H32" s="19"/>
      <c r="I32" s="9"/>
      <c r="J32" s="35" t="s">
        <v>69</v>
      </c>
      <c r="K32" s="9"/>
      <c r="L32" s="9"/>
      <c r="M32" s="9"/>
      <c r="N32" s="9"/>
      <c r="O32" s="4"/>
      <c r="P32" s="4"/>
      <c r="Q32" s="4"/>
      <c r="R32" s="5"/>
    </row>
    <row r="33" spans="1:24" x14ac:dyDescent="0.25">
      <c r="A33" s="21"/>
      <c r="B33" s="29" t="s">
        <v>34</v>
      </c>
      <c r="C33" s="30"/>
      <c r="D33" s="31"/>
      <c r="E33" s="71">
        <v>0.47</v>
      </c>
      <c r="F33" s="22" t="s">
        <v>22</v>
      </c>
      <c r="G33" s="18"/>
      <c r="H33" s="19"/>
      <c r="I33" s="9"/>
      <c r="J33" s="9"/>
      <c r="K33" s="9"/>
      <c r="L33" s="9"/>
      <c r="M33" s="9"/>
      <c r="N33" s="9"/>
      <c r="O33" s="4"/>
      <c r="P33" s="4"/>
      <c r="Q33" s="4"/>
      <c r="R33" s="5"/>
    </row>
    <row r="34" spans="1:24" x14ac:dyDescent="0.25">
      <c r="A34" s="21"/>
      <c r="B34" s="13"/>
      <c r="C34" s="19"/>
      <c r="D34" s="20"/>
      <c r="E34" s="18"/>
      <c r="F34" s="18"/>
      <c r="G34" s="18"/>
      <c r="H34" s="19"/>
      <c r="I34" s="9"/>
      <c r="J34" s="9"/>
      <c r="K34" s="9"/>
      <c r="L34" s="9"/>
      <c r="M34" s="9"/>
      <c r="N34" s="9"/>
      <c r="O34" s="4"/>
      <c r="P34" s="4"/>
      <c r="Q34" s="4"/>
      <c r="R34" s="5"/>
    </row>
    <row r="35" spans="1:24" x14ac:dyDescent="0.25">
      <c r="A35" s="21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4"/>
      <c r="P35" s="4"/>
      <c r="Q35" s="4"/>
      <c r="R35" s="5"/>
    </row>
    <row r="36" spans="1:24" x14ac:dyDescent="0.25">
      <c r="A36" s="21"/>
      <c r="B36" s="35" t="s">
        <v>35</v>
      </c>
      <c r="C36" s="9"/>
      <c r="D36" s="9"/>
      <c r="E36" s="9"/>
      <c r="F36" s="9"/>
      <c r="G36" s="9"/>
      <c r="H36" s="35" t="s">
        <v>52</v>
      </c>
      <c r="I36" s="9"/>
      <c r="J36" s="9"/>
      <c r="K36" s="9"/>
      <c r="L36" s="35" t="s">
        <v>67</v>
      </c>
      <c r="M36" s="9"/>
      <c r="N36" s="9"/>
      <c r="O36" s="4"/>
      <c r="P36" s="4"/>
      <c r="Q36" s="4"/>
      <c r="R36" s="5"/>
    </row>
    <row r="37" spans="1:24" ht="18.75" x14ac:dyDescent="0.35">
      <c r="A37" s="3"/>
      <c r="B37" s="11" t="s">
        <v>36</v>
      </c>
      <c r="C37" s="18">
        <f>$E$23*($E$31-$E$18)+$E$26*($E$27-$E$31)</f>
        <v>0</v>
      </c>
      <c r="D37" s="4" t="s">
        <v>39</v>
      </c>
      <c r="E37" s="4"/>
      <c r="F37" s="4"/>
      <c r="G37" s="4"/>
      <c r="H37" s="10" t="s">
        <v>53</v>
      </c>
      <c r="I37" s="4">
        <f>($C$37-$C$38*TAN(RADIANS($E$24)))/($C$39-$C$40)</f>
        <v>-0.42775653329490143</v>
      </c>
      <c r="J37" s="4"/>
      <c r="K37" s="4"/>
      <c r="L37" s="4" t="s">
        <v>57</v>
      </c>
      <c r="M37" s="12">
        <f>(2*$I$37+$I$38+$I$39)/$I$40</f>
        <v>3.1224656399307409</v>
      </c>
      <c r="N37" s="4" t="s">
        <v>58</v>
      </c>
      <c r="O37" s="4">
        <f>($I$37+$I$39)/$I$40</f>
        <v>0.76395303404870452</v>
      </c>
      <c r="P37" s="39" t="s">
        <v>59</v>
      </c>
      <c r="Q37" s="4"/>
      <c r="R37" s="5"/>
    </row>
    <row r="38" spans="1:24" ht="18.75" x14ac:dyDescent="0.3">
      <c r="A38" s="3"/>
      <c r="B38" s="36" t="s">
        <v>37</v>
      </c>
      <c r="C38" s="15">
        <f>0.5*($E$21*$E$19*$E$20*($E$31-$E$18)+$E$32*($E$27-$E$31)^2)</f>
        <v>1255.68</v>
      </c>
      <c r="D38" s="4" t="s">
        <v>40</v>
      </c>
      <c r="E38" s="4"/>
      <c r="F38" s="4"/>
      <c r="G38" s="4"/>
      <c r="H38" s="10" t="s">
        <v>54</v>
      </c>
      <c r="I38" s="4">
        <f>($C$39*TAN(RADIANS($E$24)))/($C$39-$C$40)</f>
        <v>1.3520006126885871</v>
      </c>
      <c r="J38" s="4"/>
      <c r="K38" s="4"/>
      <c r="L38" s="4"/>
      <c r="M38" s="4"/>
      <c r="N38" s="4"/>
      <c r="O38" s="4"/>
      <c r="P38" s="4"/>
      <c r="Q38" s="4"/>
      <c r="R38" s="5"/>
    </row>
    <row r="39" spans="1:24" ht="19.5" x14ac:dyDescent="0.35">
      <c r="A39" s="3"/>
      <c r="B39" s="37" t="s">
        <v>38</v>
      </c>
      <c r="C39" s="15">
        <f>($E$15+$E$17*$E$18)*($E$27-$E$18)+0.5*$E$22*(2*$E$27*($E$31-$E$18)+$E$18^2-$E$31^2)+0.5*$E$25*($E$27-$E$31)^2</f>
        <v>3968.8</v>
      </c>
      <c r="D39" s="4" t="s">
        <v>41</v>
      </c>
      <c r="E39" s="4"/>
      <c r="F39" s="4"/>
      <c r="G39" s="4"/>
      <c r="H39" s="11" t="s">
        <v>55</v>
      </c>
      <c r="I39" s="4">
        <f>($C$40*TAN(RADIANS($E$24)))/($C$39-$C$40)</f>
        <v>0.72713126077925949</v>
      </c>
      <c r="J39" s="4"/>
      <c r="K39" s="4"/>
      <c r="L39" s="4" t="s">
        <v>60</v>
      </c>
      <c r="M39" s="4"/>
      <c r="N39" s="4"/>
      <c r="O39" s="67">
        <v>0.46170412789932408</v>
      </c>
      <c r="P39" s="4" t="s">
        <v>61</v>
      </c>
      <c r="Q39" s="4"/>
      <c r="R39" s="5"/>
      <c r="T39" t="s">
        <v>46</v>
      </c>
    </row>
    <row r="40" spans="1:24" x14ac:dyDescent="0.25">
      <c r="A40" s="3"/>
      <c r="B40" s="36" t="s">
        <v>42</v>
      </c>
      <c r="C40" s="15">
        <f>0.5*($E$29*$E$30^2-$E$19*$E$20^2)</f>
        <v>2134.4949999999999</v>
      </c>
      <c r="D40" s="9" t="s">
        <v>43</v>
      </c>
      <c r="E40" s="4"/>
      <c r="F40" s="4"/>
      <c r="G40" s="4"/>
      <c r="H40" s="11" t="s">
        <v>56</v>
      </c>
      <c r="I40" s="4">
        <f>$C$41/($E$28*($C$39-$C$40))</f>
        <v>0.39187582762485884</v>
      </c>
      <c r="J40" s="4"/>
      <c r="K40" s="4"/>
      <c r="L40" s="41" t="s">
        <v>62</v>
      </c>
      <c r="M40" s="4"/>
      <c r="N40" s="4"/>
      <c r="O40" s="77">
        <f>$O$39^3+$M$37*$O$39^2-$O$37</f>
        <v>8.6950440642774574E-5</v>
      </c>
      <c r="P40" s="4"/>
      <c r="Q40" s="4"/>
      <c r="R40" s="5"/>
      <c r="T40" t="s">
        <v>47</v>
      </c>
      <c r="U40" t="s">
        <v>48</v>
      </c>
      <c r="V40" t="s">
        <v>49</v>
      </c>
      <c r="W40" t="s">
        <v>50</v>
      </c>
      <c r="X40" t="s">
        <v>51</v>
      </c>
    </row>
    <row r="41" spans="1:24" x14ac:dyDescent="0.25">
      <c r="A41" s="3"/>
      <c r="B41" s="36" t="s">
        <v>44</v>
      </c>
      <c r="C41" s="15">
        <f>T41+U41+V41+W41+X41</f>
        <v>11788.644555859235</v>
      </c>
      <c r="D41" s="9" t="s">
        <v>45</v>
      </c>
      <c r="E41" s="4"/>
      <c r="F41" s="4"/>
      <c r="G41" s="4"/>
      <c r="H41" s="4"/>
      <c r="I41" s="4"/>
      <c r="J41" s="4"/>
      <c r="K41" s="4"/>
      <c r="L41" s="9" t="s">
        <v>63</v>
      </c>
      <c r="M41" s="4"/>
      <c r="N41" s="4"/>
      <c r="O41" s="4"/>
      <c r="P41" s="4"/>
      <c r="Q41" s="4"/>
      <c r="R41" s="5"/>
      <c r="T41" s="16">
        <f>$E$23*(2*$E$27*($E$31-$E$18)+$E$18^2-$E$31^2)</f>
        <v>0</v>
      </c>
      <c r="U41">
        <f>$E$26*($E$27-$E$31)^2</f>
        <v>0</v>
      </c>
      <c r="V41">
        <f>$E$33*TAN(RADIANS($E$24))*($E$16+$E$17*$E$18+$E$21*(($E$19*$E$20*($E$27-$E$31))/($E$31-$E$18)))*($E$27-$E$18)^2</f>
        <v>1174.7543815895356</v>
      </c>
      <c r="W41">
        <f>($E$33/3)*TAN(RADIANS($E$24))*(($E$25-$E$32)-$E$22-$E$21*(($E$19*$E$20*(1))/($E$31-$E$18)))*($E$27-$E$31)^3</f>
        <v>-3091.5776109415488</v>
      </c>
      <c r="X41">
        <f>($E$33/3)*TAN(RADIANS($E$24))*($E$22-2*$E$21*(($E$19*$E$20*(1))/($E$31-$E$18)))*($E$27-$E$18)^3</f>
        <v>13705.467785211247</v>
      </c>
    </row>
    <row r="42" spans="1:24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9" t="s">
        <v>64</v>
      </c>
      <c r="M42" s="4"/>
      <c r="N42" s="4"/>
      <c r="O42" s="4"/>
      <c r="P42" s="4"/>
      <c r="Q42" s="4"/>
      <c r="R42" s="5"/>
    </row>
    <row r="43" spans="1:24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9" t="s">
        <v>65</v>
      </c>
      <c r="M43" s="4"/>
      <c r="N43" s="4"/>
      <c r="O43" s="4"/>
      <c r="P43" s="4"/>
      <c r="Q43" s="4"/>
      <c r="R43" s="5"/>
    </row>
    <row r="44" spans="1:24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9" t="s">
        <v>66</v>
      </c>
      <c r="M44" s="4"/>
      <c r="N44" s="4"/>
      <c r="O44" s="4"/>
      <c r="P44" s="4"/>
      <c r="Q44" s="4"/>
      <c r="R44" s="5"/>
    </row>
    <row r="45" spans="1:24" ht="18" x14ac:dyDescent="0.3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9" t="s">
        <v>68</v>
      </c>
      <c r="M45" s="4"/>
      <c r="N45" s="4"/>
      <c r="O45" s="43">
        <f>ACOS($O$39)*180/PI()</f>
        <v>62.502873458385572</v>
      </c>
      <c r="P45" s="4" t="s">
        <v>24</v>
      </c>
      <c r="Q45" s="4"/>
      <c r="R45" s="5"/>
    </row>
    <row r="46" spans="1:24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9" t="s">
        <v>11</v>
      </c>
      <c r="M46" s="4"/>
      <c r="N46" s="4"/>
      <c r="O46" s="44">
        <f>$I$37*(1/COS(RADIANS($O$45)))*(1/SIN(RADIANS($O$45)))+$I$38*(1/TAN(RADIANS($O$45)))+$I$39*(TAN(RADIANS($O$45)))+$I$40*(1/SIN(RADIANS($O$45)))</f>
        <v>1.4980182292736095</v>
      </c>
      <c r="P46" s="4" t="s">
        <v>75</v>
      </c>
      <c r="Q46" s="4"/>
      <c r="R46" s="5"/>
    </row>
    <row r="47" spans="1:24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T47" t="s">
        <v>74</v>
      </c>
    </row>
    <row r="48" spans="1:24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T48" s="16">
        <v>0</v>
      </c>
      <c r="U48" s="40">
        <f>$M$59</f>
        <v>1.5</v>
      </c>
    </row>
    <row r="49" spans="1:21" ht="18" x14ac:dyDescent="0.35">
      <c r="A49" s="3"/>
      <c r="B49" s="4"/>
      <c r="C49" s="4"/>
      <c r="D49" s="4"/>
      <c r="E49" s="4"/>
      <c r="F49" s="4"/>
      <c r="G49" s="4"/>
      <c r="H49" s="4"/>
      <c r="I49" s="4"/>
      <c r="J49" s="4"/>
      <c r="K49" s="35" t="s">
        <v>72</v>
      </c>
      <c r="M49" s="4"/>
      <c r="N49" s="4"/>
      <c r="O49" s="35" t="s">
        <v>72</v>
      </c>
      <c r="P49" s="4"/>
      <c r="Q49" s="4"/>
      <c r="R49" s="5"/>
      <c r="T49" s="38">
        <f>$L$56</f>
        <v>0</v>
      </c>
      <c r="U49" s="40">
        <f>$M$59</f>
        <v>1.5</v>
      </c>
    </row>
    <row r="50" spans="1:21" ht="18" x14ac:dyDescent="0.35">
      <c r="A50" s="3"/>
      <c r="B50" s="4"/>
      <c r="C50" s="4"/>
      <c r="D50" s="4"/>
      <c r="E50" s="4"/>
      <c r="F50" s="4"/>
      <c r="G50" s="4"/>
      <c r="H50" s="4"/>
      <c r="I50" s="4"/>
      <c r="J50" s="4"/>
      <c r="K50" s="67" t="s">
        <v>129</v>
      </c>
      <c r="L50" s="42" t="s">
        <v>70</v>
      </c>
      <c r="M50" s="42" t="s">
        <v>71</v>
      </c>
      <c r="N50" s="4"/>
      <c r="O50" s="67" t="s">
        <v>130</v>
      </c>
      <c r="P50" s="42" t="s">
        <v>70</v>
      </c>
      <c r="Q50" s="42" t="s">
        <v>71</v>
      </c>
      <c r="R50" s="5"/>
    </row>
    <row r="51" spans="1:2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13"/>
      <c r="L51" s="76">
        <v>4</v>
      </c>
      <c r="M51" s="74">
        <v>1.5</v>
      </c>
      <c r="N51" s="4"/>
      <c r="O51" s="18"/>
      <c r="P51" s="50">
        <f t="shared" ref="P51:P56" si="0">L51</f>
        <v>4</v>
      </c>
      <c r="Q51" s="74"/>
      <c r="R51" s="5"/>
    </row>
    <row r="52" spans="1:2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73"/>
      <c r="M52" s="75"/>
      <c r="N52" s="4"/>
      <c r="O52" s="4"/>
      <c r="P52" s="51">
        <f t="shared" si="0"/>
        <v>0</v>
      </c>
      <c r="Q52" s="75"/>
      <c r="R52" s="5"/>
    </row>
    <row r="53" spans="1:2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73"/>
      <c r="M53" s="75"/>
      <c r="N53" s="4"/>
      <c r="O53" s="4"/>
      <c r="P53" s="51">
        <f t="shared" si="0"/>
        <v>0</v>
      </c>
      <c r="Q53" s="75"/>
      <c r="R53" s="5"/>
    </row>
    <row r="54" spans="1:2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73"/>
      <c r="M54" s="75"/>
      <c r="N54" s="4"/>
      <c r="O54" s="4"/>
      <c r="P54" s="51">
        <f t="shared" si="0"/>
        <v>0</v>
      </c>
      <c r="Q54" s="75"/>
      <c r="R54" s="5"/>
    </row>
    <row r="55" spans="1:2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73"/>
      <c r="M55" s="75"/>
      <c r="N55" s="4"/>
      <c r="O55" s="4"/>
      <c r="P55" s="51">
        <f t="shared" si="0"/>
        <v>0</v>
      </c>
      <c r="Q55" s="75"/>
      <c r="R55" s="5"/>
    </row>
    <row r="56" spans="1:2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73"/>
      <c r="M56" s="75"/>
      <c r="N56" s="4"/>
      <c r="O56" s="4"/>
      <c r="P56" s="51">
        <f t="shared" si="0"/>
        <v>0</v>
      </c>
      <c r="Q56" s="75"/>
      <c r="R56" s="5"/>
    </row>
    <row r="57" spans="1:2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5"/>
      <c r="M57" s="45"/>
      <c r="N57" s="4"/>
      <c r="O57" s="4"/>
      <c r="P57" s="45"/>
      <c r="Q57" s="45"/>
      <c r="R57" s="5"/>
    </row>
    <row r="58" spans="1:2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</row>
    <row r="59" spans="1:2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10" t="s">
        <v>73</v>
      </c>
      <c r="M59" s="71">
        <v>1.5</v>
      </c>
      <c r="N59" s="4"/>
      <c r="O59" s="4"/>
      <c r="P59" s="4"/>
      <c r="Q59" s="4"/>
      <c r="R59" s="5"/>
    </row>
    <row r="60" spans="1:2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</row>
    <row r="61" spans="1:21" ht="15.75" thickBot="1" x14ac:dyDescent="0.3">
      <c r="A61" s="46" t="s">
        <v>116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8"/>
    </row>
    <row r="62" spans="1:21" ht="15.75" thickTop="1" x14ac:dyDescent="0.25">
      <c r="A62" t="s">
        <v>94</v>
      </c>
    </row>
  </sheetData>
  <sheetProtection algorithmName="SHA-512" hashValue="3qknkocB771WOPJx7tGeLw8L2cw58ezCtU9F1TgDkTwaVHEoxR2Mm6P8QxWM1tsxF7zbZ80FkrawizHqCVf1/g==" saltValue="Jqu47TMrmbF/R3N0vXP4zg==" spinCount="100000" sheet="1" scenarios="1"/>
  <printOptions horizontalCentered="1" verticalCentered="1"/>
  <pageMargins left="0.70866141732283472" right="0.70866141732283472" top="0.51" bottom="0.67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zoomScale="50" zoomScaleNormal="50" workbookViewId="0">
      <selection activeCell="U29" sqref="U29"/>
    </sheetView>
  </sheetViews>
  <sheetFormatPr defaultRowHeight="15" x14ac:dyDescent="0.25"/>
  <cols>
    <col min="1" max="1" width="3.7109375" customWidth="1"/>
    <col min="2" max="2" width="19.140625" customWidth="1"/>
    <col min="3" max="3" width="12.140625" customWidth="1"/>
    <col min="4" max="4" width="13.28515625" customWidth="1"/>
    <col min="5" max="5" width="9.5703125" customWidth="1"/>
    <col min="6" max="6" width="10.5703125" bestFit="1" customWidth="1"/>
    <col min="7" max="7" width="9" customWidth="1"/>
    <col min="8" max="8" width="10.140625" customWidth="1"/>
    <col min="9" max="9" width="10.85546875" customWidth="1"/>
    <col min="15" max="15" width="9.28515625" bestFit="1" customWidth="1"/>
  </cols>
  <sheetData>
    <row r="1" spans="1:18" ht="15.75" thickTop="1" x14ac:dyDescent="0.25">
      <c r="A1" s="1"/>
      <c r="B1" s="78" t="s">
        <v>122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0" t="s">
        <v>134</v>
      </c>
    </row>
    <row r="2" spans="1:18" x14ac:dyDescent="0.25">
      <c r="A2" s="3"/>
      <c r="B2" s="10" t="s">
        <v>123</v>
      </c>
      <c r="C2" s="4" t="s">
        <v>124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3"/>
      <c r="B3" s="10" t="s">
        <v>125</v>
      </c>
      <c r="C3" s="4" t="s">
        <v>126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/>
      <c r="B4" s="10" t="s">
        <v>127</v>
      </c>
      <c r="C4" s="4" t="s">
        <v>128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/>
      <c r="B5" s="4"/>
      <c r="C5" s="4"/>
      <c r="D5" s="4"/>
      <c r="E5" s="4"/>
      <c r="F5" s="4"/>
      <c r="G5" s="4"/>
      <c r="H5" s="4"/>
      <c r="J5" s="4"/>
      <c r="K5" s="4"/>
      <c r="L5" s="4"/>
      <c r="M5" s="4"/>
      <c r="N5" s="4"/>
      <c r="O5" s="4"/>
      <c r="P5" s="4"/>
      <c r="Q5" s="4"/>
      <c r="R5" s="5"/>
    </row>
    <row r="6" spans="1:18" ht="23.25" x14ac:dyDescent="0.35">
      <c r="A6" s="3"/>
      <c r="B6" s="4"/>
      <c r="C6" s="4"/>
      <c r="D6" s="4"/>
      <c r="E6" s="4"/>
      <c r="F6" s="4"/>
      <c r="G6" s="4"/>
      <c r="H6" s="6" t="s">
        <v>12</v>
      </c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hidden="1" x14ac:dyDescent="0.25">
      <c r="A7" s="3"/>
      <c r="B7" s="7" t="s">
        <v>0</v>
      </c>
      <c r="C7" s="61" t="s">
        <v>119</v>
      </c>
      <c r="D7" s="62"/>
      <c r="E7" s="62"/>
      <c r="F7" s="63"/>
      <c r="G7" s="7"/>
      <c r="H7" s="7" t="s">
        <v>1</v>
      </c>
      <c r="I7" s="68" t="s">
        <v>121</v>
      </c>
      <c r="J7" s="4"/>
      <c r="K7" s="4"/>
      <c r="L7" s="4"/>
      <c r="M7" s="4"/>
      <c r="N7" s="4"/>
      <c r="O7" s="4"/>
      <c r="P7" s="4"/>
      <c r="Q7" s="4"/>
      <c r="R7" s="5"/>
    </row>
    <row r="8" spans="1:18" hidden="1" x14ac:dyDescent="0.25">
      <c r="A8" s="3"/>
      <c r="B8" s="7" t="s">
        <v>2</v>
      </c>
      <c r="C8" s="64" t="s">
        <v>118</v>
      </c>
      <c r="D8" s="62"/>
      <c r="E8" s="62"/>
      <c r="F8" s="63"/>
      <c r="G8" s="7"/>
      <c r="H8" s="7"/>
      <c r="I8" s="7"/>
      <c r="J8" s="4"/>
      <c r="K8" s="4"/>
      <c r="L8" s="4"/>
      <c r="M8" s="4"/>
      <c r="N8" s="4"/>
      <c r="O8" s="4"/>
      <c r="P8" s="4"/>
      <c r="Q8" s="4"/>
      <c r="R8" s="5"/>
    </row>
    <row r="9" spans="1:18" hidden="1" x14ac:dyDescent="0.25">
      <c r="A9" s="3"/>
      <c r="B9" s="7" t="s">
        <v>3</v>
      </c>
      <c r="C9" s="64" t="s">
        <v>120</v>
      </c>
      <c r="D9" s="62"/>
      <c r="E9" s="62"/>
      <c r="F9" s="63"/>
      <c r="G9" s="7"/>
      <c r="H9" s="4"/>
      <c r="I9" s="4"/>
      <c r="J9" s="7"/>
      <c r="K9" s="4"/>
      <c r="L9" s="4"/>
      <c r="M9" s="4"/>
      <c r="N9" s="4"/>
      <c r="O9" s="4"/>
      <c r="P9" s="4"/>
      <c r="Q9" s="4"/>
      <c r="R9" s="5"/>
    </row>
    <row r="10" spans="1:18" hidden="1" x14ac:dyDescent="0.25">
      <c r="A10" s="3"/>
      <c r="B10" s="7" t="s">
        <v>4</v>
      </c>
      <c r="C10" s="65" t="s">
        <v>5</v>
      </c>
      <c r="D10" s="7"/>
      <c r="E10" s="7"/>
      <c r="F10" s="7"/>
      <c r="G10" s="4"/>
      <c r="H10" s="7" t="s">
        <v>6</v>
      </c>
      <c r="I10" s="69">
        <f ca="1">TODAY()</f>
        <v>41838</v>
      </c>
      <c r="J10" s="4"/>
      <c r="K10" s="4"/>
      <c r="L10" s="4"/>
      <c r="M10" s="4"/>
      <c r="N10" s="4"/>
      <c r="O10" s="4"/>
      <c r="P10" s="4"/>
      <c r="Q10" s="4"/>
      <c r="R10" s="5"/>
    </row>
    <row r="11" spans="1:18" hidden="1" x14ac:dyDescent="0.25">
      <c r="A11" s="3"/>
      <c r="B11" s="7" t="s">
        <v>7</v>
      </c>
      <c r="C11" s="66" t="s">
        <v>5</v>
      </c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  <c r="P11" s="4"/>
      <c r="Q11" s="4"/>
      <c r="R11" s="5"/>
    </row>
    <row r="12" spans="1:18" x14ac:dyDescent="0.25">
      <c r="A12" s="3"/>
      <c r="B12" s="8" t="s">
        <v>8</v>
      </c>
      <c r="C12" s="66"/>
      <c r="D12" s="4"/>
      <c r="E12" s="9"/>
      <c r="F12" s="7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21"/>
      <c r="B14" s="23" t="s">
        <v>98</v>
      </c>
      <c r="C14" s="9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4"/>
      <c r="P14" s="4"/>
      <c r="Q14" s="4"/>
      <c r="R14" s="5"/>
    </row>
    <row r="15" spans="1:18" x14ac:dyDescent="0.25">
      <c r="A15" s="21"/>
      <c r="B15" s="24" t="s">
        <v>14</v>
      </c>
      <c r="C15" s="25"/>
      <c r="D15" s="26"/>
      <c r="E15" s="67">
        <v>10</v>
      </c>
      <c r="F15" s="9" t="s">
        <v>13</v>
      </c>
      <c r="G15" s="9"/>
      <c r="H15" s="11"/>
      <c r="I15" s="17"/>
      <c r="J15" s="9"/>
      <c r="K15" s="9"/>
      <c r="L15" s="9"/>
      <c r="M15" s="9"/>
      <c r="N15" s="9"/>
      <c r="O15" s="4"/>
      <c r="P15" s="4"/>
      <c r="Q15" s="4"/>
      <c r="R15" s="5"/>
    </row>
    <row r="16" spans="1:18" ht="18" x14ac:dyDescent="0.35">
      <c r="A16" s="21"/>
      <c r="B16" s="25" t="s">
        <v>15</v>
      </c>
      <c r="C16" s="25"/>
      <c r="D16" s="26"/>
      <c r="E16" s="67">
        <v>10</v>
      </c>
      <c r="F16" s="9" t="s">
        <v>13</v>
      </c>
      <c r="G16" s="9"/>
      <c r="H16" s="11"/>
      <c r="I16" s="17"/>
      <c r="J16" s="9"/>
      <c r="K16" s="9"/>
      <c r="L16" s="9"/>
      <c r="M16" s="9"/>
      <c r="N16" s="9"/>
      <c r="O16" s="4"/>
      <c r="P16" s="4"/>
      <c r="Q16" s="4"/>
      <c r="R16" s="5"/>
    </row>
    <row r="17" spans="1:21" ht="18.75" x14ac:dyDescent="0.35">
      <c r="A17" s="21"/>
      <c r="B17" s="27" t="s">
        <v>78</v>
      </c>
      <c r="C17" s="27"/>
      <c r="D17" s="28"/>
      <c r="E17" s="67">
        <v>17</v>
      </c>
      <c r="F17" s="9" t="s">
        <v>10</v>
      </c>
      <c r="G17" s="9"/>
      <c r="H17" s="11"/>
      <c r="I17" s="17"/>
      <c r="J17" s="9"/>
      <c r="K17" s="9"/>
      <c r="L17" s="9"/>
      <c r="M17" s="9"/>
      <c r="N17" s="9"/>
      <c r="O17" s="4"/>
      <c r="P17" s="4"/>
      <c r="Q17" s="4"/>
      <c r="R17" s="5"/>
    </row>
    <row r="18" spans="1:21" ht="18" x14ac:dyDescent="0.35">
      <c r="A18" s="21"/>
      <c r="B18" s="27" t="s">
        <v>17</v>
      </c>
      <c r="C18" s="27"/>
      <c r="D18" s="27"/>
      <c r="E18" s="67">
        <v>2</v>
      </c>
      <c r="F18" s="9" t="s">
        <v>9</v>
      </c>
      <c r="G18" s="9"/>
      <c r="H18" s="9"/>
      <c r="I18" s="9"/>
      <c r="J18" s="9"/>
      <c r="K18" s="9"/>
      <c r="L18" s="9"/>
      <c r="M18" s="9"/>
      <c r="N18" s="9"/>
      <c r="O18" s="4"/>
      <c r="P18" s="4"/>
      <c r="Q18" s="4"/>
      <c r="R18" s="5"/>
    </row>
    <row r="19" spans="1:21" ht="18.75" x14ac:dyDescent="0.35">
      <c r="A19" s="21"/>
      <c r="B19" s="27" t="s">
        <v>18</v>
      </c>
      <c r="C19" s="27"/>
      <c r="D19" s="28"/>
      <c r="E19" s="67">
        <v>9.81</v>
      </c>
      <c r="F19" s="9" t="s">
        <v>10</v>
      </c>
      <c r="G19" s="18"/>
      <c r="H19" s="11"/>
      <c r="I19" s="13"/>
      <c r="J19" s="9"/>
      <c r="K19" s="9"/>
      <c r="L19" s="9"/>
      <c r="M19" s="9"/>
      <c r="N19" s="9"/>
      <c r="O19" s="4"/>
      <c r="P19" s="4"/>
      <c r="Q19" s="4"/>
      <c r="R19" s="5"/>
    </row>
    <row r="20" spans="1:21" ht="18" x14ac:dyDescent="0.35">
      <c r="A20" s="21"/>
      <c r="B20" s="27" t="s">
        <v>19</v>
      </c>
      <c r="C20" s="27"/>
      <c r="D20" s="28"/>
      <c r="E20" s="67">
        <v>2</v>
      </c>
      <c r="F20" s="14" t="s">
        <v>9</v>
      </c>
      <c r="G20" s="18"/>
      <c r="H20" s="14"/>
      <c r="I20" s="9"/>
      <c r="J20" s="9"/>
      <c r="K20" s="9"/>
      <c r="L20" s="9"/>
      <c r="M20" s="9"/>
      <c r="N20" s="9"/>
      <c r="O20" s="4"/>
      <c r="P20" s="4"/>
      <c r="Q20" s="4"/>
      <c r="R20" s="5"/>
    </row>
    <row r="21" spans="1:21" ht="18.75" x14ac:dyDescent="0.35">
      <c r="A21" s="21"/>
      <c r="B21" s="27" t="s">
        <v>79</v>
      </c>
      <c r="C21" s="27"/>
      <c r="D21" s="28"/>
      <c r="E21" s="74">
        <v>17.5</v>
      </c>
      <c r="F21" s="9" t="s">
        <v>10</v>
      </c>
      <c r="G21" s="9"/>
      <c r="H21" s="9"/>
      <c r="I21" s="9"/>
      <c r="J21" s="9"/>
      <c r="K21" s="9"/>
      <c r="L21" s="9"/>
      <c r="M21" s="9"/>
      <c r="N21" s="9"/>
      <c r="O21" s="4"/>
      <c r="P21" s="4"/>
      <c r="Q21" s="4"/>
      <c r="R21" s="5"/>
    </row>
    <row r="22" spans="1:21" x14ac:dyDescent="0.25">
      <c r="A22" s="21"/>
      <c r="B22" s="9"/>
      <c r="C22" s="9"/>
      <c r="D22" s="9"/>
      <c r="E22" s="52"/>
      <c r="F22" s="9"/>
      <c r="G22" s="9"/>
      <c r="H22" s="9"/>
      <c r="I22" s="9"/>
      <c r="J22" s="9"/>
      <c r="K22" s="9"/>
      <c r="L22" s="9"/>
      <c r="M22" s="9"/>
      <c r="N22" s="9"/>
      <c r="O22" s="4"/>
      <c r="P22" s="4"/>
      <c r="Q22" s="4"/>
      <c r="R22" s="5"/>
    </row>
    <row r="23" spans="1:21" x14ac:dyDescent="0.25">
      <c r="A23" s="21"/>
      <c r="B23" s="29" t="s">
        <v>80</v>
      </c>
      <c r="C23" s="26"/>
      <c r="D23" s="26"/>
      <c r="E23" s="67">
        <v>0</v>
      </c>
      <c r="F23" s="14" t="s">
        <v>13</v>
      </c>
      <c r="G23" s="13"/>
      <c r="H23" s="13"/>
      <c r="I23" s="9"/>
      <c r="J23" s="9"/>
      <c r="K23" s="9"/>
      <c r="L23" s="9"/>
      <c r="M23" s="9"/>
      <c r="N23" s="9"/>
      <c r="O23" s="4"/>
      <c r="P23" s="4"/>
      <c r="Q23" s="4"/>
      <c r="R23" s="5"/>
    </row>
    <row r="24" spans="1:21" x14ac:dyDescent="0.25">
      <c r="A24" s="21"/>
      <c r="B24" s="29" t="s">
        <v>25</v>
      </c>
      <c r="C24" s="30"/>
      <c r="D24" s="31"/>
      <c r="E24" s="70">
        <v>32</v>
      </c>
      <c r="F24" s="22" t="s">
        <v>24</v>
      </c>
      <c r="G24" s="18"/>
      <c r="H24" s="19"/>
      <c r="I24" s="9"/>
      <c r="J24" s="9"/>
      <c r="K24" s="9"/>
      <c r="L24" s="9"/>
      <c r="M24" s="9"/>
      <c r="N24" s="9"/>
      <c r="O24" s="4"/>
      <c r="P24" s="4"/>
      <c r="Q24" s="4"/>
      <c r="R24" s="5"/>
    </row>
    <row r="25" spans="1:21" ht="18.75" x14ac:dyDescent="0.35">
      <c r="A25" s="21"/>
      <c r="B25" s="25" t="s">
        <v>26</v>
      </c>
      <c r="C25" s="30"/>
      <c r="D25" s="31"/>
      <c r="E25" s="70">
        <v>19.600000000000001</v>
      </c>
      <c r="F25" s="9" t="s">
        <v>10</v>
      </c>
      <c r="G25" s="18"/>
      <c r="H25" s="19"/>
      <c r="I25" s="9"/>
      <c r="J25" s="9"/>
      <c r="K25" s="9"/>
      <c r="L25" s="9"/>
      <c r="M25" s="9"/>
      <c r="N25" s="9"/>
      <c r="O25" s="4"/>
      <c r="P25" s="4"/>
      <c r="Q25" s="4"/>
      <c r="R25" s="5"/>
    </row>
    <row r="26" spans="1:21" x14ac:dyDescent="0.25">
      <c r="A26" s="21"/>
      <c r="B26" s="14"/>
      <c r="C26" s="19"/>
      <c r="D26" s="20"/>
      <c r="E26" s="53"/>
      <c r="F26" s="22"/>
      <c r="G26" s="18"/>
      <c r="H26" s="19"/>
      <c r="I26" s="9"/>
      <c r="J26" s="9"/>
      <c r="K26" s="9"/>
      <c r="L26" s="9"/>
      <c r="M26" s="9"/>
      <c r="N26" s="9"/>
      <c r="O26" s="4"/>
      <c r="P26" s="4"/>
      <c r="Q26" s="4"/>
      <c r="R26" s="5"/>
      <c r="T26" s="16"/>
      <c r="U26" s="16"/>
    </row>
    <row r="27" spans="1:21" x14ac:dyDescent="0.25">
      <c r="A27" s="21"/>
      <c r="B27" s="34" t="s">
        <v>28</v>
      </c>
      <c r="C27" s="32"/>
      <c r="D27" s="33"/>
      <c r="E27" s="70">
        <v>20</v>
      </c>
      <c r="F27" s="22" t="s">
        <v>9</v>
      </c>
      <c r="G27" s="18"/>
      <c r="H27" s="19"/>
      <c r="I27" s="9"/>
      <c r="J27" s="9"/>
      <c r="K27" s="9"/>
      <c r="L27" s="9"/>
      <c r="M27" s="9"/>
      <c r="N27" s="9"/>
      <c r="O27" s="4"/>
      <c r="P27" s="4"/>
      <c r="Q27" s="4"/>
      <c r="R27" s="5"/>
      <c r="T27" s="16"/>
      <c r="U27" s="16"/>
    </row>
    <row r="28" spans="1:21" x14ac:dyDescent="0.25">
      <c r="A28" s="21"/>
      <c r="B28" s="34" t="s">
        <v>29</v>
      </c>
      <c r="C28" s="32"/>
      <c r="D28" s="33"/>
      <c r="E28" s="70">
        <v>25</v>
      </c>
      <c r="F28" s="22" t="s">
        <v>9</v>
      </c>
      <c r="G28" s="18"/>
      <c r="H28" s="19"/>
      <c r="I28" s="9"/>
      <c r="J28" s="9"/>
      <c r="K28" s="9"/>
      <c r="L28" s="9"/>
      <c r="M28" s="9"/>
      <c r="N28" s="9"/>
      <c r="O28" s="4"/>
      <c r="P28" s="4"/>
      <c r="Q28" s="4"/>
      <c r="R28" s="5"/>
    </row>
    <row r="29" spans="1:21" ht="18.75" x14ac:dyDescent="0.35">
      <c r="A29" s="21"/>
      <c r="B29" s="27" t="s">
        <v>30</v>
      </c>
      <c r="C29" s="32"/>
      <c r="D29" s="33"/>
      <c r="E29" s="70">
        <v>11</v>
      </c>
      <c r="F29" s="9" t="s">
        <v>10</v>
      </c>
      <c r="G29" s="18"/>
      <c r="H29" s="19"/>
      <c r="I29" s="9"/>
      <c r="J29" s="9"/>
      <c r="K29" s="9"/>
      <c r="L29" s="9"/>
      <c r="M29" s="9"/>
      <c r="N29" s="9"/>
      <c r="O29" s="4"/>
      <c r="P29" s="4"/>
      <c r="Q29" s="4"/>
      <c r="R29" s="5"/>
    </row>
    <row r="30" spans="1:21" ht="18" x14ac:dyDescent="0.35">
      <c r="A30" s="21"/>
      <c r="B30" s="27" t="s">
        <v>31</v>
      </c>
      <c r="C30" s="32"/>
      <c r="D30" s="33"/>
      <c r="E30" s="71">
        <v>19.7</v>
      </c>
      <c r="F30" s="22" t="s">
        <v>9</v>
      </c>
      <c r="G30" s="18"/>
      <c r="H30" s="19"/>
      <c r="I30" s="9"/>
      <c r="J30" s="9"/>
      <c r="K30" s="9"/>
      <c r="L30" s="9"/>
      <c r="M30" s="9"/>
      <c r="N30" s="9"/>
      <c r="O30" s="4"/>
      <c r="P30" s="4"/>
      <c r="Q30" s="4"/>
      <c r="R30" s="5"/>
    </row>
    <row r="31" spans="1:21" ht="18" x14ac:dyDescent="0.35">
      <c r="A31" s="21"/>
      <c r="B31" s="25" t="s">
        <v>32</v>
      </c>
      <c r="C31" s="30"/>
      <c r="D31" s="31"/>
      <c r="E31" s="70">
        <v>2</v>
      </c>
      <c r="F31" s="22" t="s">
        <v>9</v>
      </c>
      <c r="G31" s="18"/>
      <c r="H31" s="19"/>
      <c r="I31" s="9"/>
      <c r="J31" s="9"/>
      <c r="K31" s="9"/>
      <c r="L31" s="9"/>
      <c r="M31" s="9"/>
      <c r="N31" s="9"/>
      <c r="O31" s="4"/>
      <c r="P31" s="4"/>
      <c r="Q31" s="4"/>
      <c r="R31" s="5"/>
    </row>
    <row r="32" spans="1:21" ht="18.75" x14ac:dyDescent="0.35">
      <c r="A32" s="21"/>
      <c r="B32" s="25" t="s">
        <v>33</v>
      </c>
      <c r="C32" s="30"/>
      <c r="D32" s="31"/>
      <c r="E32" s="71">
        <v>9.81</v>
      </c>
      <c r="F32" s="9" t="s">
        <v>10</v>
      </c>
      <c r="G32" s="18"/>
      <c r="H32" s="19"/>
      <c r="I32" s="9"/>
      <c r="J32" s="35" t="s">
        <v>77</v>
      </c>
      <c r="K32" s="9"/>
      <c r="L32" s="9"/>
      <c r="M32" s="9"/>
      <c r="N32" s="9"/>
      <c r="O32" s="4"/>
      <c r="P32" s="4"/>
      <c r="Q32" s="4"/>
      <c r="R32" s="5"/>
    </row>
    <row r="33" spans="1:21" x14ac:dyDescent="0.25">
      <c r="A33" s="21"/>
      <c r="B33" s="34" t="s">
        <v>34</v>
      </c>
      <c r="C33" s="32"/>
      <c r="D33" s="33"/>
      <c r="E33" s="71">
        <v>0.47</v>
      </c>
      <c r="F33" s="22" t="s">
        <v>22</v>
      </c>
      <c r="G33" s="18"/>
      <c r="H33" s="19"/>
      <c r="I33" s="9"/>
      <c r="J33" s="9"/>
      <c r="K33" s="9"/>
      <c r="L33" s="9"/>
      <c r="M33" s="9"/>
      <c r="N33" s="9"/>
      <c r="O33" s="4"/>
      <c r="P33" s="4"/>
      <c r="Q33" s="4"/>
      <c r="R33" s="5"/>
    </row>
    <row r="34" spans="1:21" x14ac:dyDescent="0.25">
      <c r="A34" s="21"/>
      <c r="B34" s="13"/>
      <c r="C34" s="19"/>
      <c r="D34" s="20"/>
      <c r="E34" s="18"/>
      <c r="F34" s="18"/>
      <c r="G34" s="18"/>
      <c r="H34" s="19"/>
      <c r="I34" s="9"/>
      <c r="J34" s="9"/>
      <c r="K34" s="9"/>
      <c r="L34" s="9"/>
      <c r="M34" s="9"/>
      <c r="N34" s="9"/>
      <c r="O34" s="4"/>
      <c r="P34" s="4"/>
      <c r="Q34" s="4"/>
      <c r="R34" s="5"/>
    </row>
    <row r="35" spans="1:21" x14ac:dyDescent="0.25">
      <c r="A35" s="21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4"/>
      <c r="P35" s="4"/>
      <c r="Q35" s="4"/>
      <c r="R35" s="5"/>
    </row>
    <row r="36" spans="1:21" x14ac:dyDescent="0.25">
      <c r="A36" s="21"/>
      <c r="B36" s="35" t="s">
        <v>35</v>
      </c>
      <c r="C36" s="9"/>
      <c r="D36" s="9"/>
      <c r="E36" s="9"/>
      <c r="F36" s="9"/>
      <c r="G36" s="9"/>
      <c r="H36" s="35" t="s">
        <v>52</v>
      </c>
      <c r="I36" s="9"/>
      <c r="J36" s="9"/>
      <c r="K36" s="9"/>
      <c r="L36" s="35" t="s">
        <v>93</v>
      </c>
      <c r="M36" s="9"/>
      <c r="N36" s="9"/>
      <c r="O36" s="4"/>
      <c r="P36" s="4"/>
      <c r="Q36" s="4"/>
      <c r="R36" s="5"/>
    </row>
    <row r="37" spans="1:21" ht="18.75" x14ac:dyDescent="0.35">
      <c r="A37" s="3"/>
      <c r="B37" s="11" t="s">
        <v>81</v>
      </c>
      <c r="C37" s="18">
        <f>$E$23*($E$27-$E$18)</f>
        <v>0</v>
      </c>
      <c r="D37" s="4" t="s">
        <v>85</v>
      </c>
      <c r="E37" s="4"/>
      <c r="F37" s="4"/>
      <c r="G37" s="4"/>
      <c r="H37" s="10" t="s">
        <v>89</v>
      </c>
      <c r="I37" s="4">
        <f>($C$37-$C$38*TAN(RADIANS($E$24)))/($C$39-$C$40)</f>
        <v>-0.53611265379527961</v>
      </c>
      <c r="J37" s="4"/>
      <c r="K37" s="4"/>
      <c r="L37" s="4" t="s">
        <v>57</v>
      </c>
      <c r="M37" s="12">
        <f>(2*$I$37+$I$38+$I$39)/$I$40</f>
        <v>4.6398036459276915</v>
      </c>
      <c r="N37" s="4" t="s">
        <v>58</v>
      </c>
      <c r="O37" s="4">
        <f>($I$37+$I$39)/$I$40</f>
        <v>0.83995956292719998</v>
      </c>
      <c r="P37" s="39" t="s">
        <v>59</v>
      </c>
      <c r="Q37" s="4"/>
      <c r="R37" s="5"/>
    </row>
    <row r="38" spans="1:21" ht="18.75" x14ac:dyDescent="0.3">
      <c r="A38" s="3"/>
      <c r="B38" s="36" t="s">
        <v>82</v>
      </c>
      <c r="C38" s="15">
        <f>0.5*$E$32*($E$27+$E$18-2*$E$31)*($E$27-$E$18)</f>
        <v>1589.22</v>
      </c>
      <c r="D38" s="4" t="s">
        <v>86</v>
      </c>
      <c r="E38" s="4"/>
      <c r="F38" s="4"/>
      <c r="G38" s="4"/>
      <c r="H38" s="10" t="s">
        <v>90</v>
      </c>
      <c r="I38" s="4">
        <f>($C$39*TAN(RADIANS($E$24)))/($C$39-$C$40)</f>
        <v>1.3383081764240528</v>
      </c>
      <c r="J38" s="4"/>
      <c r="K38" s="4"/>
      <c r="L38" s="4"/>
      <c r="M38" s="4"/>
      <c r="N38" s="4"/>
      <c r="O38" s="4"/>
      <c r="P38" s="4"/>
      <c r="Q38" s="4"/>
      <c r="R38" s="5"/>
    </row>
    <row r="39" spans="1:21" ht="19.5" x14ac:dyDescent="0.35">
      <c r="A39" s="3"/>
      <c r="B39" s="37" t="s">
        <v>83</v>
      </c>
      <c r="C39" s="15">
        <f>($E$27-$E$18)*($E$15+$E$17*$E$31+$E$21*($E$18-$E$31)+0.5*$E$25*($E$27-$E$18))</f>
        <v>3967.2000000000003</v>
      </c>
      <c r="D39" s="4" t="s">
        <v>87</v>
      </c>
      <c r="E39" s="4"/>
      <c r="F39" s="4"/>
      <c r="G39" s="4"/>
      <c r="H39" s="11" t="s">
        <v>91</v>
      </c>
      <c r="I39" s="4">
        <f>($C$40*TAN(RADIANS($E$24)))/($C$39-$C$40)</f>
        <v>0.7134388245147254</v>
      </c>
      <c r="J39" s="4"/>
      <c r="K39" s="4"/>
      <c r="L39" s="4" t="s">
        <v>60</v>
      </c>
      <c r="M39" s="4"/>
      <c r="N39" s="4"/>
      <c r="O39" s="67">
        <v>0.40790828187548756</v>
      </c>
      <c r="P39" s="4" t="s">
        <v>61</v>
      </c>
      <c r="Q39" s="4"/>
      <c r="R39" s="5"/>
    </row>
    <row r="40" spans="1:21" x14ac:dyDescent="0.25">
      <c r="A40" s="3"/>
      <c r="B40" s="36" t="s">
        <v>42</v>
      </c>
      <c r="C40" s="15">
        <f>0.5*($E$29*$E$30^2-$E$19*$E$20^2)</f>
        <v>2114.875</v>
      </c>
      <c r="D40" s="9" t="s">
        <v>43</v>
      </c>
      <c r="E40" s="4"/>
      <c r="F40" s="4"/>
      <c r="G40" s="4"/>
      <c r="H40" s="11" t="s">
        <v>92</v>
      </c>
      <c r="I40" s="4">
        <f>$C$41/($E$28*($C$39-$C$40))</f>
        <v>0.21111274702495983</v>
      </c>
      <c r="J40" s="4"/>
      <c r="K40" s="4"/>
      <c r="L40" s="41" t="s">
        <v>62</v>
      </c>
      <c r="M40" s="4"/>
      <c r="N40" s="4"/>
      <c r="O40" s="77">
        <f>$O$39^3+$M$37*$O$39^2-$O$37</f>
        <v>-7.4982918552124467E-5</v>
      </c>
      <c r="P40" s="4"/>
      <c r="Q40" s="4"/>
      <c r="R40" s="5"/>
    </row>
    <row r="41" spans="1:21" x14ac:dyDescent="0.25">
      <c r="A41" s="3"/>
      <c r="B41" s="36" t="s">
        <v>84</v>
      </c>
      <c r="C41" s="15">
        <f>$E$23*($E$27-$E$18)^2+$E$33*TAN(RADIANS($E$24))*(($E$27-$E$18)^2)*($E$16+$E$17*$E$31+($E$21-$E$32)*($E$18-$E$31)+(1/3)*($E$25-$E$32)*($E$27-$E$18))</f>
        <v>9776.2354783252194</v>
      </c>
      <c r="D41" s="9" t="s">
        <v>88</v>
      </c>
      <c r="E41" s="4"/>
      <c r="F41" s="4"/>
      <c r="G41" s="4"/>
      <c r="H41" s="4"/>
      <c r="I41" s="4"/>
      <c r="J41" s="4"/>
      <c r="K41" s="4"/>
      <c r="L41" s="9" t="s">
        <v>63</v>
      </c>
      <c r="M41" s="4"/>
      <c r="N41" s="4"/>
      <c r="O41" s="4"/>
      <c r="P41" s="4"/>
      <c r="Q41" s="4"/>
      <c r="R41" s="5"/>
      <c r="T41" s="16"/>
    </row>
    <row r="42" spans="1:2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9" t="s">
        <v>64</v>
      </c>
      <c r="M42" s="4"/>
      <c r="N42" s="4"/>
      <c r="O42" s="4"/>
      <c r="P42" s="4"/>
      <c r="Q42" s="4"/>
      <c r="R42" s="5"/>
    </row>
    <row r="43" spans="1:21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9" t="s">
        <v>65</v>
      </c>
      <c r="M43" s="4"/>
      <c r="N43" s="4"/>
      <c r="O43" s="4"/>
      <c r="P43" s="4"/>
      <c r="Q43" s="4"/>
      <c r="R43" s="5"/>
    </row>
    <row r="44" spans="1:2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9" t="s">
        <v>66</v>
      </c>
      <c r="M44" s="4"/>
      <c r="N44" s="4"/>
      <c r="O44" s="4"/>
      <c r="P44" s="4"/>
      <c r="Q44" s="4"/>
      <c r="R44" s="5"/>
    </row>
    <row r="45" spans="1:21" ht="18" x14ac:dyDescent="0.3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9" t="s">
        <v>68</v>
      </c>
      <c r="M45" s="4"/>
      <c r="N45" s="4"/>
      <c r="O45" s="43">
        <f>ACOS($O$39)*180/PI()</f>
        <v>65.926496100194839</v>
      </c>
      <c r="P45" s="4" t="s">
        <v>24</v>
      </c>
      <c r="Q45" s="4"/>
      <c r="R45" s="5"/>
    </row>
    <row r="46" spans="1:2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9" t="s">
        <v>11</v>
      </c>
      <c r="M46" s="4"/>
      <c r="N46" s="4"/>
      <c r="O46" s="44">
        <f>$I$37*(1/COS(RADIANS($O$45)))*(1/SIN(RADIANS($O$45)))+$I$38*(1/TAN(RADIANS($O$45)))+$I$39*(TAN(RADIANS($O$45)))+$I$40*(1/SIN(RADIANS($O$45)))</f>
        <v>0.98652817315928365</v>
      </c>
      <c r="P46" s="4" t="s">
        <v>75</v>
      </c>
      <c r="Q46" s="4"/>
      <c r="R46" s="5"/>
    </row>
    <row r="47" spans="1:2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T47" t="s">
        <v>74</v>
      </c>
    </row>
    <row r="48" spans="1:2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T48" s="16">
        <v>0</v>
      </c>
      <c r="U48" s="40">
        <f>$M$59</f>
        <v>1.5</v>
      </c>
    </row>
    <row r="49" spans="1:21" ht="18" x14ac:dyDescent="0.35">
      <c r="A49" s="3"/>
      <c r="B49" s="4"/>
      <c r="C49" s="4"/>
      <c r="D49" s="4"/>
      <c r="E49" s="4"/>
      <c r="F49" s="4"/>
      <c r="G49" s="4"/>
      <c r="H49" s="4"/>
      <c r="I49" s="4"/>
      <c r="J49" s="4"/>
      <c r="K49" s="35" t="s">
        <v>72</v>
      </c>
      <c r="M49" s="4"/>
      <c r="N49" s="4"/>
      <c r="O49" s="35" t="s">
        <v>72</v>
      </c>
      <c r="P49" s="4"/>
      <c r="Q49" s="4"/>
      <c r="R49" s="5"/>
      <c r="T49" s="38">
        <f>$L$56</f>
        <v>0</v>
      </c>
      <c r="U49" s="40">
        <f>$M$59</f>
        <v>1.5</v>
      </c>
    </row>
    <row r="50" spans="1:21" ht="18" x14ac:dyDescent="0.35">
      <c r="A50" s="3"/>
      <c r="B50" s="4"/>
      <c r="C50" s="4"/>
      <c r="D50" s="4"/>
      <c r="E50" s="4"/>
      <c r="F50" s="4"/>
      <c r="G50" s="4"/>
      <c r="H50" s="4"/>
      <c r="I50" s="4"/>
      <c r="J50" s="4"/>
      <c r="K50" s="67" t="s">
        <v>131</v>
      </c>
      <c r="L50" s="42" t="s">
        <v>70</v>
      </c>
      <c r="M50" s="42" t="s">
        <v>71</v>
      </c>
      <c r="N50" s="4"/>
      <c r="O50" s="67" t="s">
        <v>132</v>
      </c>
      <c r="P50" s="42" t="s">
        <v>70</v>
      </c>
      <c r="Q50" s="42" t="s">
        <v>71</v>
      </c>
      <c r="R50" s="5"/>
    </row>
    <row r="51" spans="1:2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13"/>
      <c r="L51" s="76">
        <v>2</v>
      </c>
      <c r="M51" s="74">
        <v>0.99</v>
      </c>
      <c r="N51" s="4"/>
      <c r="O51" s="18"/>
      <c r="P51" s="50">
        <f t="shared" ref="P51:P56" si="0">L51</f>
        <v>2</v>
      </c>
      <c r="Q51" s="74"/>
      <c r="R51" s="5"/>
    </row>
    <row r="52" spans="1:2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73"/>
      <c r="M52" s="75"/>
      <c r="N52" s="4"/>
      <c r="O52" s="4"/>
      <c r="P52" s="51">
        <f t="shared" si="0"/>
        <v>0</v>
      </c>
      <c r="Q52" s="75"/>
      <c r="R52" s="5"/>
    </row>
    <row r="53" spans="1:2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73"/>
      <c r="M53" s="75"/>
      <c r="N53" s="4"/>
      <c r="O53" s="4"/>
      <c r="P53" s="51">
        <f t="shared" si="0"/>
        <v>0</v>
      </c>
      <c r="Q53" s="75"/>
      <c r="R53" s="5"/>
    </row>
    <row r="54" spans="1:2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73"/>
      <c r="M54" s="75"/>
      <c r="N54" s="4"/>
      <c r="O54" s="4"/>
      <c r="P54" s="51">
        <f t="shared" si="0"/>
        <v>0</v>
      </c>
      <c r="Q54" s="75"/>
      <c r="R54" s="5"/>
    </row>
    <row r="55" spans="1:2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73"/>
      <c r="M55" s="75"/>
      <c r="N55" s="4"/>
      <c r="O55" s="4"/>
      <c r="P55" s="51">
        <f t="shared" si="0"/>
        <v>0</v>
      </c>
      <c r="Q55" s="75"/>
      <c r="R55" s="5"/>
    </row>
    <row r="56" spans="1:2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73"/>
      <c r="M56" s="75"/>
      <c r="N56" s="4"/>
      <c r="O56" s="4"/>
      <c r="P56" s="51">
        <f t="shared" si="0"/>
        <v>0</v>
      </c>
      <c r="Q56" s="75"/>
      <c r="R56" s="5"/>
    </row>
    <row r="57" spans="1:2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5"/>
      <c r="M57" s="45"/>
      <c r="N57" s="4"/>
      <c r="O57" s="4"/>
      <c r="P57" s="45"/>
      <c r="Q57" s="45"/>
      <c r="R57" s="5"/>
    </row>
    <row r="58" spans="1:2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</row>
    <row r="59" spans="1:2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10" t="s">
        <v>73</v>
      </c>
      <c r="M59" s="71">
        <v>1.5</v>
      </c>
      <c r="N59" s="4"/>
      <c r="O59" s="4"/>
      <c r="P59" s="4"/>
      <c r="Q59" s="4"/>
      <c r="R59" s="5"/>
    </row>
    <row r="60" spans="1:2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</row>
    <row r="61" spans="1:21" ht="15.75" thickBot="1" x14ac:dyDescent="0.3">
      <c r="A61" s="46" t="s">
        <v>116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8"/>
    </row>
    <row r="62" spans="1:21" ht="15.75" thickTop="1" x14ac:dyDescent="0.25">
      <c r="A62" t="s">
        <v>76</v>
      </c>
    </row>
  </sheetData>
  <sheetProtection algorithmName="SHA-512" hashValue="Az+7/UUYuMbpTb3vmITCRZxWlLo5nzmyKbm3jDjZxk/0WXy00B8bwSHrabMGOlDn4Wc6CRiRixeamSx6JSm/rw==" saltValue="n5PJOE4eKeyoaLhx3HXr8g==" spinCount="100000" sheet="1" scenarios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tabSelected="1" zoomScale="60" zoomScaleNormal="60" workbookViewId="0">
      <selection activeCell="V25" sqref="V25"/>
    </sheetView>
  </sheetViews>
  <sheetFormatPr defaultRowHeight="15" x14ac:dyDescent="0.25"/>
  <cols>
    <col min="1" max="1" width="3.7109375" customWidth="1"/>
    <col min="2" max="2" width="19.140625" customWidth="1"/>
    <col min="3" max="3" width="12.140625" customWidth="1"/>
    <col min="4" max="4" width="13.28515625" customWidth="1"/>
    <col min="5" max="5" width="9.5703125" customWidth="1"/>
    <col min="6" max="6" width="10.5703125" bestFit="1" customWidth="1"/>
    <col min="7" max="7" width="9" customWidth="1"/>
    <col min="8" max="8" width="10.140625" customWidth="1"/>
    <col min="9" max="9" width="10.85546875" customWidth="1"/>
    <col min="15" max="15" width="9.28515625" bestFit="1" customWidth="1"/>
  </cols>
  <sheetData>
    <row r="1" spans="1:18" ht="15.75" thickTop="1" x14ac:dyDescent="0.25">
      <c r="A1" s="1"/>
      <c r="B1" s="78" t="s">
        <v>122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0" t="s">
        <v>134</v>
      </c>
    </row>
    <row r="2" spans="1:18" x14ac:dyDescent="0.25">
      <c r="A2" s="3"/>
      <c r="B2" s="10" t="s">
        <v>123</v>
      </c>
      <c r="C2" s="4" t="s">
        <v>124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5">
      <c r="A3" s="3"/>
      <c r="B3" s="10" t="s">
        <v>125</v>
      </c>
      <c r="C3" s="4" t="s">
        <v>126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/>
      <c r="B4" s="10" t="s">
        <v>127</v>
      </c>
      <c r="C4" s="4" t="s">
        <v>128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/>
      <c r="B5" s="4"/>
      <c r="C5" s="4"/>
      <c r="D5" s="4"/>
      <c r="E5" s="4"/>
      <c r="F5" s="4"/>
      <c r="G5" s="4"/>
      <c r="H5" s="4"/>
      <c r="J5" s="4"/>
      <c r="K5" s="4"/>
      <c r="L5" s="4"/>
      <c r="M5" s="4"/>
      <c r="N5" s="4"/>
      <c r="O5" s="4"/>
      <c r="P5" s="4"/>
      <c r="Q5" s="4"/>
      <c r="R5" s="5"/>
    </row>
    <row r="6" spans="1:18" ht="23.25" x14ac:dyDescent="0.35">
      <c r="A6" s="3"/>
      <c r="B6" s="4"/>
      <c r="C6" s="4"/>
      <c r="D6" s="4"/>
      <c r="E6" s="4"/>
      <c r="F6" s="4"/>
      <c r="G6" s="4"/>
      <c r="H6" s="6" t="s">
        <v>12</v>
      </c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hidden="1" x14ac:dyDescent="0.25">
      <c r="A7" s="3"/>
      <c r="B7" s="7" t="s">
        <v>0</v>
      </c>
      <c r="C7" s="61" t="s">
        <v>119</v>
      </c>
      <c r="D7" s="62"/>
      <c r="E7" s="62"/>
      <c r="F7" s="63"/>
      <c r="G7" s="7"/>
      <c r="H7" s="7" t="s">
        <v>1</v>
      </c>
      <c r="I7" s="68" t="s">
        <v>121</v>
      </c>
      <c r="J7" s="4"/>
      <c r="K7" s="4"/>
      <c r="L7" s="4"/>
      <c r="M7" s="4"/>
      <c r="N7" s="4"/>
      <c r="O7" s="4"/>
      <c r="P7" s="4"/>
      <c r="Q7" s="4"/>
      <c r="R7" s="5"/>
    </row>
    <row r="8" spans="1:18" hidden="1" x14ac:dyDescent="0.25">
      <c r="A8" s="3"/>
      <c r="B8" s="7" t="s">
        <v>2</v>
      </c>
      <c r="C8" s="64" t="s">
        <v>118</v>
      </c>
      <c r="D8" s="62"/>
      <c r="E8" s="62"/>
      <c r="F8" s="63"/>
      <c r="G8" s="7"/>
      <c r="H8" s="7"/>
      <c r="I8" s="7"/>
      <c r="J8" s="4"/>
      <c r="K8" s="4"/>
      <c r="L8" s="4"/>
      <c r="M8" s="4"/>
      <c r="N8" s="4"/>
      <c r="O8" s="4"/>
      <c r="P8" s="4"/>
      <c r="Q8" s="4"/>
      <c r="R8" s="5"/>
    </row>
    <row r="9" spans="1:18" hidden="1" x14ac:dyDescent="0.25">
      <c r="A9" s="3"/>
      <c r="B9" s="7" t="s">
        <v>3</v>
      </c>
      <c r="C9" s="64" t="s">
        <v>120</v>
      </c>
      <c r="D9" s="62"/>
      <c r="E9" s="62"/>
      <c r="F9" s="63"/>
      <c r="G9" s="7"/>
      <c r="H9" s="4"/>
      <c r="I9" s="4"/>
      <c r="J9" s="7"/>
      <c r="K9" s="4"/>
      <c r="L9" s="4"/>
      <c r="M9" s="4"/>
      <c r="N9" s="4"/>
      <c r="O9" s="4"/>
      <c r="P9" s="4"/>
      <c r="Q9" s="4"/>
      <c r="R9" s="5"/>
    </row>
    <row r="10" spans="1:18" hidden="1" x14ac:dyDescent="0.25">
      <c r="A10" s="3"/>
      <c r="B10" s="7" t="s">
        <v>4</v>
      </c>
      <c r="C10" s="65" t="s">
        <v>5</v>
      </c>
      <c r="D10" s="7"/>
      <c r="E10" s="7"/>
      <c r="F10" s="7"/>
      <c r="G10" s="4"/>
      <c r="H10" s="7" t="s">
        <v>6</v>
      </c>
      <c r="I10" s="69">
        <f ca="1">TODAY()</f>
        <v>41838</v>
      </c>
      <c r="J10" s="4"/>
      <c r="K10" s="4"/>
      <c r="L10" s="4"/>
      <c r="M10" s="4"/>
      <c r="N10" s="4"/>
      <c r="O10" s="4"/>
      <c r="P10" s="4"/>
      <c r="Q10" s="4"/>
      <c r="R10" s="5"/>
    </row>
    <row r="11" spans="1:18" hidden="1" x14ac:dyDescent="0.25">
      <c r="A11" s="3"/>
      <c r="B11" s="7" t="s">
        <v>7</v>
      </c>
      <c r="C11" s="66" t="s">
        <v>5</v>
      </c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  <c r="P11" s="4"/>
      <c r="Q11" s="4"/>
      <c r="R11" s="5"/>
    </row>
    <row r="12" spans="1:18" x14ac:dyDescent="0.25">
      <c r="A12" s="3"/>
      <c r="B12" s="8" t="s">
        <v>8</v>
      </c>
      <c r="C12" s="66"/>
      <c r="D12" s="4"/>
      <c r="E12" s="9"/>
      <c r="F12" s="7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x14ac:dyDescent="0.25">
      <c r="A14" s="21"/>
      <c r="B14" s="23" t="s">
        <v>96</v>
      </c>
      <c r="C14" s="9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4"/>
      <c r="P14" s="4"/>
      <c r="Q14" s="4"/>
      <c r="R14" s="5"/>
    </row>
    <row r="15" spans="1:18" x14ac:dyDescent="0.25">
      <c r="A15" s="21"/>
      <c r="B15" s="24" t="s">
        <v>14</v>
      </c>
      <c r="C15" s="25"/>
      <c r="D15" s="26"/>
      <c r="E15" s="67">
        <v>0</v>
      </c>
      <c r="F15" s="9" t="s">
        <v>13</v>
      </c>
      <c r="G15" s="9"/>
      <c r="H15" s="11"/>
      <c r="I15" s="17"/>
      <c r="J15" s="9"/>
      <c r="K15" s="9"/>
      <c r="L15" s="9"/>
      <c r="M15" s="9"/>
      <c r="N15" s="9"/>
      <c r="O15" s="4"/>
      <c r="P15" s="4"/>
      <c r="Q15" s="4"/>
      <c r="R15" s="5"/>
    </row>
    <row r="16" spans="1:18" x14ac:dyDescent="0.25">
      <c r="A16" s="21"/>
      <c r="B16" s="9"/>
      <c r="C16" s="9"/>
      <c r="D16" s="13"/>
      <c r="E16" s="52"/>
      <c r="F16" s="9"/>
      <c r="G16" s="9"/>
      <c r="H16" s="11"/>
      <c r="I16" s="17"/>
      <c r="J16" s="9"/>
      <c r="K16" s="9"/>
      <c r="L16" s="9"/>
      <c r="M16" s="9"/>
      <c r="N16" s="9"/>
      <c r="O16" s="4"/>
      <c r="P16" s="4"/>
      <c r="Q16" s="4"/>
      <c r="R16" s="5"/>
    </row>
    <row r="17" spans="1:21" ht="18.75" x14ac:dyDescent="0.35">
      <c r="A17" s="21"/>
      <c r="B17" s="27" t="s">
        <v>102</v>
      </c>
      <c r="C17" s="27"/>
      <c r="D17" s="28"/>
      <c r="E17" s="67">
        <v>19</v>
      </c>
      <c r="F17" s="9" t="s">
        <v>10</v>
      </c>
      <c r="G17" s="9"/>
      <c r="H17" s="11"/>
      <c r="I17" s="17"/>
      <c r="J17" s="9"/>
      <c r="K17" s="9"/>
      <c r="L17" s="9"/>
      <c r="M17" s="9"/>
      <c r="N17" s="9"/>
      <c r="O17" s="4"/>
      <c r="P17" s="4"/>
      <c r="Q17" s="4"/>
      <c r="R17" s="5"/>
    </row>
    <row r="18" spans="1:21" ht="18" x14ac:dyDescent="0.35">
      <c r="A18" s="21"/>
      <c r="B18" s="27" t="s">
        <v>17</v>
      </c>
      <c r="C18" s="27"/>
      <c r="D18" s="27"/>
      <c r="E18" s="67">
        <v>0</v>
      </c>
      <c r="F18" s="9" t="s">
        <v>9</v>
      </c>
      <c r="G18" s="9"/>
      <c r="H18" s="9"/>
      <c r="I18" s="9"/>
      <c r="J18" s="9"/>
      <c r="K18" s="9"/>
      <c r="L18" s="9"/>
      <c r="M18" s="9"/>
      <c r="N18" s="9"/>
      <c r="O18" s="4"/>
      <c r="P18" s="4"/>
      <c r="Q18" s="4"/>
      <c r="R18" s="5"/>
    </row>
    <row r="19" spans="1:21" ht="18.75" x14ac:dyDescent="0.35">
      <c r="A19" s="21"/>
      <c r="B19" s="27" t="s">
        <v>18</v>
      </c>
      <c r="C19" s="27"/>
      <c r="D19" s="28"/>
      <c r="E19" s="67">
        <v>0</v>
      </c>
      <c r="F19" s="9" t="s">
        <v>10</v>
      </c>
      <c r="G19" s="18"/>
      <c r="H19" s="11"/>
      <c r="I19" s="13"/>
      <c r="J19" s="9"/>
      <c r="K19" s="9"/>
      <c r="L19" s="9"/>
      <c r="M19" s="9"/>
      <c r="N19" s="9"/>
      <c r="O19" s="4"/>
      <c r="P19" s="4"/>
      <c r="Q19" s="4"/>
      <c r="R19" s="5"/>
    </row>
    <row r="20" spans="1:21" ht="18" x14ac:dyDescent="0.35">
      <c r="A20" s="21"/>
      <c r="B20" s="27" t="s">
        <v>19</v>
      </c>
      <c r="C20" s="27"/>
      <c r="D20" s="28"/>
      <c r="E20" s="67">
        <v>0</v>
      </c>
      <c r="F20" s="14" t="s">
        <v>9</v>
      </c>
      <c r="G20" s="18"/>
      <c r="H20" s="14"/>
      <c r="I20" s="9"/>
      <c r="J20" s="9"/>
      <c r="K20" s="9"/>
      <c r="L20" s="9"/>
      <c r="M20" s="9"/>
      <c r="N20" s="9"/>
      <c r="O20" s="4"/>
      <c r="P20" s="4"/>
      <c r="Q20" s="4"/>
      <c r="R20" s="5"/>
    </row>
    <row r="21" spans="1:21" x14ac:dyDescent="0.25">
      <c r="A21" s="21"/>
      <c r="B21" s="9"/>
      <c r="C21" s="9"/>
      <c r="D21" s="13"/>
      <c r="E21" s="54"/>
      <c r="F21" s="9"/>
      <c r="G21" s="9"/>
      <c r="H21" s="9"/>
      <c r="I21" s="9"/>
      <c r="J21" s="9"/>
      <c r="K21" s="9"/>
      <c r="L21" s="9"/>
      <c r="M21" s="9"/>
      <c r="N21" s="9"/>
      <c r="O21" s="4"/>
      <c r="P21" s="4"/>
      <c r="Q21" s="4"/>
      <c r="R21" s="5"/>
    </row>
    <row r="22" spans="1:21" x14ac:dyDescent="0.25">
      <c r="A22" s="21"/>
      <c r="B22" s="9"/>
      <c r="C22" s="9"/>
      <c r="D22" s="9"/>
      <c r="E22" s="55"/>
      <c r="F22" s="9"/>
      <c r="G22" s="9"/>
      <c r="H22" s="9"/>
      <c r="I22" s="9"/>
      <c r="J22" s="9"/>
      <c r="K22" s="9"/>
      <c r="L22" s="9"/>
      <c r="M22" s="9"/>
      <c r="N22" s="9"/>
      <c r="O22" s="4"/>
      <c r="P22" s="4"/>
      <c r="Q22" s="4"/>
      <c r="R22" s="5"/>
    </row>
    <row r="23" spans="1:21" x14ac:dyDescent="0.25">
      <c r="A23" s="21"/>
      <c r="B23" s="29" t="s">
        <v>99</v>
      </c>
      <c r="C23" s="26"/>
      <c r="D23" s="26"/>
      <c r="E23" s="70">
        <v>30</v>
      </c>
      <c r="F23" s="14" t="s">
        <v>13</v>
      </c>
      <c r="G23" s="13"/>
      <c r="H23" s="13"/>
      <c r="I23" s="9"/>
      <c r="J23" s="9"/>
      <c r="K23" s="9"/>
      <c r="L23" s="9"/>
      <c r="M23" s="9"/>
      <c r="N23" s="9"/>
      <c r="O23" s="4"/>
      <c r="P23" s="4"/>
      <c r="Q23" s="4"/>
      <c r="R23" s="5"/>
    </row>
    <row r="24" spans="1:21" ht="18" x14ac:dyDescent="0.35">
      <c r="A24" s="21"/>
      <c r="B24" s="29" t="s">
        <v>103</v>
      </c>
      <c r="C24" s="30"/>
      <c r="D24" s="31"/>
      <c r="E24" s="70">
        <v>0</v>
      </c>
      <c r="F24" s="22" t="s">
        <v>100</v>
      </c>
      <c r="G24" s="18"/>
      <c r="H24" s="19"/>
      <c r="I24" s="9"/>
      <c r="J24" s="9"/>
      <c r="K24" s="9"/>
      <c r="L24" s="9"/>
      <c r="M24" s="9"/>
      <c r="N24" s="9"/>
      <c r="O24" s="4"/>
      <c r="P24" s="4"/>
      <c r="Q24" s="4"/>
      <c r="R24" s="5"/>
    </row>
    <row r="25" spans="1:21" ht="18.75" x14ac:dyDescent="0.35">
      <c r="A25" s="21"/>
      <c r="B25" s="25" t="s">
        <v>101</v>
      </c>
      <c r="C25" s="30"/>
      <c r="D25" s="31"/>
      <c r="E25" s="70">
        <v>19</v>
      </c>
      <c r="F25" s="9" t="s">
        <v>10</v>
      </c>
      <c r="G25" s="18"/>
      <c r="H25" s="19"/>
      <c r="I25" s="9"/>
      <c r="J25" s="9"/>
      <c r="K25" s="9"/>
      <c r="L25" s="9"/>
      <c r="M25" s="9"/>
      <c r="N25" s="9"/>
      <c r="O25" s="4"/>
      <c r="P25" s="4"/>
      <c r="Q25" s="4"/>
      <c r="R25" s="5"/>
    </row>
    <row r="26" spans="1:21" x14ac:dyDescent="0.25">
      <c r="A26" s="21"/>
      <c r="B26" s="14"/>
      <c r="C26" s="19"/>
      <c r="D26" s="20"/>
      <c r="E26" s="53"/>
      <c r="F26" s="22"/>
      <c r="G26" s="18"/>
      <c r="H26" s="19"/>
      <c r="I26" s="9"/>
      <c r="J26" s="9"/>
      <c r="K26" s="9"/>
      <c r="L26" s="9"/>
      <c r="M26" s="9"/>
      <c r="N26" s="9"/>
      <c r="O26" s="4"/>
      <c r="P26" s="4"/>
      <c r="Q26" s="4"/>
      <c r="R26" s="5"/>
      <c r="T26" s="16"/>
      <c r="U26" s="16"/>
    </row>
    <row r="27" spans="1:21" x14ac:dyDescent="0.25">
      <c r="A27" s="21"/>
      <c r="B27" s="34" t="s">
        <v>28</v>
      </c>
      <c r="C27" s="32"/>
      <c r="D27" s="33"/>
      <c r="E27" s="70">
        <v>10</v>
      </c>
      <c r="F27" s="22" t="s">
        <v>9</v>
      </c>
      <c r="G27" s="18"/>
      <c r="H27" s="19"/>
      <c r="I27" s="9"/>
      <c r="J27" s="9"/>
      <c r="K27" s="9"/>
      <c r="L27" s="9"/>
      <c r="M27" s="9"/>
      <c r="N27" s="9"/>
      <c r="O27" s="4"/>
      <c r="P27" s="4"/>
      <c r="Q27" s="4"/>
      <c r="R27" s="5"/>
      <c r="T27" s="16"/>
      <c r="U27" s="16"/>
    </row>
    <row r="28" spans="1:21" x14ac:dyDescent="0.25">
      <c r="A28" s="21"/>
      <c r="B28" s="34" t="s">
        <v>29</v>
      </c>
      <c r="C28" s="32"/>
      <c r="D28" s="33"/>
      <c r="E28" s="70">
        <v>10000</v>
      </c>
      <c r="F28" s="22" t="s">
        <v>9</v>
      </c>
      <c r="G28" s="18"/>
      <c r="H28" s="19"/>
      <c r="I28" s="9"/>
      <c r="J28" s="9"/>
      <c r="K28" s="9"/>
      <c r="L28" s="9"/>
      <c r="M28" s="9"/>
      <c r="N28" s="9"/>
      <c r="O28" s="4"/>
      <c r="P28" s="4"/>
      <c r="Q28" s="4"/>
      <c r="R28" s="5"/>
    </row>
    <row r="29" spans="1:21" ht="18.75" x14ac:dyDescent="0.35">
      <c r="A29" s="21"/>
      <c r="B29" s="27" t="s">
        <v>30</v>
      </c>
      <c r="C29" s="32"/>
      <c r="D29" s="33"/>
      <c r="E29" s="70">
        <v>10.5</v>
      </c>
      <c r="F29" s="9" t="s">
        <v>10</v>
      </c>
      <c r="G29" s="18"/>
      <c r="H29" s="19"/>
      <c r="I29" s="9"/>
      <c r="J29" s="9"/>
      <c r="K29" s="9"/>
      <c r="L29" s="9"/>
      <c r="M29" s="9"/>
      <c r="N29" s="9"/>
      <c r="O29" s="4"/>
      <c r="P29" s="4"/>
      <c r="Q29" s="4"/>
      <c r="R29" s="5"/>
    </row>
    <row r="30" spans="1:21" ht="18" x14ac:dyDescent="0.35">
      <c r="A30" s="21"/>
      <c r="B30" s="27" t="s">
        <v>31</v>
      </c>
      <c r="C30" s="32"/>
      <c r="D30" s="33"/>
      <c r="E30" s="71">
        <v>9</v>
      </c>
      <c r="F30" s="22" t="s">
        <v>9</v>
      </c>
      <c r="G30" s="18"/>
      <c r="H30" s="19"/>
      <c r="I30" s="9"/>
      <c r="J30" s="9"/>
      <c r="K30" s="9"/>
      <c r="L30" s="9"/>
      <c r="M30" s="9"/>
      <c r="N30" s="9"/>
      <c r="O30" s="4"/>
      <c r="P30" s="4"/>
      <c r="Q30" s="4"/>
      <c r="R30" s="5"/>
    </row>
    <row r="31" spans="1:21" x14ac:dyDescent="0.25">
      <c r="A31" s="21"/>
      <c r="B31" s="9"/>
      <c r="C31" s="19"/>
      <c r="D31" s="20"/>
      <c r="E31" s="56"/>
      <c r="F31" s="22"/>
      <c r="G31" s="18"/>
      <c r="H31" s="19"/>
      <c r="I31" s="9"/>
      <c r="J31" s="9"/>
      <c r="K31" s="9"/>
      <c r="L31" s="9"/>
      <c r="M31" s="9"/>
      <c r="N31" s="9"/>
      <c r="O31" s="4"/>
      <c r="P31" s="4"/>
      <c r="Q31" s="4"/>
      <c r="R31" s="5"/>
    </row>
    <row r="32" spans="1:21" x14ac:dyDescent="0.25">
      <c r="A32" s="21"/>
      <c r="B32" s="9"/>
      <c r="C32" s="19"/>
      <c r="D32" s="20"/>
      <c r="E32" s="19"/>
      <c r="F32" s="9"/>
      <c r="G32" s="18"/>
      <c r="H32" s="19"/>
      <c r="I32" s="9"/>
      <c r="J32" s="35" t="s">
        <v>95</v>
      </c>
      <c r="K32" s="9"/>
      <c r="L32" s="9"/>
      <c r="M32" s="9"/>
      <c r="N32" s="9"/>
      <c r="O32" s="4"/>
      <c r="P32" s="4"/>
      <c r="Q32" s="4"/>
      <c r="R32" s="5"/>
    </row>
    <row r="33" spans="1:21" x14ac:dyDescent="0.25">
      <c r="A33" s="21"/>
      <c r="B33" s="14"/>
      <c r="C33" s="19"/>
      <c r="D33" s="20"/>
      <c r="E33" s="19"/>
      <c r="F33" s="22"/>
      <c r="G33" s="18"/>
      <c r="H33" s="19"/>
      <c r="I33" s="9"/>
      <c r="J33" s="9"/>
      <c r="K33" s="9"/>
      <c r="L33" s="9"/>
      <c r="M33" s="9"/>
      <c r="N33" s="9"/>
      <c r="O33" s="4"/>
      <c r="P33" s="4"/>
      <c r="Q33" s="4"/>
      <c r="R33" s="5"/>
    </row>
    <row r="34" spans="1:21" x14ac:dyDescent="0.25">
      <c r="A34" s="21"/>
      <c r="B34" s="13"/>
      <c r="C34" s="19"/>
      <c r="D34" s="20"/>
      <c r="E34" s="18"/>
      <c r="F34" s="18"/>
      <c r="G34" s="18"/>
      <c r="H34" s="19"/>
      <c r="I34" s="9"/>
      <c r="J34" s="9"/>
      <c r="K34" s="9"/>
      <c r="L34" s="9"/>
      <c r="M34" s="9"/>
      <c r="N34" s="9"/>
      <c r="O34" s="4"/>
      <c r="P34" s="4"/>
      <c r="Q34" s="4"/>
      <c r="R34" s="5"/>
    </row>
    <row r="35" spans="1:21" x14ac:dyDescent="0.25">
      <c r="A35" s="21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4"/>
      <c r="P35" s="4"/>
      <c r="Q35" s="4"/>
      <c r="R35" s="5"/>
    </row>
    <row r="36" spans="1:21" x14ac:dyDescent="0.25">
      <c r="A36" s="21"/>
      <c r="B36" s="35" t="s">
        <v>35</v>
      </c>
      <c r="C36" s="9"/>
      <c r="D36" s="9"/>
      <c r="E36" s="9"/>
      <c r="F36" s="9"/>
      <c r="G36" s="9"/>
      <c r="H36" s="35" t="s">
        <v>52</v>
      </c>
      <c r="I36" s="9"/>
      <c r="J36" s="9"/>
      <c r="K36" s="9"/>
      <c r="L36" s="35" t="s">
        <v>112</v>
      </c>
      <c r="M36" s="9"/>
      <c r="N36" s="9"/>
      <c r="O36" s="4"/>
      <c r="P36" s="4"/>
      <c r="Q36" s="4"/>
      <c r="R36" s="5"/>
    </row>
    <row r="37" spans="1:21" ht="18.75" x14ac:dyDescent="0.35">
      <c r="A37" s="3"/>
      <c r="B37" s="11" t="s">
        <v>104</v>
      </c>
      <c r="C37" s="18">
        <f>$E$23*($E$27-$E$18)+0.5*$E$24*($E$27^2-$E$18^2)</f>
        <v>300</v>
      </c>
      <c r="D37" s="4" t="s">
        <v>107</v>
      </c>
      <c r="E37" s="4"/>
      <c r="F37" s="4"/>
      <c r="G37" s="4"/>
      <c r="H37" s="10" t="s">
        <v>110</v>
      </c>
      <c r="I37" s="4">
        <f>$C$37/($C$39-$C$40)</f>
        <v>0.57170080990948069</v>
      </c>
      <c r="J37" s="4"/>
      <c r="K37" s="4"/>
      <c r="L37" s="4" t="s">
        <v>57</v>
      </c>
      <c r="M37" s="12">
        <f>(2*$I$37)/$I$40</f>
        <v>2000</v>
      </c>
      <c r="N37" s="4" t="s">
        <v>58</v>
      </c>
      <c r="O37" s="4">
        <f>$I$37/$I$40</f>
        <v>1000</v>
      </c>
      <c r="P37" s="39" t="s">
        <v>59</v>
      </c>
      <c r="Q37" s="4"/>
      <c r="R37" s="5"/>
    </row>
    <row r="38" spans="1:21" x14ac:dyDescent="0.25">
      <c r="A38" s="3"/>
      <c r="B38" s="36"/>
      <c r="C38" s="15"/>
      <c r="D38" s="4"/>
      <c r="E38" s="4"/>
      <c r="F38" s="4"/>
      <c r="G38" s="4"/>
      <c r="H38" s="10"/>
      <c r="I38" s="4"/>
      <c r="J38" s="4"/>
      <c r="K38" s="4"/>
      <c r="L38" s="4"/>
      <c r="M38" s="4"/>
      <c r="N38" s="4"/>
      <c r="O38" s="4"/>
      <c r="P38" s="4"/>
      <c r="Q38" s="4"/>
      <c r="R38" s="5"/>
    </row>
    <row r="39" spans="1:21" ht="19.5" x14ac:dyDescent="0.35">
      <c r="A39" s="3"/>
      <c r="B39" s="37" t="s">
        <v>105</v>
      </c>
      <c r="C39" s="15">
        <f>($E$27-$E$18)*($E$15+$E$17*$E$18+0.5*$E$25*($E$27-$E$18))</f>
        <v>950</v>
      </c>
      <c r="D39" s="4" t="s">
        <v>108</v>
      </c>
      <c r="E39" s="4"/>
      <c r="F39" s="4"/>
      <c r="G39" s="4"/>
      <c r="H39" s="11"/>
      <c r="I39" s="4"/>
      <c r="J39" s="4"/>
      <c r="K39" s="4"/>
      <c r="L39" s="4" t="s">
        <v>60</v>
      </c>
      <c r="M39" s="4"/>
      <c r="N39" s="4"/>
      <c r="O39" s="67">
        <v>0.70698158617370166</v>
      </c>
      <c r="P39" s="4" t="s">
        <v>61</v>
      </c>
      <c r="Q39" s="4"/>
      <c r="R39" s="5"/>
    </row>
    <row r="40" spans="1:21" x14ac:dyDescent="0.25">
      <c r="A40" s="3"/>
      <c r="B40" s="36" t="s">
        <v>42</v>
      </c>
      <c r="C40" s="15">
        <f>0.5*($E$29*$E$30^2-$E$19*$E$20^2)</f>
        <v>425.25</v>
      </c>
      <c r="D40" s="9" t="s">
        <v>43</v>
      </c>
      <c r="E40" s="4"/>
      <c r="F40" s="4"/>
      <c r="G40" s="4"/>
      <c r="H40" s="11" t="s">
        <v>111</v>
      </c>
      <c r="I40" s="4">
        <f>$C$41/($E$28*($C$39-$C$40))</f>
        <v>5.717008099094807E-4</v>
      </c>
      <c r="J40" s="4"/>
      <c r="K40" s="4"/>
      <c r="L40" s="41" t="s">
        <v>62</v>
      </c>
      <c r="M40" s="4"/>
      <c r="N40" s="4"/>
      <c r="O40" s="77">
        <f>$O$39^3+$M$37*$O$39^2-$O$37</f>
        <v>-7.0799131253806991E-4</v>
      </c>
      <c r="P40" s="4"/>
      <c r="Q40" s="4"/>
      <c r="R40" s="5"/>
    </row>
    <row r="41" spans="1:21" x14ac:dyDescent="0.25">
      <c r="A41" s="3"/>
      <c r="B41" s="36" t="s">
        <v>106</v>
      </c>
      <c r="C41" s="15">
        <f>$E$23*(($E$27-$E$18)^2)+$E$24*((1/3)*$E$27^3-$E$27*$E$18^2+(2/3)*$E$18^3)</f>
        <v>3000</v>
      </c>
      <c r="D41" s="9" t="s">
        <v>109</v>
      </c>
      <c r="E41" s="4"/>
      <c r="F41" s="4"/>
      <c r="G41" s="4"/>
      <c r="H41" s="4"/>
      <c r="I41" s="4"/>
      <c r="J41" s="4"/>
      <c r="K41" s="4"/>
      <c r="L41" s="9" t="s">
        <v>63</v>
      </c>
      <c r="M41" s="4"/>
      <c r="N41" s="4"/>
      <c r="O41" s="4"/>
      <c r="P41" s="4"/>
      <c r="Q41" s="4"/>
      <c r="R41" s="5"/>
      <c r="T41" s="16"/>
    </row>
    <row r="42" spans="1:2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9" t="s">
        <v>64</v>
      </c>
      <c r="M42" s="4"/>
      <c r="N42" s="4"/>
      <c r="O42" s="4"/>
      <c r="P42" s="4"/>
      <c r="Q42" s="4"/>
      <c r="R42" s="5"/>
    </row>
    <row r="43" spans="1:21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9" t="s">
        <v>65</v>
      </c>
      <c r="M43" s="4"/>
      <c r="N43" s="4"/>
      <c r="O43" s="4"/>
      <c r="P43" s="4"/>
      <c r="Q43" s="4"/>
      <c r="R43" s="5"/>
    </row>
    <row r="44" spans="1:2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9" t="s">
        <v>66</v>
      </c>
      <c r="M44" s="4"/>
      <c r="N44" s="4"/>
      <c r="O44" s="4"/>
      <c r="P44" s="4"/>
      <c r="Q44" s="4"/>
      <c r="R44" s="5"/>
    </row>
    <row r="45" spans="1:21" ht="18" x14ac:dyDescent="0.3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9" t="s">
        <v>68</v>
      </c>
      <c r="M45" s="4"/>
      <c r="N45" s="4"/>
      <c r="O45" s="43">
        <f>ACOS($O$39)*180/PI()</f>
        <v>45.010143462318844</v>
      </c>
      <c r="P45" s="4" t="s">
        <v>24</v>
      </c>
      <c r="Q45" s="4"/>
      <c r="R45" s="5"/>
    </row>
    <row r="46" spans="1:21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9" t="s">
        <v>11</v>
      </c>
      <c r="M46" s="4"/>
      <c r="N46" s="4"/>
      <c r="O46" s="44">
        <f>$I$37*(1/COS(RADIANS($O$45)))*(1/SIN(RADIANS($O$45)))+$I$40*(1/SIN(RADIANS($O$45)))</f>
        <v>1.1442100554335144</v>
      </c>
      <c r="P46" s="4" t="s">
        <v>75</v>
      </c>
      <c r="Q46" s="4"/>
      <c r="R46" s="5"/>
    </row>
    <row r="47" spans="1:2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T47" t="s">
        <v>74</v>
      </c>
    </row>
    <row r="48" spans="1:2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T48" s="16">
        <v>0</v>
      </c>
      <c r="U48" s="40">
        <f>$M$59</f>
        <v>1.1000000000000001</v>
      </c>
    </row>
    <row r="49" spans="1:21" ht="18" x14ac:dyDescent="0.35">
      <c r="A49" s="3"/>
      <c r="B49" s="4"/>
      <c r="C49" s="4"/>
      <c r="D49" s="4"/>
      <c r="E49" s="4"/>
      <c r="F49" s="4"/>
      <c r="G49" s="4"/>
      <c r="H49" s="4"/>
      <c r="I49" s="4"/>
      <c r="J49" s="35" t="s">
        <v>113</v>
      </c>
      <c r="M49" s="4"/>
      <c r="N49" s="35" t="s">
        <v>113</v>
      </c>
      <c r="P49" s="4"/>
      <c r="Q49" s="4"/>
      <c r="R49" s="5"/>
      <c r="T49" s="38">
        <f>$L$56</f>
        <v>10</v>
      </c>
      <c r="U49" s="40">
        <f>$M$59</f>
        <v>1.1000000000000001</v>
      </c>
    </row>
    <row r="50" spans="1:21" ht="31.5" x14ac:dyDescent="0.35">
      <c r="A50" s="3"/>
      <c r="B50" s="4"/>
      <c r="C50" s="4"/>
      <c r="D50" s="4"/>
      <c r="E50" s="4"/>
      <c r="F50" s="4"/>
      <c r="G50" s="4"/>
      <c r="H50" s="4"/>
      <c r="I50" s="4"/>
      <c r="J50" s="67" t="s">
        <v>133</v>
      </c>
      <c r="K50" s="49" t="s">
        <v>115</v>
      </c>
      <c r="L50" s="58" t="s">
        <v>114</v>
      </c>
      <c r="M50" s="42" t="s">
        <v>71</v>
      </c>
      <c r="N50" s="67" t="s">
        <v>117</v>
      </c>
      <c r="O50" s="49" t="s">
        <v>115</v>
      </c>
      <c r="P50" s="58" t="s">
        <v>114</v>
      </c>
      <c r="Q50" s="42" t="s">
        <v>71</v>
      </c>
      <c r="R50" s="5"/>
    </row>
    <row r="51" spans="1:21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72">
        <v>9</v>
      </c>
      <c r="L51" s="50">
        <f>$E$27-K51</f>
        <v>1</v>
      </c>
      <c r="M51" s="74">
        <v>1.1399999999999999</v>
      </c>
      <c r="N51" s="4"/>
      <c r="O51" s="59">
        <f t="shared" ref="O51:P56" si="0">K51</f>
        <v>9</v>
      </c>
      <c r="P51" s="50">
        <f t="shared" si="0"/>
        <v>1</v>
      </c>
      <c r="Q51" s="74"/>
      <c r="R51" s="5"/>
    </row>
    <row r="52" spans="1:21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73"/>
      <c r="L52" s="51">
        <f t="shared" ref="L52:L56" si="1">$E$27-K52</f>
        <v>10</v>
      </c>
      <c r="M52" s="75"/>
      <c r="N52" s="4"/>
      <c r="O52" s="60">
        <f t="shared" si="0"/>
        <v>0</v>
      </c>
      <c r="P52" s="51">
        <f t="shared" si="0"/>
        <v>10</v>
      </c>
      <c r="Q52" s="75"/>
      <c r="R52" s="5"/>
    </row>
    <row r="53" spans="1:2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73"/>
      <c r="L53" s="51">
        <f t="shared" si="1"/>
        <v>10</v>
      </c>
      <c r="M53" s="75"/>
      <c r="N53" s="4"/>
      <c r="O53" s="60">
        <f t="shared" si="0"/>
        <v>0</v>
      </c>
      <c r="P53" s="51">
        <f t="shared" si="0"/>
        <v>10</v>
      </c>
      <c r="Q53" s="75"/>
      <c r="R53" s="5"/>
    </row>
    <row r="54" spans="1:2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73"/>
      <c r="L54" s="51">
        <f t="shared" si="1"/>
        <v>10</v>
      </c>
      <c r="M54" s="75"/>
      <c r="N54" s="4"/>
      <c r="O54" s="60">
        <f t="shared" si="0"/>
        <v>0</v>
      </c>
      <c r="P54" s="51">
        <f t="shared" si="0"/>
        <v>10</v>
      </c>
      <c r="Q54" s="75"/>
      <c r="R54" s="5"/>
    </row>
    <row r="55" spans="1:21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73"/>
      <c r="L55" s="51">
        <f t="shared" si="1"/>
        <v>10</v>
      </c>
      <c r="M55" s="75"/>
      <c r="N55" s="4"/>
      <c r="O55" s="60">
        <f t="shared" si="0"/>
        <v>0</v>
      </c>
      <c r="P55" s="51">
        <f t="shared" si="0"/>
        <v>10</v>
      </c>
      <c r="Q55" s="75"/>
      <c r="R55" s="5"/>
    </row>
    <row r="56" spans="1:2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73"/>
      <c r="L56" s="51">
        <f t="shared" si="1"/>
        <v>10</v>
      </c>
      <c r="M56" s="75"/>
      <c r="N56" s="4"/>
      <c r="O56" s="60">
        <f t="shared" si="0"/>
        <v>0</v>
      </c>
      <c r="P56" s="51">
        <f t="shared" si="0"/>
        <v>10</v>
      </c>
      <c r="Q56" s="75"/>
      <c r="R56" s="5"/>
    </row>
    <row r="57" spans="1:21" x14ac:dyDescent="0.25">
      <c r="A57" s="3"/>
      <c r="B57" s="4"/>
      <c r="C57" s="4"/>
      <c r="D57" s="4"/>
      <c r="E57" s="4"/>
      <c r="F57" s="4"/>
      <c r="G57" s="4"/>
      <c r="H57" s="4"/>
      <c r="I57" s="4"/>
      <c r="J57" s="4"/>
      <c r="K57" s="57"/>
      <c r="L57" s="45"/>
      <c r="M57" s="45"/>
      <c r="N57" s="4"/>
      <c r="O57" s="57"/>
      <c r="P57" s="45"/>
      <c r="Q57" s="45"/>
      <c r="R57" s="5"/>
    </row>
    <row r="58" spans="1:21" x14ac:dyDescent="0.25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</row>
    <row r="59" spans="1:2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10" t="s">
        <v>73</v>
      </c>
      <c r="M59" s="71">
        <v>1.1000000000000001</v>
      </c>
      <c r="N59" s="4"/>
      <c r="O59" s="4"/>
      <c r="P59" s="4"/>
      <c r="Q59" s="4"/>
      <c r="R59" s="5"/>
    </row>
    <row r="60" spans="1:21" x14ac:dyDescent="0.25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</row>
    <row r="61" spans="1:21" ht="15.75" thickBot="1" x14ac:dyDescent="0.3">
      <c r="A61" s="46" t="s">
        <v>116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8"/>
    </row>
    <row r="62" spans="1:21" ht="15.75" thickTop="1" x14ac:dyDescent="0.25">
      <c r="A62" t="s">
        <v>76</v>
      </c>
    </row>
  </sheetData>
  <sheetProtection algorithmName="SHA-512" hashValue="7Xsn8QpJVviJA9kduEoKseAGISz0LznO7JVH2WG0gEMcVWF921RAvZlQWlsaYq+iU7NzkdAnXjzh442k/6zR0w==" saltValue="PQ8Ecok8gUTmrXEz9Gs+nA==" spinCount="100000" sheet="1" scenarios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Drained1</vt:lpstr>
      <vt:lpstr>Drained2</vt:lpstr>
      <vt:lpstr>Undrained</vt:lpstr>
      <vt:lpstr>Drained1!Print_Area</vt:lpstr>
      <vt:lpstr>Drained2!Print_Area</vt:lpstr>
      <vt:lpstr>Undrained!Print_Area</vt:lpstr>
    </vt:vector>
  </TitlesOfParts>
  <Company>Parsons Brinkerhoff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2014-03-01T04:10:12Z</cp:lastPrinted>
  <dcterms:created xsi:type="dcterms:W3CDTF">2011-11-22T02:53:40Z</dcterms:created>
  <dcterms:modified xsi:type="dcterms:W3CDTF">2014-07-18T06:29:44Z</dcterms:modified>
</cp:coreProperties>
</file>