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autoCompressPictures="0"/>
  <mc:AlternateContent xmlns:mc="http://schemas.openxmlformats.org/markup-compatibility/2006">
    <mc:Choice Requires="x15">
      <x15ac:absPath xmlns:x15ac="http://schemas.microsoft.com/office/spreadsheetml/2010/11/ac" url="C:\Users\Luke\Documents\OIL SYSTEM INFO\"/>
    </mc:Choice>
  </mc:AlternateContent>
  <bookViews>
    <workbookView xWindow="0" yWindow="0" windowWidth="18285" windowHeight="8655" tabRatio="874" activeTab="5" xr2:uid="{00000000-000D-0000-FFFF-FFFF00000000}"/>
  </bookViews>
  <sheets>
    <sheet name="Offering" sheetId="20" r:id="rId1"/>
    <sheet name="Key Assumptions" sheetId="21" r:id="rId2"/>
    <sheet name=" Crude Oil-Base Oil" sheetId="31" r:id="rId3"/>
    <sheet name="Investment Plan" sheetId="10" r:id="rId4"/>
    <sheet name="Summary Cash Flows 1000s" sheetId="33" r:id="rId5"/>
    <sheet name="P&amp;L and Cash Flow" sheetId="1" r:id="rId6"/>
    <sheet name="Summary Cash Flows" sheetId="15" r:id="rId7"/>
    <sheet name="Sensitivity" sheetId="30" r:id="rId8"/>
    <sheet name="Margins" sheetId="19" r:id="rId9"/>
    <sheet name="Debt Service" sheetId="29" r:id="rId10"/>
    <sheet name="Plant Ops Cost 5000 lph " sheetId="32" r:id="rId11"/>
    <sheet name="Plant Ops Cost 2500 lph" sheetId="12" r:id="rId12"/>
    <sheet name="Org-Salary Structure" sheetId="13" r:id="rId13"/>
    <sheet name="Additives" sheetId="22" r:id="rId14"/>
    <sheet name="Base Oil Trends" sheetId="23"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 localSheetId="10">#REF!</definedName>
    <definedName name="\" localSheetId="4">#REF!</definedName>
    <definedName name="\">#REF!</definedName>
    <definedName name="\a" localSheetId="10">#REF!</definedName>
    <definedName name="\a" localSheetId="4">#REF!</definedName>
    <definedName name="\a">#REF!</definedName>
    <definedName name="\d" localSheetId="10">#REF!</definedName>
    <definedName name="\d" localSheetId="4">#REF!</definedName>
    <definedName name="\d">#REF!</definedName>
    <definedName name="\e" localSheetId="10">#REF!</definedName>
    <definedName name="\e" localSheetId="4">#REF!</definedName>
    <definedName name="\e">#REF!</definedName>
    <definedName name="\P" localSheetId="10">#REF!</definedName>
    <definedName name="\P" localSheetId="4">#REF!</definedName>
    <definedName name="\P">#REF!</definedName>
    <definedName name="\r" localSheetId="10">#REF!</definedName>
    <definedName name="\r" localSheetId="4">#REF!</definedName>
    <definedName name="\r">#REF!</definedName>
    <definedName name="\s" localSheetId="10">#REF!</definedName>
    <definedName name="\s" localSheetId="4">#REF!</definedName>
    <definedName name="\s">#REF!</definedName>
    <definedName name="__IntlFixup" hidden="1">TRUE</definedName>
    <definedName name="_1__123Graph_ACHART_1" localSheetId="10" hidden="1">#REF!</definedName>
    <definedName name="_1__123Graph_ACHART_1" localSheetId="4" hidden="1">#REF!</definedName>
    <definedName name="_1__123Graph_ACHART_1" hidden="1">#REF!</definedName>
    <definedName name="_10__123Graph_ACHART_4" localSheetId="10" hidden="1">#REF!</definedName>
    <definedName name="_10__123Graph_ACHART_4" localSheetId="4" hidden="1">#REF!</definedName>
    <definedName name="_10__123Graph_ACHART_4" hidden="1">#REF!</definedName>
    <definedName name="_11__123Graph_ACHART_5" localSheetId="10" hidden="1">#REF!</definedName>
    <definedName name="_11__123Graph_ACHART_5" localSheetId="4" hidden="1">#REF!</definedName>
    <definedName name="_11__123Graph_ACHART_5" hidden="1">#REF!</definedName>
    <definedName name="_12__123Graph_ACHART_6" localSheetId="10" hidden="1">#REF!</definedName>
    <definedName name="_12__123Graph_ACHART_6" localSheetId="4" hidden="1">#REF!</definedName>
    <definedName name="_12__123Graph_ACHART_6" hidden="1">#REF!</definedName>
    <definedName name="_13__123Graph_ACHART_7" localSheetId="10" hidden="1">#REF!</definedName>
    <definedName name="_13__123Graph_ACHART_7" localSheetId="4" hidden="1">#REF!</definedName>
    <definedName name="_13__123Graph_ACHART_7" hidden="1">#REF!</definedName>
    <definedName name="_14__123Graph_ACHART_8" localSheetId="10" hidden="1">#REF!</definedName>
    <definedName name="_14__123Graph_ACHART_8" localSheetId="4" hidden="1">#REF!</definedName>
    <definedName name="_14__123Graph_ACHART_8" hidden="1">#REF!</definedName>
    <definedName name="_15__123Graph_ACHART_9" localSheetId="10" hidden="1">#REF!</definedName>
    <definedName name="_15__123Graph_ACHART_9" localSheetId="4" hidden="1">#REF!</definedName>
    <definedName name="_15__123Graph_ACHART_9" hidden="1">#REF!</definedName>
    <definedName name="_16__123Graph_BCHART_1" localSheetId="10" hidden="1">#REF!</definedName>
    <definedName name="_16__123Graph_BCHART_1" localSheetId="4" hidden="1">#REF!</definedName>
    <definedName name="_16__123Graph_BCHART_1" hidden="1">#REF!</definedName>
    <definedName name="_17__123Graph_BCHART_11" localSheetId="10" hidden="1">#REF!</definedName>
    <definedName name="_17__123Graph_BCHART_11" localSheetId="4" hidden="1">#REF!</definedName>
    <definedName name="_17__123Graph_BCHART_11" hidden="1">#REF!</definedName>
    <definedName name="_18__123Graph_BCHART_12" localSheetId="10" hidden="1">#REF!</definedName>
    <definedName name="_18__123Graph_BCHART_12" localSheetId="4" hidden="1">#REF!</definedName>
    <definedName name="_18__123Graph_BCHART_12" hidden="1">#REF!</definedName>
    <definedName name="_19__123Graph_BCHART_13" localSheetId="10" hidden="1">#REF!</definedName>
    <definedName name="_19__123Graph_BCHART_13" localSheetId="4" hidden="1">#REF!</definedName>
    <definedName name="_19__123Graph_BCHART_13" hidden="1">#REF!</definedName>
    <definedName name="_2__123Graph_ACHART_10" localSheetId="10" hidden="1">#REF!</definedName>
    <definedName name="_2__123Graph_ACHART_10" localSheetId="4" hidden="1">#REF!</definedName>
    <definedName name="_2__123Graph_ACHART_10" hidden="1">#REF!</definedName>
    <definedName name="_20__123Graph_BCHART_14" localSheetId="10" hidden="1">#REF!</definedName>
    <definedName name="_20__123Graph_BCHART_14" localSheetId="4" hidden="1">#REF!</definedName>
    <definedName name="_20__123Graph_BCHART_14" hidden="1">#REF!</definedName>
    <definedName name="_21__123Graph_BCHART_15" localSheetId="10" hidden="1">#REF!</definedName>
    <definedName name="_21__123Graph_BCHART_15" localSheetId="4" hidden="1">#REF!</definedName>
    <definedName name="_21__123Graph_BCHART_15" hidden="1">#REF!</definedName>
    <definedName name="_22__123Graph_BCHART_3" localSheetId="10" hidden="1">#REF!</definedName>
    <definedName name="_22__123Graph_BCHART_3" localSheetId="4" hidden="1">#REF!</definedName>
    <definedName name="_22__123Graph_BCHART_3" hidden="1">#REF!</definedName>
    <definedName name="_23__123Graph_BCHART_4" localSheetId="10" hidden="1">#REF!</definedName>
    <definedName name="_23__123Graph_BCHART_4" localSheetId="4" hidden="1">#REF!</definedName>
    <definedName name="_23__123Graph_BCHART_4" hidden="1">#REF!</definedName>
    <definedName name="_24__123Graph_BCHART_5" localSheetId="10" hidden="1">#REF!</definedName>
    <definedName name="_24__123Graph_BCHART_5" localSheetId="4" hidden="1">#REF!</definedName>
    <definedName name="_24__123Graph_BCHART_5" hidden="1">#REF!</definedName>
    <definedName name="_25__123Graph_BCHART_6" localSheetId="10" hidden="1">#REF!</definedName>
    <definedName name="_25__123Graph_BCHART_6" localSheetId="4" hidden="1">#REF!</definedName>
    <definedName name="_25__123Graph_BCHART_6" hidden="1">#REF!</definedName>
    <definedName name="_26__123Graph_BCHART_7" localSheetId="10" hidden="1">#REF!</definedName>
    <definedName name="_26__123Graph_BCHART_7" localSheetId="4" hidden="1">#REF!</definedName>
    <definedName name="_26__123Graph_BCHART_7" hidden="1">#REF!</definedName>
    <definedName name="_27__123Graph_BCHART_8" localSheetId="10" hidden="1">#REF!</definedName>
    <definedName name="_27__123Graph_BCHART_8" localSheetId="4" hidden="1">#REF!</definedName>
    <definedName name="_27__123Graph_BCHART_8" hidden="1">#REF!</definedName>
    <definedName name="_28__123Graph_CCHART_13" localSheetId="10" hidden="1">#REF!</definedName>
    <definedName name="_28__123Graph_CCHART_13" localSheetId="4" hidden="1">#REF!</definedName>
    <definedName name="_28__123Graph_CCHART_13" hidden="1">#REF!</definedName>
    <definedName name="_29__123Graph_CCHART_15" localSheetId="10" hidden="1">#REF!</definedName>
    <definedName name="_29__123Graph_CCHART_15" localSheetId="4" hidden="1">#REF!</definedName>
    <definedName name="_29__123Graph_CCHART_15" hidden="1">#REF!</definedName>
    <definedName name="_3__123Graph_ACHART_11" localSheetId="10" hidden="1">#REF!</definedName>
    <definedName name="_3__123Graph_ACHART_11" localSheetId="4" hidden="1">#REF!</definedName>
    <definedName name="_3__123Graph_ACHART_11" hidden="1">#REF!</definedName>
    <definedName name="_33__123Graph_DCHART_1" localSheetId="10" hidden="1">[1]synthgraph!#REF!</definedName>
    <definedName name="_33__123Graph_DCHART_1" localSheetId="4" hidden="1">[1]synthgraph!#REF!</definedName>
    <definedName name="_33__123Graph_DCHART_1" hidden="1">[1]synthgraph!#REF!</definedName>
    <definedName name="_34__123Graph_DCHART_10" localSheetId="10" hidden="1">#REF!</definedName>
    <definedName name="_34__123Graph_DCHART_10" localSheetId="4" hidden="1">#REF!</definedName>
    <definedName name="_34__123Graph_DCHART_10" hidden="1">#REF!</definedName>
    <definedName name="_35__123Graph_DCHART_15" localSheetId="10" hidden="1">#REF!</definedName>
    <definedName name="_35__123Graph_DCHART_15" localSheetId="4" hidden="1">#REF!</definedName>
    <definedName name="_35__123Graph_DCHART_15" hidden="1">#REF!</definedName>
    <definedName name="_36__123Graph_DCHART_2" localSheetId="10" hidden="1">#REF!</definedName>
    <definedName name="_36__123Graph_DCHART_2" localSheetId="4" hidden="1">#REF!</definedName>
    <definedName name="_36__123Graph_DCHART_2" hidden="1">#REF!</definedName>
    <definedName name="_37__123Graph_DCHART_9" localSheetId="10" hidden="1">#REF!</definedName>
    <definedName name="_37__123Graph_DCHART_9" localSheetId="4" hidden="1">#REF!</definedName>
    <definedName name="_37__123Graph_DCHART_9" hidden="1">#REF!</definedName>
    <definedName name="_38__123Graph_ECHART_15" localSheetId="10" hidden="1">#REF!</definedName>
    <definedName name="_38__123Graph_ECHART_15" localSheetId="4" hidden="1">#REF!</definedName>
    <definedName name="_38__123Graph_ECHART_15" hidden="1">#REF!</definedName>
    <definedName name="_39__123Graph_FCHART_15" localSheetId="10" hidden="1">#REF!</definedName>
    <definedName name="_39__123Graph_FCHART_15" localSheetId="4" hidden="1">#REF!</definedName>
    <definedName name="_39__123Graph_FCHART_15" hidden="1">#REF!</definedName>
    <definedName name="_4__123Graph_ACHART_12" localSheetId="10" hidden="1">#REF!</definedName>
    <definedName name="_4__123Graph_ACHART_12" localSheetId="4" hidden="1">#REF!</definedName>
    <definedName name="_4__123Graph_ACHART_12" hidden="1">#REF!</definedName>
    <definedName name="_43__123Graph_LBL_ACHART_1" localSheetId="10" hidden="1">[1]synthgraph!#REF!</definedName>
    <definedName name="_43__123Graph_LBL_ACHART_1" localSheetId="4" hidden="1">[1]synthgraph!#REF!</definedName>
    <definedName name="_43__123Graph_LBL_ACHART_1" hidden="1">[1]synthgraph!#REF!</definedName>
    <definedName name="_44__123Graph_LBL_ACHART_3" localSheetId="10" hidden="1">#REF!</definedName>
    <definedName name="_44__123Graph_LBL_ACHART_3" localSheetId="4" hidden="1">#REF!</definedName>
    <definedName name="_44__123Graph_LBL_ACHART_3" hidden="1">#REF!</definedName>
    <definedName name="_48__123Graph_LBL_DCHART_1" localSheetId="10" hidden="1">[1]synthgraph!#REF!</definedName>
    <definedName name="_48__123Graph_LBL_DCHART_1" localSheetId="4" hidden="1">[1]synthgraph!#REF!</definedName>
    <definedName name="_48__123Graph_LBL_DCHART_1" hidden="1">[1]synthgraph!#REF!</definedName>
    <definedName name="_49__123Graph_XCHART_10" localSheetId="10" hidden="1">#REF!</definedName>
    <definedName name="_49__123Graph_XCHART_10" localSheetId="4" hidden="1">#REF!</definedName>
    <definedName name="_49__123Graph_XCHART_10" hidden="1">#REF!</definedName>
    <definedName name="_5__123Graph_ACHART_13" localSheetId="10" hidden="1">#REF!</definedName>
    <definedName name="_5__123Graph_ACHART_13" localSheetId="4" hidden="1">#REF!</definedName>
    <definedName name="_5__123Graph_ACHART_13" hidden="1">#REF!</definedName>
    <definedName name="_50__123Graph_XCHART_11" localSheetId="10" hidden="1">#REF!</definedName>
    <definedName name="_50__123Graph_XCHART_11" localSheetId="4" hidden="1">#REF!</definedName>
    <definedName name="_50__123Graph_XCHART_11" hidden="1">#REF!</definedName>
    <definedName name="_51__123Graph_XCHART_12" localSheetId="10" hidden="1">#REF!</definedName>
    <definedName name="_51__123Graph_XCHART_12" localSheetId="4" hidden="1">#REF!</definedName>
    <definedName name="_51__123Graph_XCHART_12" hidden="1">#REF!</definedName>
    <definedName name="_52__123Graph_XCHART_13" localSheetId="10" hidden="1">#REF!</definedName>
    <definedName name="_52__123Graph_XCHART_13" localSheetId="4" hidden="1">#REF!</definedName>
    <definedName name="_52__123Graph_XCHART_13" hidden="1">#REF!</definedName>
    <definedName name="_53__123Graph_XCHART_14" localSheetId="10" hidden="1">#REF!</definedName>
    <definedName name="_53__123Graph_XCHART_14" localSheetId="4" hidden="1">#REF!</definedName>
    <definedName name="_53__123Graph_XCHART_14" hidden="1">#REF!</definedName>
    <definedName name="_54__123Graph_XCHART_15" localSheetId="10" hidden="1">#REF!</definedName>
    <definedName name="_54__123Graph_XCHART_15" localSheetId="4" hidden="1">#REF!</definedName>
    <definedName name="_54__123Graph_XCHART_15" hidden="1">#REF!</definedName>
    <definedName name="_55__123Graph_XCHART_2" localSheetId="10" hidden="1">#REF!</definedName>
    <definedName name="_55__123Graph_XCHART_2" localSheetId="4" hidden="1">#REF!</definedName>
    <definedName name="_55__123Graph_XCHART_2" hidden="1">#REF!</definedName>
    <definedName name="_56__123Graph_XCHART_3" localSheetId="10" hidden="1">#REF!</definedName>
    <definedName name="_56__123Graph_XCHART_3" localSheetId="4" hidden="1">#REF!</definedName>
    <definedName name="_56__123Graph_XCHART_3" hidden="1">#REF!</definedName>
    <definedName name="_57__123Graph_XCHART_4" localSheetId="10" hidden="1">#REF!</definedName>
    <definedName name="_57__123Graph_XCHART_4" localSheetId="4" hidden="1">#REF!</definedName>
    <definedName name="_57__123Graph_XCHART_4" hidden="1">#REF!</definedName>
    <definedName name="_58__123Graph_XCHART_5" localSheetId="10" hidden="1">#REF!</definedName>
    <definedName name="_58__123Graph_XCHART_5" localSheetId="4" hidden="1">#REF!</definedName>
    <definedName name="_58__123Graph_XCHART_5" hidden="1">#REF!</definedName>
    <definedName name="_59__123Graph_XCHART_6" localSheetId="10" hidden="1">#REF!</definedName>
    <definedName name="_59__123Graph_XCHART_6" localSheetId="4" hidden="1">#REF!</definedName>
    <definedName name="_59__123Graph_XCHART_6" hidden="1">#REF!</definedName>
    <definedName name="_6__123Graph_ACHART_14" localSheetId="10" hidden="1">#REF!</definedName>
    <definedName name="_6__123Graph_ACHART_14" localSheetId="4" hidden="1">#REF!</definedName>
    <definedName name="_6__123Graph_ACHART_14" hidden="1">#REF!</definedName>
    <definedName name="_60__123Graph_XCHART_7" localSheetId="10" hidden="1">#REF!</definedName>
    <definedName name="_60__123Graph_XCHART_7" localSheetId="4" hidden="1">#REF!</definedName>
    <definedName name="_60__123Graph_XCHART_7" hidden="1">#REF!</definedName>
    <definedName name="_61__123Graph_XCHART_8" localSheetId="10" hidden="1">#REF!</definedName>
    <definedName name="_61__123Graph_XCHART_8" localSheetId="4" hidden="1">#REF!</definedName>
    <definedName name="_61__123Graph_XCHART_8" hidden="1">#REF!</definedName>
    <definedName name="_62__123Graph_XCHART_9" localSheetId="10" hidden="1">#REF!</definedName>
    <definedName name="_62__123Graph_XCHART_9" localSheetId="4" hidden="1">#REF!</definedName>
    <definedName name="_62__123Graph_XCHART_9" hidden="1">#REF!</definedName>
    <definedName name="_7__123Graph_ACHART_15" localSheetId="10" hidden="1">#REF!</definedName>
    <definedName name="_7__123Graph_ACHART_15" localSheetId="4" hidden="1">#REF!</definedName>
    <definedName name="_7__123Graph_ACHART_15" hidden="1">#REF!</definedName>
    <definedName name="_8__123Graph_ACHART_2" localSheetId="10" hidden="1">#REF!</definedName>
    <definedName name="_8__123Graph_ACHART_2" localSheetId="4" hidden="1">#REF!</definedName>
    <definedName name="_8__123Graph_ACHART_2" hidden="1">#REF!</definedName>
    <definedName name="_9__123Graph_ACHART_3" localSheetId="10" hidden="1">#REF!</definedName>
    <definedName name="_9__123Graph_ACHART_3" localSheetId="4" hidden="1">#REF!</definedName>
    <definedName name="_9__123Graph_ACHART_3" hidden="1">#REF!</definedName>
    <definedName name="_Fill" localSheetId="10" hidden="1">#REF!</definedName>
    <definedName name="_Fill" localSheetId="4" hidden="1">#REF!</definedName>
    <definedName name="_Fill" hidden="1">#REF!</definedName>
    <definedName name="_nv2" hidden="1">{#N/A,#N/A,FALSE,"Summary";#N/A,#N/A,FALSE,"Signatures";#N/A,#N/A,FALSE,"FL Current";#N/A,#N/A,FALSE,"Assumptions";#N/A,#N/A,FALSE,"Assumptions";#N/A,#N/A,FALSE,"Assumptions";#N/A,#N/A,FALSE,"FL Last";#N/A,#N/A,FALSE,"FL Orig";#N/A,#N/A,FALSE,"C to G Explain"}</definedName>
    <definedName name="_Order1" hidden="1">255</definedName>
    <definedName name="_Order2" hidden="1">0</definedName>
    <definedName name="_Regression_Int" hidden="1">1</definedName>
    <definedName name="_Table2_In1" localSheetId="10" hidden="1">#REF!</definedName>
    <definedName name="_Table2_In1" localSheetId="4" hidden="1">#REF!</definedName>
    <definedName name="_Table2_In1" hidden="1">#REF!</definedName>
    <definedName name="_Table2_In2" localSheetId="10" hidden="1">#REF!</definedName>
    <definedName name="_Table2_In2" localSheetId="4" hidden="1">#REF!</definedName>
    <definedName name="_Table2_In2" hidden="1">#REF!</definedName>
    <definedName name="_Table2_Out" localSheetId="10" hidden="1">#REF!</definedName>
    <definedName name="_Table2_Out" localSheetId="4" hidden="1">#REF!</definedName>
    <definedName name="_Table2_Out" hidden="1">#REF!</definedName>
    <definedName name="a" hidden="1">{"Cover",#N/A,TRUE,"Sheet1";"Annual Income",#N/A,TRUE,"Sheet1";"Annual Balance",#N/A,TRUE,"Sheet1";"Annual Cash Flow",#N/A,TRUE,"Sheet1";"Revenue",#N/A,TRUE,"Sheet1";"Income",#N/A,TRUE,"Sheet1";"Balance",#N/A,TRUE,"Sheet1";"Cash Flow",#N/A,TRUE,"Sheet1";"Cash",#N/A,TRUE,"Sheet1";"Tax",#N/A,TRUE,"Sheet1";"Amort Financing Costs",#N/A,TRUE,"Sheet1";"Amort Capitalized Interest",#N/A,TRUE,"Sheet1";"Tax GAAP",#N/A,TRUE,"Sheet1"}</definedName>
    <definedName name="aa" hidden="1">{#N/A,#N/A,FALSE,"Assum";#N/A,#N/A,FALSE,"IS";#N/A,#N/A,FALSE,"Op-BS";#N/A,#N/A,FALSE,"BSCF";#N/A,#N/A,FALSE,"Brad_IS";#N/A,#N/A,FALSE,"Brad_BSCF";#N/A,#N/A,FALSE,"Nick_IS";#N/A,#N/A,FALSE,"Nick_BSCF";#N/A,#N/A,FALSE,"Mobile_IS";#N/A,#N/A,FALSE,"Mobile_BSCF";#N/A,#N/A,FALSE,"Syn+Elim";#N/A,#N/A,FALSE,"Ratings"}</definedName>
    <definedName name="aaa" hidden="1">{#N/A,#N/A,TRUE,"financial";#N/A,#N/A,TRUE,"plants"}</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 hidden="1">{#N/A,#N/A,TRUE,"Pro Forma";#N/A,#N/A,TRUE,"PF_Bal";#N/A,#N/A,TRUE,"PF_INC";#N/A,#N/A,TRUE,"CBE";#N/A,#N/A,TRUE,"SWK"}</definedName>
    <definedName name="ABRACADABRA" localSheetId="10" hidden="1">#REF!</definedName>
    <definedName name="ABRACADABRA" localSheetId="4" hidden="1">#REF!</definedName>
    <definedName name="ABRACADABRA" hidden="1">#REF!</definedName>
    <definedName name="ac" hidden="1">{#N/A,#N/A,TRUE,"Pro Forma";#N/A,#N/A,TRUE,"PF_Bal";#N/A,#N/A,TRUE,"PF_INC";#N/A,#N/A,TRUE,"CBE";#N/A,#N/A,TRUE,"SWK"}</definedName>
    <definedName name="AccessDatabase" hidden="1">"K:\EPI UK\Development\Bridgewater\BRIDGEWATER PAPER PROFORMA STEAM2.mdb"</definedName>
    <definedName name="addg" hidden="1">{#N/A,#N/A,FALSE,"CBE";#N/A,#N/A,FALSE,"SWK"}</definedName>
    <definedName name="AdjustValue">[2]!AdjustValue</definedName>
    <definedName name="ALTFV" localSheetId="10">#REF!</definedName>
    <definedName name="ALTFV" localSheetId="4">#REF!</definedName>
    <definedName name="ALTFV">#REF!</definedName>
    <definedName name="as" hidden="1">{"comp1",#N/A,FALSE,"COMPS";"footnotes",#N/A,FALSE,"COMPS"}</definedName>
    <definedName name="asd">'[3]Income Statement'!$K$5</definedName>
    <definedName name="asdf" hidden="1">{#N/A,#N/A,FALSE,"Calc";#N/A,#N/A,FALSE,"Sensitivity";#N/A,#N/A,FALSE,"LT Earn.Dil.";#N/A,#N/A,FALSE,"Dil. AVP"}</definedName>
    <definedName name="availdays" localSheetId="10">[4]Assumptions!#REF!</definedName>
    <definedName name="availdays" localSheetId="4">[4]Assumptions!#REF!</definedName>
    <definedName name="availdays">[4]Assumptions!#REF!</definedName>
    <definedName name="avaldays" localSheetId="10">[4]Assumptions!#REF!</definedName>
    <definedName name="avaldays" localSheetId="4">[4]Assumptions!#REF!</definedName>
    <definedName name="avaldays">[4]Assumptions!#REF!</definedName>
    <definedName name="avdd" hidden="1">{#N/A,#N/A,FALSE,"Calc";#N/A,#N/A,FALSE,"Sensitivity";#N/A,#N/A,FALSE,"LT Earn.Dil.";#N/A,#N/A,FALSE,"Dil. AVP"}</definedName>
    <definedName name="b" hidden="1">{#N/A,#N/A,FALSE,"Calc";#N/A,#N/A,FALSE,"Sensitivity";#N/A,#N/A,FALSE,"LT Earn.Dil.";#N/A,#N/A,FALSE,"Dil. AVP"}</definedName>
    <definedName name="BaseExitYear" localSheetId="10">#REF!</definedName>
    <definedName name="BaseExitYear" localSheetId="4">#REF!</definedName>
    <definedName name="BaseExitYear">#REF!</definedName>
    <definedName name="body" localSheetId="10">#REF!</definedName>
    <definedName name="body" localSheetId="4">#REF!</definedName>
    <definedName name="body">#REF!</definedName>
    <definedName name="Bonus_1">'[5]Bonus Plan'!$E$3</definedName>
    <definedName name="Bonus_2">'[5]Bonus Plan'!$E$4</definedName>
    <definedName name="Bonus_3">'[5]Bonus Plan'!$E$5</definedName>
    <definedName name="Bonus_4">'[5]Bonus Plan'!$E$6</definedName>
    <definedName name="BORDER" localSheetId="10">#REF!</definedName>
    <definedName name="BORDER" localSheetId="4">#REF!</definedName>
    <definedName name="BORDER">#REF!</definedName>
    <definedName name="boring" hidden="1">{"Page1",#N/A,FALSE,"CompCo";"Page2",#N/A,FALSE,"CompCo"}</definedName>
    <definedName name="Cable" hidden="1">{#N/A,#N/A,FALSE,"Operations";#N/A,#N/A,FALSE,"Financials"}</definedName>
    <definedName name="Cable2" hidden="1">{#N/A,#N/A,FALSE,"Operations";#N/A,#N/A,FALSE,"Financials"}</definedName>
    <definedName name="CAPITALFL" localSheetId="10">#REF!</definedName>
    <definedName name="CAPITALFL" localSheetId="4">#REF!</definedName>
    <definedName name="CAPITALFL">#REF!</definedName>
    <definedName name="CB_Eq_Ord_Cash_Limit_Div">[6]Fcast_TA!$E$91</definedName>
    <definedName name="CB_Eq_Ord_Inc_Open_RP_In_NPAT">[6]Fcast_TA!$E$90</definedName>
    <definedName name="cb_sChart41E9A35_opts" hidden="1">"1, 9, 1, False, 2, False, False, , 0, False, True, 1, 1"</definedName>
    <definedName name="CB_TS_Show_Hist_Fcast_Pers">[6]TS_BA!$J$31</definedName>
    <definedName name="cc" hidden="1">{#N/A,#N/A,FALSE,"CBE";#N/A,#N/A,FALSE,"SWK"}</definedName>
    <definedName name="CGEXPLAIN" localSheetId="10">#REF!</definedName>
    <definedName name="CGEXPLAIN" localSheetId="4">#REF!</definedName>
    <definedName name="CGEXPLAIN">#REF!</definedName>
    <definedName name="CIQWBGuid" hidden="1">"b29f7003-3a0b-4af2-968e-5f29ca6d4e23"</definedName>
    <definedName name="COMP1" localSheetId="10">#REF!</definedName>
    <definedName name="COMP1" localSheetId="4">#REF!</definedName>
    <definedName name="COMP1">#REF!</definedName>
    <definedName name="COMP2" localSheetId="10">#REF!</definedName>
    <definedName name="COMP2" localSheetId="4">#REF!</definedName>
    <definedName name="COMP2">#REF!</definedName>
    <definedName name="Company">[7]Controls!$C$6</definedName>
    <definedName name="compco" hidden="1">{"Page1",#N/A,FALSE,"CompCo";"Page2",#N/A,FALSE,"CompCo"}</definedName>
    <definedName name="Compco1" hidden="1">{"Page1",#N/A,FALSE,"CompCo";"Page2",#N/A,FALSE,"CompCo"}</definedName>
    <definedName name="Compco2" hidden="1">{"Page1",#N/A,FALSE,"CompCo";"Page2",#N/A,FALSE,"CompCo"}</definedName>
    <definedName name="cooper2" hidden="1">{#N/A,#N/A,TRUE,"Pro Forma";#N/A,#N/A,TRUE,"PF_Bal";#N/A,#N/A,TRUE,"PF_INC";#N/A,#N/A,TRUE,"CBE";#N/A,#N/A,TRUE,"SWK"}</definedName>
    <definedName name="COVER" localSheetId="10">#REF!</definedName>
    <definedName name="COVER" localSheetId="4">#REF!</definedName>
    <definedName name="COVER">#REF!</definedName>
    <definedName name="DD_Eq_Ord_Div_Meth">[6]Fcast_TA!$J$84</definedName>
    <definedName name="DD_TS_Denom">[6]TS_BA!$J$26</definedName>
    <definedName name="DD_TS_Fin_YE_Mth">[6]TS_BA!$K$13</definedName>
    <definedName name="desk">[2]!desk</definedName>
    <definedName name="DETCAP" localSheetId="10">#REF!</definedName>
    <definedName name="DETCAP" localSheetId="4">#REF!</definedName>
    <definedName name="DETCAP">#REF!</definedName>
    <definedName name="DETCOVER" localSheetId="10">#REF!</definedName>
    <definedName name="DETCOVER" localSheetId="4">#REF!</definedName>
    <definedName name="DETCOVER">#REF!</definedName>
    <definedName name="DETEXP1" localSheetId="10">#REF!</definedName>
    <definedName name="DETEXP1" localSheetId="4">#REF!</definedName>
    <definedName name="DETEXP1">#REF!</definedName>
    <definedName name="DETEXPSAV" localSheetId="10">#REF!</definedName>
    <definedName name="DETEXPSAV" localSheetId="4">#REF!</definedName>
    <definedName name="DETEXPSAV">#REF!</definedName>
    <definedName name="DETREV" localSheetId="10">#REF!</definedName>
    <definedName name="DETREV" localSheetId="4">#REF!</definedName>
    <definedName name="DETREV">#REF!</definedName>
    <definedName name="df" hidden="1">{#N/A,#N/A,FALSE,"Brad_DCFM";#N/A,#N/A,FALSE,"Nick_DCFM";#N/A,#N/A,FALSE,"Mobile_DCFM"}</definedName>
    <definedName name="dfd" hidden="1">{"comp1",#N/A,FALSE,"COMPS";"footnotes",#N/A,FALSE,"COMPS"}</definedName>
    <definedName name="DollarHeader">[7]Controls!$D$12</definedName>
    <definedName name="dsf" hidden="1">{"Cover",#N/A,TRUE,"Sheet1";"Annual Income",#N/A,TRUE,"Sheet1";"Annual Balance",#N/A,TRUE,"Sheet1";"Annual Cash Flow",#N/A,TRUE,"Sheet1";"Revenue",#N/A,TRUE,"Sheet1";"Income",#N/A,TRUE,"Sheet1";"Balance",#N/A,TRUE,"Sheet1";"Cash Flow",#N/A,TRUE,"Sheet1";"Cash",#N/A,TRUE,"Sheet1";"Tax",#N/A,TRUE,"Sheet1";"Amort Financing Costs",#N/A,TRUE,"Sheet1";"Amort Capitalized Interest",#N/A,TRUE,"Sheet1";"Tax GAAP",#N/A,TRUE,"Sheet1"}</definedName>
    <definedName name="dtu" hidden="1">{#N/A,#N/A,TRUE,"financial";#N/A,#N/A,TRUE,"plants"}</definedName>
    <definedName name="e" hidden="1">{"casespecific",#N/A,FALSE,"Assumptions"}</definedName>
    <definedName name="ed5dyx" hidden="1">{#N/A,#N/A,FALSE,"CBE";#N/A,#N/A,FALSE,"SWK"}</definedName>
    <definedName name="edp" hidden="1">{"assumption 50 50",#N/A,TRUE,"Merger";"has gets cash",#N/A,TRUE,"Merger";"accretion dilution",#N/A,TRUE,"Merger";"comparison credit stats",#N/A,TRUE,"Merger";"pf credit stats",#N/A,TRUE,"Merger";"pf sheets",#N/A,TRUE,"Merger"}</definedName>
    <definedName name="ExitYear" localSheetId="10">#REF!</definedName>
    <definedName name="ExitYear" localSheetId="4">#REF!</definedName>
    <definedName name="ExitYear">#REF!</definedName>
    <definedName name="fds" hidden="1">{"comps",#N/A,FALSE,"comps";"notes",#N/A,FALSE,"comps"}</definedName>
    <definedName name="fdsf" hidden="1">{"general",#N/A,FALSE,"Assumptions"}</definedName>
    <definedName name="ffff" hidden="1">{"comps",#N/A,FALSE,"comps";"notes",#N/A,FALSE,"comps"}</definedName>
    <definedName name="FiveYearExit" localSheetId="10">#REF!</definedName>
    <definedName name="FiveYearExit" localSheetId="4">#REF!</definedName>
    <definedName name="FiveYearExit">#REF!</definedName>
    <definedName name="FLASSUME" localSheetId="10">#REF!</definedName>
    <definedName name="FLASSUME" localSheetId="4">#REF!</definedName>
    <definedName name="FLASSUME">#REF!</definedName>
    <definedName name="FLASSUME2" localSheetId="10">#REF!</definedName>
    <definedName name="FLASSUME2" localSheetId="4">#REF!</definedName>
    <definedName name="FLASSUME2">#REF!</definedName>
    <definedName name="FLASSUME3" localSheetId="10">#REF!</definedName>
    <definedName name="FLASSUME3" localSheetId="4">#REF!</definedName>
    <definedName name="FLASSUME3">#REF!</definedName>
    <definedName name="FLASSUME4" localSheetId="10">#REF!</definedName>
    <definedName name="FLASSUME4" localSheetId="4">#REF!</definedName>
    <definedName name="FLASSUME4">#REF!</definedName>
    <definedName name="FLCURRENT" localSheetId="10">#REF!</definedName>
    <definedName name="FLCURRENT" localSheetId="4">#REF!</definedName>
    <definedName name="FLCURRENT">#REF!</definedName>
    <definedName name="FLLAST" localSheetId="10">#REF!</definedName>
    <definedName name="FLLAST" localSheetId="4">#REF!</definedName>
    <definedName name="FLLAST">#REF!</definedName>
    <definedName name="FLORIG" localSheetId="10">#REF!</definedName>
    <definedName name="FLORIG" localSheetId="4">#REF!</definedName>
    <definedName name="FLORIG">#REF!</definedName>
    <definedName name="FourYearExit" localSheetId="10">#REF!</definedName>
    <definedName name="FourYearExit" localSheetId="4">#REF!</definedName>
    <definedName name="FourYearExit">#REF!</definedName>
    <definedName name="glad">[2]!glad</definedName>
    <definedName name="GoBack">[2]!GoBack</definedName>
    <definedName name="GoBalanceSheet">[2]!GoBalanceSheet</definedName>
    <definedName name="GoCashFlow">[2]!GoCashFlow</definedName>
    <definedName name="GoData">[2]!GoData</definedName>
    <definedName name="GoIncomeChart">[2]!GoIncomeChart</definedName>
    <definedName name="Half_Yr_Name">[6]TS_LU!$D$86</definedName>
    <definedName name="happy" hidden="1">{"Page1",#N/A,FALSE,"CompCo";"Page2",#N/A,FALSE,"CompCo"}</definedName>
    <definedName name="Heavy_Duty_Motor_Oils_15W_40" localSheetId="10">#REF!</definedName>
    <definedName name="Heavy_Duty_Motor_Oils_15W_40" localSheetId="4">#REF!</definedName>
    <definedName name="Heavy_Duty_Motor_Oils_15W_40">#REF!</definedName>
    <definedName name="hhhsdf" hidden="1">{"up stand alones",#N/A,FALSE,"Acquiror"}</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NDRATING_FITCH" hidden="1">"IQ_BONDRATING_FITCH"</definedName>
    <definedName name="IQ_BONDRATING_SP" hidden="1">"IQ_BONDRATING_SP"</definedName>
    <definedName name="IQ_BOOK_VALUE" hidden="1">"IQ_BOOK_VALUE"</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SH_DIVIDENDS_NET_INCOME_FDIC" hidden="1">"c6738"</definedName>
    <definedName name="IQ_CASH_IN_PROCESS_FDIC" hidden="1">"c6386"</definedName>
    <definedName name="IQ_CASH_OPER_ACT_OR_EST" hidden="1">"c4164"</definedName>
    <definedName name="IQ_CCE_FDIC" hidden="1">"c6296"</definedName>
    <definedName name="IQ_CH" hidden="1">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GROWTH_1" hidden="1">"IQ_EBIT_GROWTH_1"</definedName>
    <definedName name="IQ_EBIT_GROWTH_2" hidden="1">"IQ_EBIT_GROWTH_2"</definedName>
    <definedName name="IQ_EBITDA_10K" hidden="1">"IQ_EBITDA_10K"</definedName>
    <definedName name="IQ_EBITDA_10Q" hidden="1">"IQ_EBITDA_10Q"</definedName>
    <definedName name="IQ_EBITDA_10Q1" hidden="1">"IQ_EBITDA_10Q1"</definedName>
    <definedName name="IQ_EBITDA_GROWTH_1" hidden="1">"IQ_EBITDA_GROWTH_1"</definedName>
    <definedName name="IQ_EBITDA_GROWTH_2" hidden="1">"IQ_EBITDA_GROWTH_2"</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EST_1" hidden="1">"IQ_EPS_EST_1"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V_OVER_REVENUE_EST" hidden="1">"IQ_EV_OVER_REVENUE_EST"</definedName>
    <definedName name="IQ_EV_OVER_REVENUE_EST_1" hidden="1">"IQ_EV_OVER_REVENUE_EST_1"</definedName>
    <definedName name="IQ_EXPENSE_CODE_">"019802400"</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 hidden="1">1000</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_DATE" hidden="1">"IQ_LTM_DATE"</definedName>
    <definedName name="IQ_LTMMONTH" hidden="1">120000</definedName>
    <definedName name="IQ_MAINT_CAPEX_ACT_OR_EST" hidden="1">"c4458"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41596.7308333333</definedName>
    <definedName name="IQ_NET_CHARGE_OFFS_FDIC" hidden="1">"c6641"</definedName>
    <definedName name="IQ_NET_CHARGE_OFFS_LOANS_FDIC" hidden="1">"c6751"</definedName>
    <definedName name="IQ_NET_DEBT_ISSUED_BR" hidden="1">"c753"</definedName>
    <definedName name="IQ_NET_INC_10K" hidden="1">"IQ_NET_INC_10K"</definedName>
    <definedName name="IQ_NET_INC_10Q" hidden="1">"IQ_NET_INC_10Q"</definedName>
    <definedName name="IQ_NET_INC_10Q1" hidden="1">"IQ_NET_INC_10Q1"</definedName>
    <definedName name="IQ_NET_INC_GROWTH_1" hidden="1">"IQ_NET_INC_GROWTH_1"</definedName>
    <definedName name="IQ_NET_INC_GROWTH_2" hidden="1">"IQ_NET_INC_GROWTH_2"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ERCENT_INSURED_FDIC" hidden="1">"c6374"</definedName>
    <definedName name="IQ_PERIODDATE_FDIC" hidden="1">"c13646"</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EPS_EST" hidden="1">"IQ_PRICE_OVER_EPS_EST"</definedName>
    <definedName name="IQ_PRICE_OVER_EPS_EST_1" hidden="1">"IQ_PRICE_OVER_EPS_EST_1"</definedName>
    <definedName name="IQ_PRICEDATETIME" hidden="1">"IQ_PRICEDATETIME"</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EST_1" hidden="1">"IQ_REVENUE_EST_1"</definedName>
    <definedName name="IQ_REVENUE_GROWTH_1" hidden="1">"IQ_REVENUE_GROWTH_1"</definedName>
    <definedName name="IQ_REVENUE_GROWTH_2" hidden="1">"IQ_REVENUE_GROWTH_2"</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QB_BOOKMARK_COUNT" hidden="1">1</definedName>
    <definedName name="IQB_BOOKMARK_LOCATION_0" localSheetId="10" hidden="1">[4]Assumptions!#REF!</definedName>
    <definedName name="IQB_BOOKMARK_LOCATION_0" localSheetId="4" hidden="1">[4]Assumptions!#REF!</definedName>
    <definedName name="IQB_BOOKMARK_LOCATION_0" hidden="1">[4]Assumptions!#REF!</definedName>
    <definedName name="jjjj" hidden="1">{"Page1",#N/A,FALSE,"CompCo";"Page2",#N/A,FALSE,"CompCo"}</definedName>
    <definedName name="kkk">[2]!kkk</definedName>
    <definedName name="lamp">[2]!lamp</definedName>
    <definedName name="lisahuang">[2]!lisahuang</definedName>
    <definedName name="LU_Denom">[6]TS_LU!$D$63:$D$66</definedName>
    <definedName name="LU_Eq_Ord_Div_Meth">[6]Capital_LU!$D$12:$D$13</definedName>
    <definedName name="LU_Mth_Names">[6]TS_LU!$D$47:$D$58</definedName>
    <definedName name="LU_Period_Type_Names">[6]TS_LU!$D$85:$D$88</definedName>
    <definedName name="LU_Periodicity">[6]TS_LU!$D$77:$D$80</definedName>
    <definedName name="LU_Pers_In_Yr">[6]TS_LU!$D$93:$D$96</definedName>
    <definedName name="mincash">[4]Assumptions!$Q$193</definedName>
    <definedName name="Model_Name">[6]Cover!$C$10</definedName>
    <definedName name="Mth_Name">[6]TS_LU!$D$88</definedName>
    <definedName name="Mths_In_Yr">[6]TS_LU!$D$96</definedName>
    <definedName name="mynameis">[2]!mynameis</definedName>
    <definedName name="Name1">[2]!Name1</definedName>
    <definedName name="NameNew">[2]!NameNew</definedName>
    <definedName name="NEWPAGE" localSheetId="10">#REF!</definedName>
    <definedName name="NEWPAGE" localSheetId="4">#REF!</definedName>
    <definedName name="NEWPAGE">#REF!</definedName>
    <definedName name="newstuff">[2]!newstuff</definedName>
    <definedName name="oldstuff">[2]!oldstuff</definedName>
    <definedName name="phoneNew">[2]!phoneNew</definedName>
    <definedName name="_xlnm.Print_Area" localSheetId="5">'P&amp;L and Cash Flow'!$A$1:$L$73</definedName>
    <definedName name="_xlnm.Print_Area" localSheetId="10">#REF!</definedName>
    <definedName name="_xlnm.Print_Area" localSheetId="4">#REF!</definedName>
    <definedName name="_xlnm.Print_Area">#REF!</definedName>
    <definedName name="Print_Cover_Tabs">[2]!Print_Cover_Tabs</definedName>
    <definedName name="Print_Document">[2]!Print_Document</definedName>
    <definedName name="_xlnm.Print_Titles" localSheetId="7">Sensitivity!$1:$2</definedName>
    <definedName name="Qtr_Name">[6]TS_LU!$D$87</definedName>
    <definedName name="sad">[2]!sad</definedName>
    <definedName name="SIGNATURE" localSheetId="10">#REF!</definedName>
    <definedName name="SIGNATURE" localSheetId="4">#REF!</definedName>
    <definedName name="SIGNATURE">#REF!</definedName>
    <definedName name="sName">[2]!sName</definedName>
    <definedName name="sName1">[2]!sName1</definedName>
    <definedName name="Spaces" localSheetId="10">#REF!</definedName>
    <definedName name="Spaces" localSheetId="4">#REF!</definedName>
    <definedName name="Spaces">#REF!</definedName>
    <definedName name="Spaces2" localSheetId="10">#REF!</definedName>
    <definedName name="Spaces2" localSheetId="4">#REF!</definedName>
    <definedName name="Spaces2">#REF!</definedName>
    <definedName name="Stuff">[7]Controls!$C$13</definedName>
    <definedName name="SUMMARY" localSheetId="10">#REF!</definedName>
    <definedName name="SUMMARY" localSheetId="4">#REF!</definedName>
    <definedName name="SUMMARY">#REF!</definedName>
    <definedName name="SUNKCRIT" localSheetId="10">#REF!</definedName>
    <definedName name="SUNKCRIT" localSheetId="4">#REF!</definedName>
    <definedName name="SUNKCRIT">#REF!</definedName>
    <definedName name="tax_fed">[8]Assumptions!$J$54</definedName>
    <definedName name="tax_rate" localSheetId="10">#REF!</definedName>
    <definedName name="tax_rate" localSheetId="4">#REF!</definedName>
    <definedName name="tax_rate">#REF!</definedName>
    <definedName name="ThreeYearExit" localSheetId="10">#REF!</definedName>
    <definedName name="ThreeYearExit" localSheetId="4">#REF!</definedName>
    <definedName name="ThreeYearExit">#REF!</definedName>
    <definedName name="Tier_1_Min">'[5]Bonus Plan'!$C$3</definedName>
    <definedName name="Tier_1_Range">'[5]Bonus Plan'!$F$3</definedName>
    <definedName name="Tier_2_Min">'[5]Bonus Plan'!$C$4</definedName>
    <definedName name="Tier_2_Range">'[5]Bonus Plan'!$F$4</definedName>
    <definedName name="Tier_3_Min">'[5]Bonus Plan'!$C$5</definedName>
    <definedName name="Tier_3_Range">'[5]Bonus Plan'!$F$5</definedName>
    <definedName name="Tier_4_Min">'[5]Bonus Plan'!$C$6</definedName>
    <definedName name="TS_Actual_Per_Title">[6]TS_BA!$J$34</definedName>
    <definedName name="TS_Actual_Pers">[6]TS_BA!$J$32</definedName>
    <definedName name="TS_Budget_Per_Title">[6]TS_BA!$J$35</definedName>
    <definedName name="TS_Budget_Pers">[6]TS_BA!$J$33</definedName>
    <definedName name="TS_Fcast_Per_Title">[6]TS_BA!$J$36</definedName>
    <definedName name="TS_Mth_End">[6]TS_BA!$J$18</definedName>
    <definedName name="TS_Mths_In_Per">[6]TS_BA!$J$22</definedName>
    <definedName name="TS_Per_1_End_Date">[6]TS_BA!$J$25</definedName>
    <definedName name="TS_Per_1_FY_End_Date">[6]TS_BA!$J$20</definedName>
    <definedName name="TS_Per_1_FY_Start_Date">[6]TS_BA!$J$19</definedName>
    <definedName name="TS_Per_1_Number">[6]TS_BA!$J$23</definedName>
    <definedName name="TS_Per_Type_Name">[6]TS_BA!$J$16</definedName>
    <definedName name="TS_Per_Type_Prefix">[6]TS_BA!$J$17</definedName>
    <definedName name="TS_Periodicity">[6]TS_BA!$J$12</definedName>
    <definedName name="TS_Pers_In_Yr">[6]TS_BA!$J$21</definedName>
    <definedName name="TS_Start_Date">[6]TS_BA!$J$14</definedName>
    <definedName name="UOPfee" localSheetId="10">[4]Assumptions!#REF!</definedName>
    <definedName name="UOPfee" localSheetId="4">[4]Assumptions!#REF!</definedName>
    <definedName name="UOPfee">[4]Assumptions!#REF!</definedName>
    <definedName name="valuevx">42.314159</definedName>
    <definedName name="Yr_Name">[6]TS_LU!$D$85</definedName>
    <definedName name="zero1" localSheetId="10">#REF!</definedName>
    <definedName name="zero1" localSheetId="4">#REF!</definedName>
    <definedName name="zero1">#REF!</definedName>
  </definedNames>
  <calcPr calcId="171027"/>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9" i="20" l="1"/>
  <c r="E13" i="10"/>
  <c r="E20" i="10" s="1"/>
  <c r="M22" i="33" l="1"/>
  <c r="L22" i="33"/>
  <c r="K22" i="33"/>
  <c r="J22" i="33"/>
  <c r="I22" i="33"/>
  <c r="H22" i="33"/>
  <c r="G22" i="33"/>
  <c r="F22" i="33"/>
  <c r="E22" i="33"/>
  <c r="D22" i="33"/>
  <c r="C22" i="33"/>
  <c r="M16" i="33"/>
  <c r="L16" i="33"/>
  <c r="K16" i="33"/>
  <c r="J16" i="33"/>
  <c r="I16" i="33"/>
  <c r="H16" i="33"/>
  <c r="G16" i="33"/>
  <c r="F16" i="33"/>
  <c r="E16" i="33"/>
  <c r="D16" i="33"/>
  <c r="C16" i="33"/>
  <c r="M15" i="33"/>
  <c r="L15" i="33"/>
  <c r="K15" i="33"/>
  <c r="J15" i="33"/>
  <c r="I15" i="33"/>
  <c r="H15" i="33"/>
  <c r="G15" i="33"/>
  <c r="F15" i="33"/>
  <c r="E15" i="33"/>
  <c r="D15" i="33"/>
  <c r="C15" i="33"/>
  <c r="M14" i="33"/>
  <c r="L14" i="33"/>
  <c r="K14" i="33"/>
  <c r="K17" i="33" s="1"/>
  <c r="J14" i="33"/>
  <c r="I14" i="33"/>
  <c r="H14" i="33"/>
  <c r="G14" i="33"/>
  <c r="G17" i="33" s="1"/>
  <c r="F14" i="33"/>
  <c r="E14" i="33"/>
  <c r="D14" i="33"/>
  <c r="C14" i="33"/>
  <c r="C17" i="33" s="1"/>
  <c r="M10" i="33"/>
  <c r="L10" i="33"/>
  <c r="K10" i="33"/>
  <c r="J10" i="33"/>
  <c r="I10" i="33"/>
  <c r="H10" i="33"/>
  <c r="G10" i="33"/>
  <c r="F10" i="33"/>
  <c r="E10" i="33"/>
  <c r="D10" i="33"/>
  <c r="C10" i="33"/>
  <c r="M9" i="33"/>
  <c r="L9" i="33"/>
  <c r="K9" i="33"/>
  <c r="J9" i="33"/>
  <c r="I9" i="33"/>
  <c r="H9" i="33"/>
  <c r="G9" i="33"/>
  <c r="F9" i="33"/>
  <c r="E9" i="33"/>
  <c r="D9" i="33"/>
  <c r="C9" i="33"/>
  <c r="M8" i="33"/>
  <c r="L8" i="33"/>
  <c r="K8" i="33"/>
  <c r="J8" i="33"/>
  <c r="I8" i="33"/>
  <c r="H8" i="33"/>
  <c r="G8" i="33"/>
  <c r="F8" i="33"/>
  <c r="E8" i="33"/>
  <c r="D8" i="33"/>
  <c r="C8" i="33"/>
  <c r="M45" i="1"/>
  <c r="C45" i="1"/>
  <c r="D45" i="1"/>
  <c r="E45" i="1"/>
  <c r="F45" i="1"/>
  <c r="G45" i="1"/>
  <c r="H45" i="1"/>
  <c r="I45" i="1"/>
  <c r="J45" i="1"/>
  <c r="K45" i="1"/>
  <c r="L45" i="1"/>
  <c r="I13" i="10"/>
  <c r="J13" i="10"/>
  <c r="K13" i="10"/>
  <c r="K25" i="10" s="1"/>
  <c r="L13" i="10"/>
  <c r="L25" i="10" s="1"/>
  <c r="M13" i="10"/>
  <c r="N13" i="10"/>
  <c r="O13" i="10"/>
  <c r="O25" i="10" s="1"/>
  <c r="P13" i="10"/>
  <c r="P25" i="10" s="1"/>
  <c r="Q13" i="10"/>
  <c r="H13" i="10"/>
  <c r="I25" i="10"/>
  <c r="J25" i="10"/>
  <c r="M25" i="10"/>
  <c r="N25" i="10"/>
  <c r="Q25" i="10"/>
  <c r="H25" i="10"/>
  <c r="H22" i="10"/>
  <c r="I22" i="10" s="1"/>
  <c r="J22" i="10" s="1"/>
  <c r="K22" i="10" s="1"/>
  <c r="L22" i="10" s="1"/>
  <c r="M22" i="10" s="1"/>
  <c r="N22" i="10" s="1"/>
  <c r="O22" i="10" s="1"/>
  <c r="P22" i="10" s="1"/>
  <c r="Q22" i="10" s="1"/>
  <c r="E38" i="1"/>
  <c r="D38" i="1"/>
  <c r="C38" i="1"/>
  <c r="L17" i="12"/>
  <c r="J35" i="32"/>
  <c r="H11" i="32"/>
  <c r="J11" i="32" s="1"/>
  <c r="G10" i="32"/>
  <c r="J7" i="32"/>
  <c r="G7" i="32"/>
  <c r="I4" i="32"/>
  <c r="I5" i="32" s="1"/>
  <c r="I3" i="32"/>
  <c r="L14" i="32" s="1"/>
  <c r="G20" i="13"/>
  <c r="C18" i="13"/>
  <c r="D18" i="13" s="1"/>
  <c r="C19" i="13"/>
  <c r="D19" i="13" s="1"/>
  <c r="C17" i="13"/>
  <c r="D17" i="13" s="1"/>
  <c r="D16" i="13"/>
  <c r="G16" i="13" s="1"/>
  <c r="C16" i="13"/>
  <c r="C49" i="30"/>
  <c r="C48" i="30"/>
  <c r="C47" i="30"/>
  <c r="C46" i="30"/>
  <c r="C35" i="30"/>
  <c r="C18" i="30"/>
  <c r="D82" i="30"/>
  <c r="E82" i="30" s="1"/>
  <c r="F82" i="30" s="1"/>
  <c r="D63" i="30"/>
  <c r="C63" i="30"/>
  <c r="D57" i="30"/>
  <c r="E57" i="30"/>
  <c r="F57" i="30"/>
  <c r="G57" i="30"/>
  <c r="H57" i="30"/>
  <c r="I57" i="30"/>
  <c r="J57" i="30"/>
  <c r="K57" i="30"/>
  <c r="L57" i="30"/>
  <c r="M57" i="30"/>
  <c r="C57" i="30"/>
  <c r="C57" i="1"/>
  <c r="C17" i="21"/>
  <c r="D17" i="21"/>
  <c r="C18" i="21"/>
  <c r="L5" i="21"/>
  <c r="M5" i="21"/>
  <c r="L6" i="21"/>
  <c r="L50" i="21" s="1"/>
  <c r="M6" i="21"/>
  <c r="M50" i="21" s="1"/>
  <c r="L9" i="21"/>
  <c r="M9" i="21"/>
  <c r="L11" i="21"/>
  <c r="L7" i="1" s="1"/>
  <c r="L8" i="15" s="1"/>
  <c r="M11" i="21"/>
  <c r="M7" i="1" s="1"/>
  <c r="M8" i="15" s="1"/>
  <c r="L12" i="21"/>
  <c r="M12" i="21"/>
  <c r="M8" i="1" s="1"/>
  <c r="M9" i="15" s="1"/>
  <c r="L14" i="21"/>
  <c r="M14" i="21"/>
  <c r="L18" i="21"/>
  <c r="M18" i="21"/>
  <c r="L26" i="21"/>
  <c r="M26" i="21"/>
  <c r="L33" i="21"/>
  <c r="M33" i="21"/>
  <c r="L34" i="21"/>
  <c r="M34" i="21"/>
  <c r="L43" i="21"/>
  <c r="M43" i="21"/>
  <c r="L47" i="21"/>
  <c r="L48" i="21" s="1"/>
  <c r="M47" i="21"/>
  <c r="M48" i="21" s="1"/>
  <c r="L49" i="21"/>
  <c r="M49" i="21"/>
  <c r="L8" i="1"/>
  <c r="L9" i="15" s="1"/>
  <c r="H6" i="29"/>
  <c r="H7" i="29"/>
  <c r="H8" i="29"/>
  <c r="H9" i="29"/>
  <c r="H10" i="29"/>
  <c r="H11" i="29"/>
  <c r="H12" i="29"/>
  <c r="H13" i="29"/>
  <c r="H14" i="29"/>
  <c r="H15" i="29"/>
  <c r="H16" i="29"/>
  <c r="I5" i="10"/>
  <c r="G5" i="10"/>
  <c r="D17" i="33" l="1"/>
  <c r="H17" i="33"/>
  <c r="L17" i="33"/>
  <c r="E17" i="33"/>
  <c r="I17" i="33"/>
  <c r="M17" i="33"/>
  <c r="F17" i="33"/>
  <c r="J17" i="33"/>
  <c r="D57" i="1"/>
  <c r="F17" i="32"/>
  <c r="J40" i="32"/>
  <c r="J4" i="32"/>
  <c r="J5" i="32" s="1"/>
  <c r="L7" i="32"/>
  <c r="L20" i="32"/>
  <c r="L32" i="32"/>
  <c r="J3" i="32"/>
  <c r="D70" i="30"/>
  <c r="E18" i="13"/>
  <c r="G18" i="13"/>
  <c r="E19" i="13"/>
  <c r="G19" i="13"/>
  <c r="E17" i="13"/>
  <c r="G17" i="13"/>
  <c r="E16" i="13"/>
  <c r="G82" i="30"/>
  <c r="H82" i="30" s="1"/>
  <c r="I82" i="30" s="1"/>
  <c r="C70" i="30"/>
  <c r="M17" i="21"/>
  <c r="L17" i="21"/>
  <c r="M20" i="1"/>
  <c r="M13" i="1"/>
  <c r="L20" i="1"/>
  <c r="L13" i="1"/>
  <c r="M19" i="21"/>
  <c r="L19" i="21"/>
  <c r="L23" i="32" l="1"/>
  <c r="L38" i="32"/>
  <c r="L29" i="32"/>
  <c r="L17" i="32"/>
  <c r="L35" i="32"/>
  <c r="L26" i="32"/>
  <c r="L40" i="32"/>
  <c r="L11" i="32"/>
  <c r="J82" i="30"/>
  <c r="L15" i="1"/>
  <c r="L37" i="1"/>
  <c r="L14" i="1"/>
  <c r="M14" i="1"/>
  <c r="M15" i="1"/>
  <c r="M37" i="1"/>
  <c r="L45" i="32" l="1"/>
  <c r="L44" i="32"/>
  <c r="L43" i="32"/>
  <c r="L16" i="1"/>
  <c r="L14" i="15" s="1"/>
  <c r="M16" i="1"/>
  <c r="M14" i="15" s="1"/>
  <c r="K82" i="30"/>
  <c r="L46" i="32" l="1"/>
  <c r="D42" i="21"/>
  <c r="D44" i="21" s="1"/>
  <c r="L82" i="30"/>
  <c r="M82" i="30" l="1"/>
  <c r="C35" i="21" l="1"/>
  <c r="C11" i="13"/>
  <c r="D11" i="13" s="1"/>
  <c r="E11" i="13" s="1"/>
  <c r="G11" i="13" l="1"/>
  <c r="E33" i="31"/>
  <c r="E34" i="31" s="1"/>
  <c r="D28" i="31"/>
  <c r="D27" i="31"/>
  <c r="D26" i="31"/>
  <c r="D17" i="31"/>
  <c r="L4" i="31"/>
  <c r="L17" i="31" s="1"/>
  <c r="L23" i="31" s="1"/>
  <c r="K4" i="31"/>
  <c r="K17" i="31" s="1"/>
  <c r="K20" i="31" s="1"/>
  <c r="K21" i="31" s="1"/>
  <c r="J4" i="31"/>
  <c r="J17" i="31" s="1"/>
  <c r="I4" i="31"/>
  <c r="H4" i="31"/>
  <c r="H17" i="31" s="1"/>
  <c r="H23" i="31" s="1"/>
  <c r="G4" i="31"/>
  <c r="G17" i="31" s="1"/>
  <c r="G20" i="31" s="1"/>
  <c r="G21" i="31" s="1"/>
  <c r="F4" i="31"/>
  <c r="F17" i="31" s="1"/>
  <c r="E4" i="31"/>
  <c r="E17" i="31" s="1"/>
  <c r="T3" i="31"/>
  <c r="U3" i="31" s="1"/>
  <c r="S3" i="31"/>
  <c r="R3" i="31"/>
  <c r="Q3" i="31"/>
  <c r="P3" i="31"/>
  <c r="O3" i="31"/>
  <c r="N3" i="31"/>
  <c r="M3" i="31"/>
  <c r="L3" i="31"/>
  <c r="L5" i="31" s="1"/>
  <c r="M5" i="31" s="1"/>
  <c r="N5" i="31" s="1"/>
  <c r="O5" i="31" s="1"/>
  <c r="P5" i="31" s="1"/>
  <c r="Q5" i="31" s="1"/>
  <c r="R5" i="31" s="1"/>
  <c r="S5" i="31" s="1"/>
  <c r="T5" i="31" s="1"/>
  <c r="U5" i="31" s="1"/>
  <c r="K3" i="31"/>
  <c r="K5" i="31" s="1"/>
  <c r="J3" i="31"/>
  <c r="J5" i="31" s="1"/>
  <c r="I3" i="31"/>
  <c r="H3" i="31"/>
  <c r="H5" i="31" s="1"/>
  <c r="G3" i="31"/>
  <c r="G5" i="31" s="1"/>
  <c r="F3" i="31"/>
  <c r="F5" i="31" s="1"/>
  <c r="E3" i="31"/>
  <c r="D29" i="31" l="1"/>
  <c r="H20" i="31"/>
  <c r="H21" i="31" s="1"/>
  <c r="L16" i="31"/>
  <c r="I5" i="31"/>
  <c r="M4" i="31"/>
  <c r="N4" i="31" s="1"/>
  <c r="N17" i="31" s="1"/>
  <c r="K23" i="31"/>
  <c r="J20" i="31"/>
  <c r="J21" i="31" s="1"/>
  <c r="K16" i="31"/>
  <c r="J23" i="31"/>
  <c r="E23" i="31"/>
  <c r="E16" i="31"/>
  <c r="E32" i="31" s="1"/>
  <c r="E20" i="31"/>
  <c r="E21" i="31" s="1"/>
  <c r="O4" i="31"/>
  <c r="F16" i="31"/>
  <c r="F33" i="31" s="1"/>
  <c r="F20" i="31"/>
  <c r="F21" i="31" s="1"/>
  <c r="E5" i="31"/>
  <c r="I17" i="31"/>
  <c r="F23" i="31"/>
  <c r="H16" i="31"/>
  <c r="M17" i="31"/>
  <c r="L20" i="31"/>
  <c r="L21" i="31" s="1"/>
  <c r="G16" i="31"/>
  <c r="G23" i="31"/>
  <c r="E27" i="31" l="1"/>
  <c r="F27" i="31" s="1"/>
  <c r="G27" i="31" s="1"/>
  <c r="H27" i="31" s="1"/>
  <c r="E26" i="31"/>
  <c r="F26" i="31" s="1"/>
  <c r="F34" i="31"/>
  <c r="G33" i="31"/>
  <c r="M23" i="31"/>
  <c r="M16" i="31"/>
  <c r="M20" i="31"/>
  <c r="M21" i="31" s="1"/>
  <c r="P4" i="31"/>
  <c r="O17" i="31"/>
  <c r="E28" i="31"/>
  <c r="F28" i="31" s="1"/>
  <c r="G28" i="31" s="1"/>
  <c r="H28" i="31" s="1"/>
  <c r="F32" i="31"/>
  <c r="G32" i="31" s="1"/>
  <c r="H32" i="31" s="1"/>
  <c r="I23" i="31"/>
  <c r="I16" i="31"/>
  <c r="I20" i="31"/>
  <c r="I21" i="31" s="1"/>
  <c r="N16" i="31"/>
  <c r="N20" i="31"/>
  <c r="N21" i="31" s="1"/>
  <c r="N23" i="31"/>
  <c r="J16" i="31"/>
  <c r="C7" i="13"/>
  <c r="D7" i="13" s="1"/>
  <c r="G7" i="13" s="1"/>
  <c r="C8" i="13"/>
  <c r="C9" i="13"/>
  <c r="C10" i="13"/>
  <c r="C12" i="13"/>
  <c r="C13" i="13"/>
  <c r="I27" i="31" l="1"/>
  <c r="E29" i="31"/>
  <c r="E37" i="31" s="1"/>
  <c r="E38" i="31" s="1"/>
  <c r="C31" i="21" s="1"/>
  <c r="I28" i="31"/>
  <c r="J28" i="31" s="1"/>
  <c r="K28" i="31" s="1"/>
  <c r="L28" i="31" s="1"/>
  <c r="M28" i="31" s="1"/>
  <c r="N28" i="31" s="1"/>
  <c r="O28" i="31" s="1"/>
  <c r="J27" i="31"/>
  <c r="K27" i="31" s="1"/>
  <c r="L27" i="31" s="1"/>
  <c r="M27" i="31" s="1"/>
  <c r="N27" i="31" s="1"/>
  <c r="G34" i="31"/>
  <c r="H33" i="31"/>
  <c r="I32" i="31"/>
  <c r="J32" i="31" s="1"/>
  <c r="K32" i="31" s="1"/>
  <c r="L32" i="31" s="1"/>
  <c r="M32" i="31" s="1"/>
  <c r="N32" i="31" s="1"/>
  <c r="P17" i="31"/>
  <c r="Q4" i="31"/>
  <c r="G26" i="31"/>
  <c r="F29" i="31"/>
  <c r="F37" i="31" s="1"/>
  <c r="F38" i="31" s="1"/>
  <c r="D31" i="21" s="1"/>
  <c r="O20" i="31"/>
  <c r="O21" i="31" s="1"/>
  <c r="O23" i="31"/>
  <c r="O16" i="31"/>
  <c r="E7" i="13"/>
  <c r="O32" i="31" l="1"/>
  <c r="P23" i="31"/>
  <c r="P16" i="31"/>
  <c r="P20" i="31"/>
  <c r="P21" i="31" s="1"/>
  <c r="G29" i="31"/>
  <c r="G37" i="31" s="1"/>
  <c r="G38" i="31" s="1"/>
  <c r="E31" i="21" s="1"/>
  <c r="H26" i="31"/>
  <c r="H34" i="31"/>
  <c r="I33" i="31"/>
  <c r="R4" i="31"/>
  <c r="Q17" i="31"/>
  <c r="P28" i="31"/>
  <c r="O27" i="31"/>
  <c r="P27" i="31" s="1"/>
  <c r="C5" i="21"/>
  <c r="D5" i="21" s="1"/>
  <c r="D9" i="21" s="1"/>
  <c r="C60" i="21"/>
  <c r="C29" i="20"/>
  <c r="C30" i="20" s="1"/>
  <c r="P32" i="31" l="1"/>
  <c r="I34" i="31"/>
  <c r="J33" i="31"/>
  <c r="S4" i="31"/>
  <c r="R17" i="31"/>
  <c r="Q23" i="31"/>
  <c r="Q16" i="31"/>
  <c r="Q32" i="31" s="1"/>
  <c r="Q20" i="31"/>
  <c r="Q21" i="31" s="1"/>
  <c r="H29" i="31"/>
  <c r="H37" i="31" s="1"/>
  <c r="H38" i="31" s="1"/>
  <c r="F31" i="21" s="1"/>
  <c r="I26" i="31"/>
  <c r="C9" i="21"/>
  <c r="E5" i="21"/>
  <c r="Q27" i="31" l="1"/>
  <c r="I29" i="31"/>
  <c r="I37" i="31" s="1"/>
  <c r="I38" i="31" s="1"/>
  <c r="G31" i="21" s="1"/>
  <c r="J26" i="31"/>
  <c r="J34" i="31"/>
  <c r="K33" i="31"/>
  <c r="Q28" i="31"/>
  <c r="R16" i="31"/>
  <c r="R32" i="31" s="1"/>
  <c r="R20" i="31"/>
  <c r="R21" i="31" s="1"/>
  <c r="R23" i="31"/>
  <c r="T4" i="31"/>
  <c r="S17" i="31"/>
  <c r="F5" i="21"/>
  <c r="E9" i="21"/>
  <c r="R27" i="31" l="1"/>
  <c r="R28" i="31"/>
  <c r="S20" i="31"/>
  <c r="S21" i="31" s="1"/>
  <c r="S23" i="31"/>
  <c r="S16" i="31"/>
  <c r="S32" i="31" s="1"/>
  <c r="T17" i="31"/>
  <c r="U4" i="31"/>
  <c r="U17" i="31" s="1"/>
  <c r="K26" i="31"/>
  <c r="J29" i="31"/>
  <c r="J37" i="31" s="1"/>
  <c r="J38" i="31" s="1"/>
  <c r="H31" i="21" s="1"/>
  <c r="K34" i="31"/>
  <c r="L33" i="31"/>
  <c r="F9" i="21"/>
  <c r="G5" i="21"/>
  <c r="G9" i="21" s="1"/>
  <c r="S28" i="31" l="1"/>
  <c r="T32" i="31"/>
  <c r="L34" i="31"/>
  <c r="M33" i="31"/>
  <c r="K29" i="31"/>
  <c r="K37" i="31" s="1"/>
  <c r="K38" i="31" s="1"/>
  <c r="I31" i="21" s="1"/>
  <c r="L26" i="31"/>
  <c r="U23" i="31"/>
  <c r="U16" i="31"/>
  <c r="U20" i="31"/>
  <c r="U21" i="31" s="1"/>
  <c r="S27" i="31"/>
  <c r="T27" i="31" s="1"/>
  <c r="T23" i="31"/>
  <c r="T20" i="31"/>
  <c r="T21" i="31" s="1"/>
  <c r="T16" i="31"/>
  <c r="T28" i="31" s="1"/>
  <c r="E42" i="21"/>
  <c r="F42" i="21" s="1"/>
  <c r="G42" i="21" s="1"/>
  <c r="H42" i="21" s="1"/>
  <c r="I42" i="21" s="1"/>
  <c r="J42" i="21" s="1"/>
  <c r="K42" i="21" s="1"/>
  <c r="L42" i="21" s="1"/>
  <c r="E43" i="21"/>
  <c r="F43" i="21" s="1"/>
  <c r="G43" i="21" s="1"/>
  <c r="H43" i="21" s="1"/>
  <c r="I43" i="21" s="1"/>
  <c r="J43" i="21" s="1"/>
  <c r="K43" i="21" s="1"/>
  <c r="U27" i="31" l="1"/>
  <c r="U32" i="31"/>
  <c r="M42" i="21"/>
  <c r="M19" i="1" s="1"/>
  <c r="L19" i="1"/>
  <c r="U28" i="31"/>
  <c r="M34" i="31"/>
  <c r="N33" i="31"/>
  <c r="L29" i="31"/>
  <c r="L37" i="31" s="1"/>
  <c r="L38" i="31" s="1"/>
  <c r="J31" i="21" s="1"/>
  <c r="M26" i="31"/>
  <c r="C34" i="20"/>
  <c r="M5" i="19" l="1"/>
  <c r="L5" i="19"/>
  <c r="M29" i="31"/>
  <c r="M37" i="31" s="1"/>
  <c r="M38" i="31" s="1"/>
  <c r="K31" i="21" s="1"/>
  <c r="N26" i="31"/>
  <c r="N34" i="31"/>
  <c r="O33" i="31"/>
  <c r="O26" i="31" l="1"/>
  <c r="N29" i="31"/>
  <c r="N37" i="31" s="1"/>
  <c r="N38" i="31" s="1"/>
  <c r="L31" i="21" s="1"/>
  <c r="L5" i="1" s="1"/>
  <c r="O34" i="31"/>
  <c r="P33" i="31"/>
  <c r="C4" i="29"/>
  <c r="G17" i="29" s="1"/>
  <c r="H17" i="29" s="1"/>
  <c r="D36" i="21"/>
  <c r="D39" i="21"/>
  <c r="E39" i="21" s="1"/>
  <c r="F39" i="21" s="1"/>
  <c r="G39" i="21" s="1"/>
  <c r="H39" i="21" s="1"/>
  <c r="I39" i="21" s="1"/>
  <c r="J39" i="21" s="1"/>
  <c r="K39" i="21" s="1"/>
  <c r="L39" i="21" s="1"/>
  <c r="M39" i="21" s="1"/>
  <c r="C5" i="29"/>
  <c r="C7" i="29" s="1"/>
  <c r="C22" i="15"/>
  <c r="D12" i="21"/>
  <c r="D33" i="21"/>
  <c r="D34" i="1"/>
  <c r="E34" i="1" s="1"/>
  <c r="F34" i="1" s="1"/>
  <c r="G34" i="1" s="1"/>
  <c r="H34" i="1" s="1"/>
  <c r="I34" i="1" s="1"/>
  <c r="J34" i="1" s="1"/>
  <c r="K34" i="1" s="1"/>
  <c r="L34" i="1" s="1"/>
  <c r="M34" i="1" s="1"/>
  <c r="D9" i="30"/>
  <c r="D11" i="21"/>
  <c r="C35" i="20"/>
  <c r="E5" i="10"/>
  <c r="D6" i="10"/>
  <c r="E6" i="10" s="1"/>
  <c r="G6" i="10" s="1"/>
  <c r="H6" i="10" s="1"/>
  <c r="I6" i="10" s="1"/>
  <c r="J6" i="10" s="1"/>
  <c r="K6" i="10" s="1"/>
  <c r="L6" i="10" s="1"/>
  <c r="M6" i="10" s="1"/>
  <c r="N6" i="10" s="1"/>
  <c r="O6" i="10" s="1"/>
  <c r="P6" i="10" s="1"/>
  <c r="Q6" i="10" s="1"/>
  <c r="E7" i="10"/>
  <c r="G7" i="10" s="1"/>
  <c r="H7" i="10" s="1"/>
  <c r="I7" i="10" s="1"/>
  <c r="J7" i="10" s="1"/>
  <c r="K7" i="10" s="1"/>
  <c r="L7" i="10" s="1"/>
  <c r="M7" i="10" s="1"/>
  <c r="N7" i="10" s="1"/>
  <c r="O7" i="10" s="1"/>
  <c r="P7" i="10" s="1"/>
  <c r="Q7" i="10" s="1"/>
  <c r="E8" i="10"/>
  <c r="E9" i="10"/>
  <c r="G9" i="10" s="1"/>
  <c r="H9" i="10" s="1"/>
  <c r="I9" i="10" s="1"/>
  <c r="J9" i="10" s="1"/>
  <c r="K9" i="10" s="1"/>
  <c r="L9" i="10" s="1"/>
  <c r="M9" i="10" s="1"/>
  <c r="N9" i="10" s="1"/>
  <c r="O9" i="10" s="1"/>
  <c r="P9" i="10" s="1"/>
  <c r="Q9" i="10" s="1"/>
  <c r="E10" i="10"/>
  <c r="G10" i="10" s="1"/>
  <c r="H10" i="10" s="1"/>
  <c r="I10" i="10" s="1"/>
  <c r="J10" i="10" s="1"/>
  <c r="K10" i="10" s="1"/>
  <c r="L10" i="10" s="1"/>
  <c r="M10" i="10" s="1"/>
  <c r="N10" i="10" s="1"/>
  <c r="O10" i="10" s="1"/>
  <c r="P10" i="10" s="1"/>
  <c r="Q10" i="10" s="1"/>
  <c r="E11" i="10"/>
  <c r="G11" i="10" s="1"/>
  <c r="H11" i="10" s="1"/>
  <c r="I11" i="10" s="1"/>
  <c r="J11" i="10" s="1"/>
  <c r="K11" i="10" s="1"/>
  <c r="L11" i="10" s="1"/>
  <c r="M11" i="10" s="1"/>
  <c r="N11" i="10" s="1"/>
  <c r="O11" i="10" s="1"/>
  <c r="P11" i="10" s="1"/>
  <c r="Q11" i="10" s="1"/>
  <c r="E12" i="10"/>
  <c r="C7" i="20" s="1"/>
  <c r="E17" i="10"/>
  <c r="C10" i="20" s="1"/>
  <c r="G8" i="10"/>
  <c r="H8" i="10" s="1"/>
  <c r="I8" i="10" s="1"/>
  <c r="J8" i="10" s="1"/>
  <c r="K8" i="10" s="1"/>
  <c r="L8" i="10" s="1"/>
  <c r="M8" i="10" s="1"/>
  <c r="N8" i="10" s="1"/>
  <c r="O8" i="10" s="1"/>
  <c r="P8" i="10" s="1"/>
  <c r="Q8" i="10" s="1"/>
  <c r="C13" i="1"/>
  <c r="C25" i="30" s="1"/>
  <c r="D49" i="21"/>
  <c r="E49" i="21" s="1"/>
  <c r="F49" i="21" s="1"/>
  <c r="G49" i="21" s="1"/>
  <c r="H49" i="21" s="1"/>
  <c r="I49" i="21" s="1"/>
  <c r="J49" i="21" s="1"/>
  <c r="K49" i="21" s="1"/>
  <c r="D34" i="21"/>
  <c r="E34" i="21" s="1"/>
  <c r="D6" i="30"/>
  <c r="D5" i="30"/>
  <c r="D4" i="30"/>
  <c r="D22" i="1"/>
  <c r="E22" i="1" s="1"/>
  <c r="F22" i="1" s="1"/>
  <c r="G22" i="1" s="1"/>
  <c r="H22" i="1" s="1"/>
  <c r="I22" i="1" s="1"/>
  <c r="J22" i="1" s="1"/>
  <c r="K22" i="1" s="1"/>
  <c r="L22" i="1" s="1"/>
  <c r="D33" i="1"/>
  <c r="E33" i="1" s="1"/>
  <c r="F33" i="1" s="1"/>
  <c r="G33" i="1" s="1"/>
  <c r="H33" i="1" s="1"/>
  <c r="I33" i="1" s="1"/>
  <c r="J33" i="1" s="1"/>
  <c r="K33" i="1" s="1"/>
  <c r="L33" i="1" s="1"/>
  <c r="M33" i="1" s="1"/>
  <c r="D35" i="1"/>
  <c r="E35" i="1" s="1"/>
  <c r="F35" i="1" s="1"/>
  <c r="G35" i="1" s="1"/>
  <c r="H35" i="1" s="1"/>
  <c r="I35" i="1" s="1"/>
  <c r="J35" i="1" s="1"/>
  <c r="K35" i="1" s="1"/>
  <c r="L35" i="1" s="1"/>
  <c r="M35" i="1" s="1"/>
  <c r="D36" i="1"/>
  <c r="E36" i="1" s="1"/>
  <c r="F36" i="1" s="1"/>
  <c r="G36" i="1" s="1"/>
  <c r="H36" i="1" s="1"/>
  <c r="I36" i="1" s="1"/>
  <c r="J36" i="1" s="1"/>
  <c r="K36" i="1" s="1"/>
  <c r="L36" i="1" s="1"/>
  <c r="M36" i="1" s="1"/>
  <c r="D45" i="21"/>
  <c r="E45" i="21" s="1"/>
  <c r="D24" i="21"/>
  <c r="E24" i="21"/>
  <c r="F24" i="21"/>
  <c r="G24" i="21"/>
  <c r="G26" i="21" s="1"/>
  <c r="H24" i="21"/>
  <c r="I24" i="21"/>
  <c r="I26" i="21" s="1"/>
  <c r="J24" i="21"/>
  <c r="C24" i="21"/>
  <c r="D37" i="21"/>
  <c r="E37" i="21" s="1"/>
  <c r="F37" i="21" s="1"/>
  <c r="G37" i="21" s="1"/>
  <c r="H37" i="21" s="1"/>
  <c r="I37" i="21" s="1"/>
  <c r="J37" i="21" s="1"/>
  <c r="K37" i="21" s="1"/>
  <c r="L37" i="21" s="1"/>
  <c r="M37" i="21" s="1"/>
  <c r="D38" i="21"/>
  <c r="E38" i="21" s="1"/>
  <c r="F38" i="21" s="1"/>
  <c r="G38" i="21" s="1"/>
  <c r="H38" i="21" s="1"/>
  <c r="I38" i="21" s="1"/>
  <c r="J38" i="21" s="1"/>
  <c r="K38" i="21" s="1"/>
  <c r="L38" i="21" s="1"/>
  <c r="M38" i="21" s="1"/>
  <c r="C6" i="13"/>
  <c r="D6" i="13" s="1"/>
  <c r="C12" i="21"/>
  <c r="EL7" i="23"/>
  <c r="EM7" i="23"/>
  <c r="EN7" i="23"/>
  <c r="EO7" i="23"/>
  <c r="EP7" i="23"/>
  <c r="EQ7" i="23"/>
  <c r="L18" i="22"/>
  <c r="L17" i="22"/>
  <c r="L16" i="22"/>
  <c r="L15" i="22"/>
  <c r="K47" i="21" s="1"/>
  <c r="K48" i="21" s="1"/>
  <c r="C11" i="21"/>
  <c r="C20" i="1" s="1"/>
  <c r="C33" i="30" s="1"/>
  <c r="K15" i="22"/>
  <c r="J7" i="12"/>
  <c r="H11" i="12"/>
  <c r="J11" i="12"/>
  <c r="L11" i="12" s="1"/>
  <c r="D8" i="13"/>
  <c r="G8" i="13" s="1"/>
  <c r="D9" i="13"/>
  <c r="D10" i="13"/>
  <c r="G10" i="13" s="1"/>
  <c r="D12" i="13"/>
  <c r="E12" i="13" s="1"/>
  <c r="D13" i="13"/>
  <c r="I3" i="12"/>
  <c r="J3" i="12"/>
  <c r="L38" i="12" s="1"/>
  <c r="I4" i="12"/>
  <c r="J4" i="12" s="1"/>
  <c r="J5" i="12" s="1"/>
  <c r="EG7" i="23"/>
  <c r="EH7" i="23"/>
  <c r="EI7" i="23"/>
  <c r="EJ7" i="23"/>
  <c r="EK7" i="23"/>
  <c r="B7" i="23"/>
  <c r="C7"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AM7" i="23"/>
  <c r="AN7" i="23"/>
  <c r="AO7" i="23"/>
  <c r="AP7" i="23"/>
  <c r="AQ7" i="23"/>
  <c r="AR7" i="23"/>
  <c r="AS7" i="23"/>
  <c r="AT7" i="23"/>
  <c r="AU7" i="23"/>
  <c r="AV7" i="23"/>
  <c r="AW7" i="23"/>
  <c r="AX7" i="23"/>
  <c r="AY7" i="23"/>
  <c r="AZ7" i="23"/>
  <c r="BA7" i="23"/>
  <c r="BB7" i="23"/>
  <c r="BC7" i="23"/>
  <c r="BD7" i="23"/>
  <c r="BE7" i="23"/>
  <c r="BF7" i="23"/>
  <c r="BG7" i="23"/>
  <c r="BH7" i="23"/>
  <c r="BI7" i="23"/>
  <c r="BJ7" i="23"/>
  <c r="BK7" i="23"/>
  <c r="BL7" i="23"/>
  <c r="BM7" i="23"/>
  <c r="BN7" i="23"/>
  <c r="BO7" i="23"/>
  <c r="BP7" i="23"/>
  <c r="BQ7" i="23"/>
  <c r="BR7" i="23"/>
  <c r="BS7" i="23"/>
  <c r="BT7" i="23"/>
  <c r="BU7" i="23"/>
  <c r="BV7" i="23"/>
  <c r="BW7" i="23"/>
  <c r="BX7" i="23"/>
  <c r="BY7" i="23"/>
  <c r="BZ7" i="23"/>
  <c r="CA7" i="23"/>
  <c r="CB7" i="23"/>
  <c r="CC7" i="23"/>
  <c r="CD7" i="23"/>
  <c r="CE7" i="23"/>
  <c r="CF7" i="23"/>
  <c r="CG7" i="23"/>
  <c r="CH7" i="23"/>
  <c r="CI7" i="23"/>
  <c r="CJ7" i="23"/>
  <c r="CK7" i="23"/>
  <c r="CL7" i="23"/>
  <c r="CM7" i="23"/>
  <c r="CN7" i="23"/>
  <c r="CO7" i="23"/>
  <c r="CP7" i="23"/>
  <c r="CQ7" i="23"/>
  <c r="CR7" i="23"/>
  <c r="CS7" i="23"/>
  <c r="CT7" i="23"/>
  <c r="CU7" i="23"/>
  <c r="CV7" i="23"/>
  <c r="CW7" i="23"/>
  <c r="CX7" i="23"/>
  <c r="CY7" i="23"/>
  <c r="CZ7" i="23"/>
  <c r="DA7" i="23"/>
  <c r="DB7" i="23"/>
  <c r="DC7" i="23"/>
  <c r="DD7" i="23"/>
  <c r="DE7" i="23"/>
  <c r="DF7" i="23"/>
  <c r="DG7" i="23"/>
  <c r="DH7" i="23"/>
  <c r="DI7" i="23"/>
  <c r="DJ7" i="23"/>
  <c r="DK7" i="23"/>
  <c r="DL7" i="23"/>
  <c r="DM7" i="23"/>
  <c r="DN7" i="23"/>
  <c r="DO7" i="23"/>
  <c r="DP7" i="23"/>
  <c r="DQ7" i="23"/>
  <c r="DR7" i="23"/>
  <c r="DS7" i="23"/>
  <c r="DT7" i="23"/>
  <c r="DU7" i="23"/>
  <c r="DV7" i="23"/>
  <c r="DW7" i="23"/>
  <c r="DX7" i="23"/>
  <c r="DY7" i="23"/>
  <c r="DZ7" i="23"/>
  <c r="EA7" i="23"/>
  <c r="EB7" i="23"/>
  <c r="EC7" i="23"/>
  <c r="ED7" i="23"/>
  <c r="EE7" i="23"/>
  <c r="EF7" i="23"/>
  <c r="A17" i="23"/>
  <c r="I9" i="22"/>
  <c r="J15" i="22"/>
  <c r="I12" i="22"/>
  <c r="I11" i="22"/>
  <c r="I10" i="22"/>
  <c r="J16" i="22" s="1"/>
  <c r="J17" i="22"/>
  <c r="J18" i="22"/>
  <c r="H3" i="22"/>
  <c r="I3" i="22" s="1"/>
  <c r="I4" i="22" s="1"/>
  <c r="G7" i="12"/>
  <c r="G10" i="12"/>
  <c r="F14" i="13"/>
  <c r="L20" i="12"/>
  <c r="J26" i="21"/>
  <c r="F17" i="12"/>
  <c r="L14" i="12"/>
  <c r="L32" i="12"/>
  <c r="H4" i="22"/>
  <c r="K18" i="22"/>
  <c r="K16" i="22"/>
  <c r="K17" i="22"/>
  <c r="L26" i="12"/>
  <c r="K26" i="21"/>
  <c r="C8" i="29" l="1"/>
  <c r="L6" i="33"/>
  <c r="L11" i="33" s="1"/>
  <c r="L19" i="33" s="1"/>
  <c r="L6" i="15"/>
  <c r="L4" i="19"/>
  <c r="L6" i="19" s="1"/>
  <c r="L7" i="19" s="1"/>
  <c r="D35" i="21"/>
  <c r="M22" i="1"/>
  <c r="D47" i="30"/>
  <c r="D48" i="30"/>
  <c r="D46" i="30"/>
  <c r="D49" i="30"/>
  <c r="E4" i="30"/>
  <c r="E6" i="30"/>
  <c r="D35" i="30"/>
  <c r="D18" i="30"/>
  <c r="E5" i="30"/>
  <c r="E9" i="30"/>
  <c r="E18" i="10"/>
  <c r="G12" i="10"/>
  <c r="H12" i="10" s="1"/>
  <c r="I12" i="10" s="1"/>
  <c r="J12" i="10" s="1"/>
  <c r="K12" i="10" s="1"/>
  <c r="L12" i="10" s="1"/>
  <c r="M12" i="10" s="1"/>
  <c r="N12" i="10" s="1"/>
  <c r="O12" i="10" s="1"/>
  <c r="P12" i="10" s="1"/>
  <c r="Q12" i="10" s="1"/>
  <c r="P34" i="31"/>
  <c r="Q33" i="31"/>
  <c r="O29" i="31"/>
  <c r="O37" i="31" s="1"/>
  <c r="O38" i="31" s="1"/>
  <c r="M31" i="21" s="1"/>
  <c r="M5" i="1" s="1"/>
  <c r="P26" i="31"/>
  <c r="E47" i="21"/>
  <c r="E48" i="21" s="1"/>
  <c r="D47" i="21"/>
  <c r="D48" i="21" s="1"/>
  <c r="L29" i="12"/>
  <c r="I5" i="12"/>
  <c r="C47" i="21"/>
  <c r="C48" i="21" s="1"/>
  <c r="G47" i="21"/>
  <c r="G48" i="21" s="1"/>
  <c r="H47" i="21"/>
  <c r="H48" i="21" s="1"/>
  <c r="L23" i="12"/>
  <c r="D26" i="21"/>
  <c r="FD8" i="23"/>
  <c r="FE8" i="23" s="1"/>
  <c r="FF8" i="23" s="1"/>
  <c r="FG8" i="23" s="1"/>
  <c r="FH8" i="23" s="1"/>
  <c r="FI8" i="23" s="1"/>
  <c r="FJ8" i="23" s="1"/>
  <c r="FK8" i="23" s="1"/>
  <c r="FL8" i="23" s="1"/>
  <c r="FM8" i="23" s="1"/>
  <c r="FN8" i="23" s="1"/>
  <c r="FO8" i="23" s="1"/>
  <c r="J47" i="21"/>
  <c r="J48" i="21" s="1"/>
  <c r="F47" i="21"/>
  <c r="F48" i="21" s="1"/>
  <c r="G12" i="13"/>
  <c r="G13" i="13"/>
  <c r="E13" i="13"/>
  <c r="G9" i="13"/>
  <c r="E9" i="13"/>
  <c r="G6" i="13"/>
  <c r="E6" i="13"/>
  <c r="E10" i="13"/>
  <c r="E8" i="13"/>
  <c r="C14" i="21"/>
  <c r="G13" i="10"/>
  <c r="H26" i="21"/>
  <c r="C26" i="21"/>
  <c r="F26" i="21"/>
  <c r="C7" i="1"/>
  <c r="C19" i="30" s="1"/>
  <c r="E26" i="21"/>
  <c r="I47" i="21"/>
  <c r="I48" i="21" s="1"/>
  <c r="C8" i="1"/>
  <c r="C20" i="30" s="1"/>
  <c r="E14" i="21"/>
  <c r="D18" i="21"/>
  <c r="E12" i="21"/>
  <c r="G12" i="21"/>
  <c r="F18" i="21"/>
  <c r="D7" i="1"/>
  <c r="D8" i="15" s="1"/>
  <c r="E11" i="21"/>
  <c r="E7" i="1" s="1"/>
  <c r="E8" i="15" s="1"/>
  <c r="D20" i="1"/>
  <c r="D33" i="30" s="1"/>
  <c r="F11" i="21"/>
  <c r="F12" i="21"/>
  <c r="D8" i="1"/>
  <c r="D9" i="15" s="1"/>
  <c r="E33" i="21"/>
  <c r="L7" i="12"/>
  <c r="D19" i="1"/>
  <c r="F45" i="21"/>
  <c r="D69" i="1"/>
  <c r="E69" i="1" s="1"/>
  <c r="E22" i="15" s="1"/>
  <c r="D14" i="21"/>
  <c r="D5" i="1" s="1"/>
  <c r="J17" i="29"/>
  <c r="G18" i="29" s="1"/>
  <c r="E36" i="21"/>
  <c r="F34" i="21"/>
  <c r="C50" i="21"/>
  <c r="D6" i="21"/>
  <c r="M6" i="33" l="1"/>
  <c r="M11" i="33" s="1"/>
  <c r="M19" i="33" s="1"/>
  <c r="M6" i="15"/>
  <c r="M4" i="19"/>
  <c r="M6" i="19" s="1"/>
  <c r="M7" i="19" s="1"/>
  <c r="D17" i="30"/>
  <c r="D6" i="33"/>
  <c r="D11" i="33" s="1"/>
  <c r="D19" i="33" s="1"/>
  <c r="D32" i="30"/>
  <c r="F9" i="30"/>
  <c r="E46" i="30"/>
  <c r="E48" i="30"/>
  <c r="E49" i="30"/>
  <c r="E47" i="30"/>
  <c r="D20" i="30"/>
  <c r="D19" i="30"/>
  <c r="F4" i="30"/>
  <c r="E19" i="30"/>
  <c r="F6" i="30"/>
  <c r="E35" i="30"/>
  <c r="F5" i="30"/>
  <c r="E18" i="30"/>
  <c r="J5" i="10"/>
  <c r="P29" i="31"/>
  <c r="P37" i="31" s="1"/>
  <c r="P38" i="31" s="1"/>
  <c r="Q26" i="31"/>
  <c r="Q34" i="31"/>
  <c r="R33" i="31"/>
  <c r="E5" i="1"/>
  <c r="H17" i="10"/>
  <c r="FP8" i="23"/>
  <c r="FQ8" i="23" s="1"/>
  <c r="FR8" i="23" s="1"/>
  <c r="FS8" i="23" s="1"/>
  <c r="FT8" i="23" s="1"/>
  <c r="FU8" i="23" s="1"/>
  <c r="FV8" i="23" s="1"/>
  <c r="FW8" i="23" s="1"/>
  <c r="FX8" i="23" s="1"/>
  <c r="FY8" i="23" s="1"/>
  <c r="FZ8" i="23" s="1"/>
  <c r="GA8" i="23" s="1"/>
  <c r="G14" i="13"/>
  <c r="C19" i="21"/>
  <c r="D19" i="21"/>
  <c r="D21" i="1" s="1"/>
  <c r="D34" i="30" s="1"/>
  <c r="C9" i="1"/>
  <c r="F19" i="21"/>
  <c r="F14" i="1" s="1"/>
  <c r="F69" i="1"/>
  <c r="F22" i="15" s="1"/>
  <c r="C9" i="15"/>
  <c r="C8" i="15"/>
  <c r="E19" i="1"/>
  <c r="E18" i="21"/>
  <c r="D9" i="1"/>
  <c r="H5" i="21"/>
  <c r="H11" i="21" s="1"/>
  <c r="G11" i="21"/>
  <c r="G20" i="1" s="1"/>
  <c r="G18" i="21"/>
  <c r="F14" i="21"/>
  <c r="E20" i="1"/>
  <c r="E33" i="30" s="1"/>
  <c r="F20" i="1"/>
  <c r="E8" i="1"/>
  <c r="E20" i="30" s="1"/>
  <c r="F33" i="21"/>
  <c r="F19" i="1"/>
  <c r="G45" i="21"/>
  <c r="D22" i="15"/>
  <c r="D4" i="19"/>
  <c r="D6" i="15"/>
  <c r="C5" i="1"/>
  <c r="J18" i="29"/>
  <c r="G19" i="29" s="1"/>
  <c r="H18" i="29"/>
  <c r="F36" i="21"/>
  <c r="E35" i="21"/>
  <c r="F7" i="1"/>
  <c r="G34" i="21"/>
  <c r="E6" i="21"/>
  <c r="D50" i="21"/>
  <c r="D13" i="1"/>
  <c r="D25" i="30" s="1"/>
  <c r="C17" i="30" l="1"/>
  <c r="C6" i="33"/>
  <c r="C11" i="33" s="1"/>
  <c r="C19" i="33" s="1"/>
  <c r="E4" i="19"/>
  <c r="E6" i="33"/>
  <c r="E11" i="33" s="1"/>
  <c r="E19" i="33" s="1"/>
  <c r="E32" i="30"/>
  <c r="E17" i="30"/>
  <c r="C16" i="19"/>
  <c r="C21" i="30"/>
  <c r="D10" i="15"/>
  <c r="D11" i="15" s="1"/>
  <c r="D21" i="30"/>
  <c r="G9" i="30"/>
  <c r="F48" i="30"/>
  <c r="F49" i="30"/>
  <c r="F46" i="30"/>
  <c r="F47" i="30"/>
  <c r="G4" i="30"/>
  <c r="F19" i="30"/>
  <c r="G6" i="30"/>
  <c r="F32" i="30"/>
  <c r="F33" i="30"/>
  <c r="F35" i="30"/>
  <c r="G5" i="30"/>
  <c r="F26" i="30"/>
  <c r="F18" i="30"/>
  <c r="J35" i="12"/>
  <c r="L35" i="12" s="1"/>
  <c r="C51" i="30"/>
  <c r="R34" i="31"/>
  <c r="S33" i="31"/>
  <c r="Q29" i="31"/>
  <c r="Q37" i="31" s="1"/>
  <c r="Q38" i="31" s="1"/>
  <c r="R26" i="31"/>
  <c r="E6" i="15"/>
  <c r="GB8" i="23"/>
  <c r="GC8" i="23" s="1"/>
  <c r="GD8" i="23" s="1"/>
  <c r="GE8" i="23" s="1"/>
  <c r="GF8" i="23" s="1"/>
  <c r="GG8" i="23" s="1"/>
  <c r="GH8" i="23" s="1"/>
  <c r="GI8" i="23" s="1"/>
  <c r="GJ8" i="23" s="1"/>
  <c r="GK8" i="23" s="1"/>
  <c r="GL8" i="23" s="1"/>
  <c r="GM8" i="23" s="1"/>
  <c r="D23" i="1"/>
  <c r="D15" i="15" s="1"/>
  <c r="I17" i="10"/>
  <c r="C10" i="15"/>
  <c r="D14" i="1"/>
  <c r="D26" i="30" s="1"/>
  <c r="D15" i="1"/>
  <c r="D27" i="30" s="1"/>
  <c r="F21" i="1"/>
  <c r="F34" i="30" s="1"/>
  <c r="F15" i="1"/>
  <c r="F27" i="30" s="1"/>
  <c r="F17" i="21"/>
  <c r="D37" i="1"/>
  <c r="D50" i="30" s="1"/>
  <c r="E19" i="21"/>
  <c r="E15" i="1" s="1"/>
  <c r="E27" i="30" s="1"/>
  <c r="E17" i="21"/>
  <c r="D36" i="30"/>
  <c r="F37" i="1"/>
  <c r="F50" i="30" s="1"/>
  <c r="G19" i="21"/>
  <c r="G15" i="1" s="1"/>
  <c r="C14" i="1"/>
  <c r="C26" i="30" s="1"/>
  <c r="C15" i="1"/>
  <c r="C27" i="30" s="1"/>
  <c r="C37" i="1"/>
  <c r="C50" i="30" s="1"/>
  <c r="C21" i="1"/>
  <c r="C11" i="20"/>
  <c r="G69" i="1"/>
  <c r="G22" i="15" s="1"/>
  <c r="E9" i="15"/>
  <c r="I5" i="21"/>
  <c r="I11" i="21" s="1"/>
  <c r="E9" i="1"/>
  <c r="D16" i="19"/>
  <c r="H12" i="21"/>
  <c r="H20" i="1" s="1"/>
  <c r="D10" i="1"/>
  <c r="H9" i="21"/>
  <c r="H18" i="21" s="1"/>
  <c r="G14" i="21"/>
  <c r="E44" i="21"/>
  <c r="D46" i="21"/>
  <c r="F8" i="1"/>
  <c r="F20" i="30" s="1"/>
  <c r="G33" i="21"/>
  <c r="G19" i="1"/>
  <c r="H45" i="21"/>
  <c r="C10" i="1"/>
  <c r="C6" i="15"/>
  <c r="C4" i="19"/>
  <c r="H19" i="29"/>
  <c r="J19" i="29"/>
  <c r="G20" i="29" s="1"/>
  <c r="F35" i="21"/>
  <c r="F9" i="1" s="1"/>
  <c r="F21" i="30" s="1"/>
  <c r="G36" i="21"/>
  <c r="H34" i="21"/>
  <c r="G7" i="1"/>
  <c r="F8" i="15"/>
  <c r="F6" i="21"/>
  <c r="E13" i="1"/>
  <c r="E25" i="30" s="1"/>
  <c r="E50" i="21"/>
  <c r="D5" i="19"/>
  <c r="C35" i="33" l="1"/>
  <c r="E24" i="10"/>
  <c r="C12" i="20"/>
  <c r="C23" i="33"/>
  <c r="C35" i="15"/>
  <c r="C81" i="30"/>
  <c r="C68" i="1"/>
  <c r="D17" i="19"/>
  <c r="D19" i="19" s="1"/>
  <c r="C34" i="30"/>
  <c r="E16" i="19"/>
  <c r="E21" i="30"/>
  <c r="E22" i="30" s="1"/>
  <c r="H9" i="30"/>
  <c r="G47" i="30"/>
  <c r="G49" i="30"/>
  <c r="G46" i="30"/>
  <c r="G48" i="30"/>
  <c r="H4" i="30"/>
  <c r="G19" i="30"/>
  <c r="H6" i="30"/>
  <c r="G35" i="30"/>
  <c r="G32" i="30"/>
  <c r="G33" i="30"/>
  <c r="H5" i="30"/>
  <c r="G18" i="30"/>
  <c r="G27" i="30"/>
  <c r="J40" i="12"/>
  <c r="L40" i="12" s="1"/>
  <c r="L45" i="12" s="1"/>
  <c r="D51" i="30"/>
  <c r="S26" i="31"/>
  <c r="R29" i="31"/>
  <c r="R37" i="31" s="1"/>
  <c r="R38" i="31" s="1"/>
  <c r="S34" i="31"/>
  <c r="T33" i="31"/>
  <c r="G5" i="1"/>
  <c r="J17" i="10"/>
  <c r="GN8" i="23"/>
  <c r="GO8" i="23" s="1"/>
  <c r="GP8" i="23" s="1"/>
  <c r="GQ8" i="23" s="1"/>
  <c r="GR8" i="23" s="1"/>
  <c r="GS8" i="23" s="1"/>
  <c r="GT8" i="23" s="1"/>
  <c r="GU8" i="23" s="1"/>
  <c r="GV8" i="23" s="1"/>
  <c r="GW8" i="23" s="1"/>
  <c r="GX8" i="23" s="1"/>
  <c r="GY8" i="23" s="1"/>
  <c r="F5" i="1"/>
  <c r="F6" i="33" s="1"/>
  <c r="F11" i="33" s="1"/>
  <c r="F19" i="33" s="1"/>
  <c r="D6" i="19"/>
  <c r="D7" i="19"/>
  <c r="D16" i="1"/>
  <c r="D26" i="1" s="1"/>
  <c r="D28" i="1" s="1"/>
  <c r="C11" i="15"/>
  <c r="G14" i="1"/>
  <c r="G26" i="30" s="1"/>
  <c r="D28" i="30"/>
  <c r="E14" i="1"/>
  <c r="E26" i="30" s="1"/>
  <c r="F23" i="1"/>
  <c r="F15" i="15" s="1"/>
  <c r="C28" i="30"/>
  <c r="C16" i="1"/>
  <c r="C17" i="1" s="1"/>
  <c r="G21" i="1"/>
  <c r="G23" i="1" s="1"/>
  <c r="G15" i="15" s="1"/>
  <c r="G37" i="1"/>
  <c r="G50" i="30" s="1"/>
  <c r="H19" i="21"/>
  <c r="H37" i="1" s="1"/>
  <c r="E37" i="1"/>
  <c r="E50" i="30" s="1"/>
  <c r="E21" i="1"/>
  <c r="C39" i="1"/>
  <c r="G17" i="21"/>
  <c r="F36" i="30"/>
  <c r="K5" i="10"/>
  <c r="J5" i="21"/>
  <c r="J12" i="21" s="1"/>
  <c r="H69" i="1"/>
  <c r="I69" i="1" s="1"/>
  <c r="I12" i="21"/>
  <c r="I20" i="1" s="1"/>
  <c r="F9" i="15"/>
  <c r="I9" i="21"/>
  <c r="I14" i="21" s="1"/>
  <c r="E10" i="1"/>
  <c r="E10" i="15"/>
  <c r="E11" i="15" s="1"/>
  <c r="H14" i="21"/>
  <c r="D22" i="30"/>
  <c r="D37" i="30" s="1"/>
  <c r="D24" i="1"/>
  <c r="F44" i="21"/>
  <c r="E46" i="21"/>
  <c r="H33" i="21"/>
  <c r="G8" i="1"/>
  <c r="G20" i="30" s="1"/>
  <c r="H19" i="1"/>
  <c r="I45" i="21"/>
  <c r="C22" i="30"/>
  <c r="J20" i="29"/>
  <c r="G21" i="29" s="1"/>
  <c r="H20" i="29"/>
  <c r="G35" i="21"/>
  <c r="G9" i="1" s="1"/>
  <c r="G21" i="30" s="1"/>
  <c r="H36" i="21"/>
  <c r="F16" i="19"/>
  <c r="F10" i="15"/>
  <c r="G8" i="15"/>
  <c r="H7" i="1"/>
  <c r="I34" i="21"/>
  <c r="E5" i="19"/>
  <c r="F13" i="1"/>
  <c r="G6" i="21"/>
  <c r="F50" i="21"/>
  <c r="C17" i="20" l="1"/>
  <c r="G6" i="15"/>
  <c r="G6" i="33"/>
  <c r="G11" i="33" s="1"/>
  <c r="G19" i="33" s="1"/>
  <c r="C70" i="1"/>
  <c r="C83" i="30"/>
  <c r="C23" i="15"/>
  <c r="F25" i="30"/>
  <c r="F28" i="30" s="1"/>
  <c r="F17" i="19"/>
  <c r="E17" i="19"/>
  <c r="G17" i="19"/>
  <c r="G17" i="30"/>
  <c r="I9" i="30"/>
  <c r="H46" i="30"/>
  <c r="H47" i="30"/>
  <c r="H48" i="30"/>
  <c r="H49" i="30"/>
  <c r="F10" i="1"/>
  <c r="F24" i="1" s="1"/>
  <c r="F17" i="30"/>
  <c r="H50" i="30"/>
  <c r="E23" i="1"/>
  <c r="E15" i="15" s="1"/>
  <c r="E34" i="30"/>
  <c r="E36" i="30" s="1"/>
  <c r="G34" i="30"/>
  <c r="G36" i="30" s="1"/>
  <c r="I4" i="30"/>
  <c r="H19" i="30"/>
  <c r="I6" i="30"/>
  <c r="H33" i="30"/>
  <c r="H35" i="30"/>
  <c r="H32" i="30"/>
  <c r="I5" i="30"/>
  <c r="H18" i="30"/>
  <c r="L44" i="12"/>
  <c r="L43" i="12"/>
  <c r="C52" i="30"/>
  <c r="E51" i="30"/>
  <c r="D52" i="30"/>
  <c r="D39" i="1"/>
  <c r="D42" i="1" s="1"/>
  <c r="D46" i="1" s="1"/>
  <c r="G4" i="19"/>
  <c r="K5" i="21"/>
  <c r="T34" i="31"/>
  <c r="U33" i="31"/>
  <c r="U34" i="31" s="1"/>
  <c r="S29" i="31"/>
  <c r="S37" i="31" s="1"/>
  <c r="S38" i="31" s="1"/>
  <c r="T26" i="31"/>
  <c r="GZ8" i="23"/>
  <c r="HA8" i="23" s="1"/>
  <c r="HB8" i="23" s="1"/>
  <c r="HC8" i="23" s="1"/>
  <c r="HD8" i="23" s="1"/>
  <c r="HE8" i="23" s="1"/>
  <c r="HF8" i="23" s="1"/>
  <c r="HG8" i="23" s="1"/>
  <c r="HH8" i="23" s="1"/>
  <c r="HI8" i="23" s="1"/>
  <c r="HJ8" i="23" s="1"/>
  <c r="HK8" i="23" s="1"/>
  <c r="HL8" i="23" s="1"/>
  <c r="K17" i="10"/>
  <c r="H5" i="1"/>
  <c r="F4" i="19"/>
  <c r="F6" i="15"/>
  <c r="F11" i="15" s="1"/>
  <c r="E16" i="1"/>
  <c r="E17" i="1" s="1"/>
  <c r="C40" i="1"/>
  <c r="C21" i="19"/>
  <c r="C9" i="19"/>
  <c r="F18" i="19"/>
  <c r="F19" i="19"/>
  <c r="D18" i="19"/>
  <c r="E7" i="19"/>
  <c r="E6" i="19"/>
  <c r="D17" i="1"/>
  <c r="H15" i="1"/>
  <c r="H27" i="30" s="1"/>
  <c r="D14" i="15"/>
  <c r="D39" i="30"/>
  <c r="D41" i="30" s="1"/>
  <c r="D42" i="30" s="1"/>
  <c r="E28" i="30"/>
  <c r="E29" i="30" s="1"/>
  <c r="H14" i="1"/>
  <c r="H26" i="30" s="1"/>
  <c r="C16" i="15"/>
  <c r="H21" i="1"/>
  <c r="H34" i="30" s="1"/>
  <c r="H17" i="21"/>
  <c r="C14" i="15"/>
  <c r="J9" i="21"/>
  <c r="J14" i="21" s="1"/>
  <c r="L5" i="10"/>
  <c r="J11" i="21"/>
  <c r="J20" i="1" s="1"/>
  <c r="H22" i="15"/>
  <c r="G9" i="15"/>
  <c r="I18" i="21"/>
  <c r="D29" i="30"/>
  <c r="G44" i="21"/>
  <c r="F46" i="21"/>
  <c r="K9" i="21"/>
  <c r="K12" i="21"/>
  <c r="K11" i="21"/>
  <c r="G10" i="1"/>
  <c r="G24" i="1" s="1"/>
  <c r="H8" i="1"/>
  <c r="H20" i="30" s="1"/>
  <c r="I33" i="21"/>
  <c r="I19" i="1"/>
  <c r="J45" i="21"/>
  <c r="J69" i="1"/>
  <c r="I22" i="15"/>
  <c r="C29" i="30"/>
  <c r="H21" i="29"/>
  <c r="J21" i="29"/>
  <c r="G22" i="29" s="1"/>
  <c r="H35" i="21"/>
  <c r="H9" i="1" s="1"/>
  <c r="H21" i="30" s="1"/>
  <c r="I36" i="21"/>
  <c r="G10" i="15"/>
  <c r="G16" i="19"/>
  <c r="I7" i="1"/>
  <c r="J34" i="21"/>
  <c r="H8" i="15"/>
  <c r="F16" i="1"/>
  <c r="F5" i="19"/>
  <c r="D29" i="1"/>
  <c r="G13" i="1"/>
  <c r="G25" i="30" s="1"/>
  <c r="G50" i="21"/>
  <c r="H6" i="21"/>
  <c r="H17" i="30" l="1"/>
  <c r="H6" i="33"/>
  <c r="H11" i="33" s="1"/>
  <c r="H19" i="33" s="1"/>
  <c r="H17" i="19"/>
  <c r="L46" i="12"/>
  <c r="C42" i="21"/>
  <c r="E24" i="1"/>
  <c r="J9" i="30"/>
  <c r="I46" i="30"/>
  <c r="I48" i="30"/>
  <c r="I47" i="30"/>
  <c r="I49" i="30"/>
  <c r="J4" i="30"/>
  <c r="I19" i="30"/>
  <c r="J6" i="30"/>
  <c r="I32" i="30"/>
  <c r="I33" i="30"/>
  <c r="I35" i="30"/>
  <c r="J5" i="30"/>
  <c r="I18" i="30"/>
  <c r="C53" i="30"/>
  <c r="F38" i="1"/>
  <c r="F51" i="30" s="1"/>
  <c r="E52" i="30"/>
  <c r="D16" i="15"/>
  <c r="D17" i="15" s="1"/>
  <c r="D19" i="15" s="1"/>
  <c r="D9" i="19"/>
  <c r="D13" i="19" s="1"/>
  <c r="D21" i="19"/>
  <c r="D23" i="19" s="1"/>
  <c r="D40" i="1"/>
  <c r="D53" i="30"/>
  <c r="E39" i="1"/>
  <c r="H4" i="19"/>
  <c r="H6" i="15"/>
  <c r="T29" i="31"/>
  <c r="T37" i="31" s="1"/>
  <c r="T38" i="31" s="1"/>
  <c r="U26" i="31"/>
  <c r="U29" i="31" s="1"/>
  <c r="U37" i="31" s="1"/>
  <c r="U38" i="31" s="1"/>
  <c r="HM8" i="23"/>
  <c r="HN8" i="23" s="1"/>
  <c r="HO8" i="23" s="1"/>
  <c r="HP8" i="23" s="1"/>
  <c r="HQ8" i="23" s="1"/>
  <c r="HR8" i="23" s="1"/>
  <c r="HS8" i="23" s="1"/>
  <c r="HT8" i="23" s="1"/>
  <c r="HU8" i="23" s="1"/>
  <c r="HV8" i="23" s="1"/>
  <c r="HW8" i="23" s="1"/>
  <c r="F22" i="30"/>
  <c r="L17" i="10"/>
  <c r="E14" i="15"/>
  <c r="E26" i="1"/>
  <c r="E28" i="1" s="1"/>
  <c r="D26" i="19"/>
  <c r="G19" i="19"/>
  <c r="G18" i="19"/>
  <c r="E18" i="19"/>
  <c r="E19" i="19"/>
  <c r="F7" i="19"/>
  <c r="F6" i="19"/>
  <c r="H23" i="1"/>
  <c r="H15" i="15" s="1"/>
  <c r="E39" i="30"/>
  <c r="E41" i="30" s="1"/>
  <c r="E42" i="30" s="1"/>
  <c r="E37" i="30"/>
  <c r="I19" i="21"/>
  <c r="I37" i="1" s="1"/>
  <c r="I50" i="30" s="1"/>
  <c r="I17" i="21"/>
  <c r="J18" i="21"/>
  <c r="H36" i="30"/>
  <c r="M5" i="10"/>
  <c r="G11" i="15"/>
  <c r="H9" i="15"/>
  <c r="D55" i="30"/>
  <c r="D58" i="30" s="1"/>
  <c r="H44" i="21"/>
  <c r="G46" i="21"/>
  <c r="K14" i="21"/>
  <c r="K18" i="21"/>
  <c r="K20" i="1"/>
  <c r="J33" i="21"/>
  <c r="I8" i="1"/>
  <c r="I20" i="30" s="1"/>
  <c r="K19" i="1"/>
  <c r="J19" i="1"/>
  <c r="K45" i="21"/>
  <c r="L45" i="21" s="1"/>
  <c r="J22" i="15"/>
  <c r="K69" i="1"/>
  <c r="H22" i="29"/>
  <c r="J22" i="29"/>
  <c r="G23" i="29" s="1"/>
  <c r="I35" i="21"/>
  <c r="I9" i="1" s="1"/>
  <c r="I21" i="30" s="1"/>
  <c r="J36" i="21"/>
  <c r="H10" i="15"/>
  <c r="H16" i="19"/>
  <c r="G22" i="30"/>
  <c r="H10" i="1"/>
  <c r="J7" i="1"/>
  <c r="K34" i="21"/>
  <c r="K7" i="1" s="1"/>
  <c r="I8" i="15"/>
  <c r="F39" i="30"/>
  <c r="H13" i="1"/>
  <c r="H25" i="30" s="1"/>
  <c r="H50" i="21"/>
  <c r="I6" i="21"/>
  <c r="F14" i="15"/>
  <c r="F26" i="1"/>
  <c r="F28" i="1" s="1"/>
  <c r="F17" i="1"/>
  <c r="G28" i="30"/>
  <c r="G16" i="1"/>
  <c r="G5" i="19"/>
  <c r="D43" i="1"/>
  <c r="F26" i="19"/>
  <c r="C44" i="21" l="1"/>
  <c r="C46" i="21" s="1"/>
  <c r="C19" i="1"/>
  <c r="M45" i="21"/>
  <c r="M21" i="1" s="1"/>
  <c r="L21" i="1"/>
  <c r="K22" i="15"/>
  <c r="L69" i="1"/>
  <c r="K9" i="30"/>
  <c r="J48" i="30"/>
  <c r="J49" i="30"/>
  <c r="J46" i="30"/>
  <c r="J47" i="30"/>
  <c r="E42" i="1"/>
  <c r="K4" i="30"/>
  <c r="J19" i="30"/>
  <c r="K6" i="30"/>
  <c r="J32" i="30"/>
  <c r="J35" i="30"/>
  <c r="J33" i="30"/>
  <c r="K5" i="30"/>
  <c r="J18" i="30"/>
  <c r="D27" i="19"/>
  <c r="E53" i="30"/>
  <c r="D11" i="19"/>
  <c r="D10" i="19"/>
  <c r="G38" i="1"/>
  <c r="G51" i="30" s="1"/>
  <c r="F52" i="30"/>
  <c r="F39" i="1"/>
  <c r="E16" i="15"/>
  <c r="E17" i="15" s="1"/>
  <c r="E19" i="15" s="1"/>
  <c r="E9" i="19"/>
  <c r="E13" i="19" s="1"/>
  <c r="E21" i="19"/>
  <c r="E23" i="19" s="1"/>
  <c r="E40" i="1"/>
  <c r="D22" i="19"/>
  <c r="F29" i="30"/>
  <c r="M17" i="10"/>
  <c r="F41" i="30"/>
  <c r="F37" i="30"/>
  <c r="E26" i="19"/>
  <c r="HX8" i="23"/>
  <c r="HY8" i="23" s="1"/>
  <c r="HZ8" i="23" s="1"/>
  <c r="IA8" i="23" s="1"/>
  <c r="IB8" i="23" s="1"/>
  <c r="IC8" i="23" s="1"/>
  <c r="ID8" i="23" s="1"/>
  <c r="IE8" i="23" s="1"/>
  <c r="IF8" i="23" s="1"/>
  <c r="IG8" i="23" s="1"/>
  <c r="IH8" i="23" s="1"/>
  <c r="II8" i="23" s="1"/>
  <c r="I5" i="1"/>
  <c r="I6" i="33" s="1"/>
  <c r="I11" i="33" s="1"/>
  <c r="I19" i="33" s="1"/>
  <c r="E29" i="1"/>
  <c r="H24" i="1"/>
  <c r="E55" i="30"/>
  <c r="H19" i="19"/>
  <c r="H18" i="19"/>
  <c r="G7" i="19"/>
  <c r="G6" i="19"/>
  <c r="I15" i="1"/>
  <c r="I27" i="30" s="1"/>
  <c r="I14" i="1"/>
  <c r="I26" i="30" s="1"/>
  <c r="I21" i="1"/>
  <c r="I17" i="19" s="1"/>
  <c r="J19" i="21"/>
  <c r="J37" i="1" s="1"/>
  <c r="J50" i="30" s="1"/>
  <c r="J17" i="21"/>
  <c r="K19" i="21"/>
  <c r="K37" i="1" s="1"/>
  <c r="K17" i="21"/>
  <c r="N5" i="10"/>
  <c r="H22" i="30"/>
  <c r="H11" i="15"/>
  <c r="I9" i="15"/>
  <c r="D56" i="30"/>
  <c r="D7" i="30" s="1"/>
  <c r="D8" i="30" s="1"/>
  <c r="I44" i="21"/>
  <c r="H46" i="21"/>
  <c r="J8" i="1"/>
  <c r="J20" i="30" s="1"/>
  <c r="K33" i="21"/>
  <c r="K8" i="1" s="1"/>
  <c r="K9" i="15" s="1"/>
  <c r="H23" i="29"/>
  <c r="J23" i="29"/>
  <c r="G24" i="29" s="1"/>
  <c r="J35" i="21"/>
  <c r="J9" i="1" s="1"/>
  <c r="J21" i="30" s="1"/>
  <c r="K36" i="21"/>
  <c r="G37" i="30"/>
  <c r="I16" i="19"/>
  <c r="I10" i="15"/>
  <c r="K8" i="15"/>
  <c r="J8" i="15"/>
  <c r="G26" i="19"/>
  <c r="J6" i="21"/>
  <c r="I50" i="21"/>
  <c r="I13" i="1"/>
  <c r="I25" i="30" s="1"/>
  <c r="G14" i="15"/>
  <c r="G17" i="1"/>
  <c r="G26" i="1"/>
  <c r="G28" i="1" s="1"/>
  <c r="G39" i="30"/>
  <c r="G41" i="30" s="1"/>
  <c r="G29" i="30"/>
  <c r="F29" i="1"/>
  <c r="H16" i="1"/>
  <c r="H5" i="19"/>
  <c r="H28" i="30"/>
  <c r="E43" i="1" l="1"/>
  <c r="E46" i="1"/>
  <c r="M23" i="1"/>
  <c r="M26" i="1" s="1"/>
  <c r="M17" i="19"/>
  <c r="C17" i="19"/>
  <c r="C5" i="19"/>
  <c r="C13" i="19" s="1"/>
  <c r="L23" i="1"/>
  <c r="L26" i="1" s="1"/>
  <c r="L17" i="19"/>
  <c r="C32" i="30"/>
  <c r="C36" i="30" s="1"/>
  <c r="C23" i="1"/>
  <c r="K35" i="21"/>
  <c r="K9" i="1" s="1"/>
  <c r="K21" i="30" s="1"/>
  <c r="L36" i="21"/>
  <c r="L15" i="15"/>
  <c r="K50" i="30"/>
  <c r="L22" i="15"/>
  <c r="M69" i="1"/>
  <c r="M22" i="15" s="1"/>
  <c r="I23" i="1"/>
  <c r="I15" i="15" s="1"/>
  <c r="I34" i="30"/>
  <c r="I36" i="30" s="1"/>
  <c r="I10" i="1"/>
  <c r="I17" i="30"/>
  <c r="L9" i="30"/>
  <c r="K47" i="30"/>
  <c r="K49" i="30"/>
  <c r="K48" i="30"/>
  <c r="K46" i="30"/>
  <c r="L4" i="30"/>
  <c r="K19" i="30"/>
  <c r="L6" i="30"/>
  <c r="K33" i="30"/>
  <c r="K32" i="30"/>
  <c r="K35" i="30"/>
  <c r="L5" i="30"/>
  <c r="K18" i="30"/>
  <c r="K20" i="30"/>
  <c r="E56" i="30"/>
  <c r="E7" i="30" s="1"/>
  <c r="E58" i="30"/>
  <c r="E27" i="19"/>
  <c r="F55" i="30"/>
  <c r="F53" i="30"/>
  <c r="E22" i="19"/>
  <c r="F9" i="19"/>
  <c r="F13" i="19" s="1"/>
  <c r="F21" i="19"/>
  <c r="F16" i="15"/>
  <c r="F17" i="15" s="1"/>
  <c r="F19" i="15" s="1"/>
  <c r="F40" i="1"/>
  <c r="H38" i="1"/>
  <c r="H51" i="30" s="1"/>
  <c r="G52" i="30"/>
  <c r="G39" i="1"/>
  <c r="G42" i="1" s="1"/>
  <c r="G46" i="1" s="1"/>
  <c r="F42" i="1"/>
  <c r="E11" i="19"/>
  <c r="E10" i="19"/>
  <c r="F42" i="30"/>
  <c r="I6" i="15"/>
  <c r="I11" i="15" s="1"/>
  <c r="I4" i="19"/>
  <c r="IJ8" i="23"/>
  <c r="IK8" i="23" s="1"/>
  <c r="IL8" i="23" s="1"/>
  <c r="IM8" i="23" s="1"/>
  <c r="IN8" i="23" s="1"/>
  <c r="IO8" i="23" s="1"/>
  <c r="IP8" i="23" s="1"/>
  <c r="IQ8" i="23" s="1"/>
  <c r="IR8" i="23" s="1"/>
  <c r="IS8" i="23" s="1"/>
  <c r="IT8" i="23" s="1"/>
  <c r="IU8" i="23" s="1"/>
  <c r="J5" i="1"/>
  <c r="N17" i="10"/>
  <c r="K15" i="1"/>
  <c r="K27" i="30" s="1"/>
  <c r="H7" i="19"/>
  <c r="H6" i="19"/>
  <c r="J21" i="1"/>
  <c r="J14" i="1"/>
  <c r="J26" i="30" s="1"/>
  <c r="J15" i="1"/>
  <c r="J27" i="30" s="1"/>
  <c r="K21" i="1"/>
  <c r="K14" i="1"/>
  <c r="K26" i="30" s="1"/>
  <c r="H37" i="30"/>
  <c r="O5" i="10"/>
  <c r="J9" i="15"/>
  <c r="J44" i="21"/>
  <c r="I46" i="21"/>
  <c r="J24" i="29"/>
  <c r="G25" i="29" s="1"/>
  <c r="H24" i="29"/>
  <c r="J16" i="19"/>
  <c r="J10" i="15"/>
  <c r="H14" i="15"/>
  <c r="H26" i="1"/>
  <c r="H28" i="1" s="1"/>
  <c r="H17" i="1"/>
  <c r="G42" i="30"/>
  <c r="H39" i="30"/>
  <c r="H41" i="30" s="1"/>
  <c r="H29" i="30"/>
  <c r="I28" i="30"/>
  <c r="I5" i="19"/>
  <c r="I16" i="1"/>
  <c r="H26" i="19"/>
  <c r="G29" i="1"/>
  <c r="J13" i="1"/>
  <c r="J25" i="30" s="1"/>
  <c r="K6" i="21"/>
  <c r="J50" i="21"/>
  <c r="J17" i="30" l="1"/>
  <c r="J6" i="33"/>
  <c r="J11" i="33" s="1"/>
  <c r="J19" i="33" s="1"/>
  <c r="E8" i="30"/>
  <c r="F43" i="1"/>
  <c r="F46" i="1"/>
  <c r="J17" i="19"/>
  <c r="M15" i="15"/>
  <c r="K34" i="30"/>
  <c r="K36" i="30" s="1"/>
  <c r="K17" i="19"/>
  <c r="C15" i="15"/>
  <c r="C17" i="15" s="1"/>
  <c r="C19" i="15" s="1"/>
  <c r="C26" i="1"/>
  <c r="C28" i="1" s="1"/>
  <c r="C24" i="1"/>
  <c r="C19" i="19"/>
  <c r="C18" i="19"/>
  <c r="C23" i="19"/>
  <c r="C7" i="19"/>
  <c r="C6" i="19"/>
  <c r="C10" i="19" s="1"/>
  <c r="C11" i="19"/>
  <c r="C39" i="30"/>
  <c r="C41" i="30" s="1"/>
  <c r="C37" i="30"/>
  <c r="K10" i="15"/>
  <c r="K16" i="19"/>
  <c r="M36" i="21"/>
  <c r="M35" i="21" s="1"/>
  <c r="M9" i="1" s="1"/>
  <c r="M16" i="19" s="1"/>
  <c r="L35" i="21"/>
  <c r="L9" i="1" s="1"/>
  <c r="M9" i="30"/>
  <c r="L49" i="30"/>
  <c r="L47" i="30"/>
  <c r="L48" i="30"/>
  <c r="L46" i="30"/>
  <c r="L50" i="30"/>
  <c r="I24" i="1"/>
  <c r="J34" i="30"/>
  <c r="J36" i="30" s="1"/>
  <c r="M4" i="30"/>
  <c r="L19" i="30"/>
  <c r="L17" i="30"/>
  <c r="M6" i="30"/>
  <c r="L33" i="30"/>
  <c r="L35" i="30"/>
  <c r="L34" i="30"/>
  <c r="L32" i="30"/>
  <c r="M5" i="30"/>
  <c r="L26" i="30"/>
  <c r="L20" i="30"/>
  <c r="L27" i="30"/>
  <c r="L18" i="30"/>
  <c r="L25" i="30"/>
  <c r="F56" i="30"/>
  <c r="F7" i="30" s="1"/>
  <c r="F8" i="30" s="1"/>
  <c r="F58" i="30"/>
  <c r="G53" i="30"/>
  <c r="F23" i="19"/>
  <c r="F22" i="19"/>
  <c r="F27" i="19"/>
  <c r="I38" i="1"/>
  <c r="I51" i="30" s="1"/>
  <c r="H39" i="1"/>
  <c r="H52" i="30"/>
  <c r="H55" i="30" s="1"/>
  <c r="H58" i="30" s="1"/>
  <c r="F11" i="19"/>
  <c r="F10" i="19"/>
  <c r="G55" i="30"/>
  <c r="G9" i="19"/>
  <c r="G13" i="19" s="1"/>
  <c r="G16" i="15"/>
  <c r="G17" i="15" s="1"/>
  <c r="G19" i="15" s="1"/>
  <c r="G21" i="19"/>
  <c r="G40" i="1"/>
  <c r="J23" i="1"/>
  <c r="J15" i="15" s="1"/>
  <c r="I22" i="30"/>
  <c r="J6" i="15"/>
  <c r="J11" i="15" s="1"/>
  <c r="J4" i="19"/>
  <c r="K5" i="1"/>
  <c r="J10" i="1"/>
  <c r="O17" i="10"/>
  <c r="I19" i="19"/>
  <c r="I18" i="19"/>
  <c r="I7" i="19"/>
  <c r="I6" i="19"/>
  <c r="K23" i="1"/>
  <c r="K15" i="15" s="1"/>
  <c r="K18" i="19"/>
  <c r="P5" i="10"/>
  <c r="K44" i="21"/>
  <c r="J46" i="21"/>
  <c r="H25" i="29"/>
  <c r="J25" i="29"/>
  <c r="G26" i="29" s="1"/>
  <c r="G43" i="1"/>
  <c r="J16" i="1"/>
  <c r="J28" i="30"/>
  <c r="J5" i="19"/>
  <c r="I26" i="1"/>
  <c r="I28" i="1" s="1"/>
  <c r="I17" i="1"/>
  <c r="I14" i="15"/>
  <c r="H29" i="1"/>
  <c r="H42" i="30"/>
  <c r="K13" i="1"/>
  <c r="K25" i="30" s="1"/>
  <c r="K50" i="21"/>
  <c r="I39" i="30"/>
  <c r="K17" i="30" l="1"/>
  <c r="K6" i="33"/>
  <c r="K11" i="33" s="1"/>
  <c r="K19" i="33" s="1"/>
  <c r="L21" i="30"/>
  <c r="L22" i="30" s="1"/>
  <c r="L16" i="19"/>
  <c r="M19" i="19"/>
  <c r="M18" i="19"/>
  <c r="M26" i="19" s="1"/>
  <c r="C42" i="30"/>
  <c r="C55" i="30"/>
  <c r="C42" i="1"/>
  <c r="C29" i="1"/>
  <c r="C26" i="19"/>
  <c r="C27" i="19"/>
  <c r="C22" i="19"/>
  <c r="M10" i="1"/>
  <c r="M10" i="15"/>
  <c r="M11" i="15" s="1"/>
  <c r="L10" i="15"/>
  <c r="L11" i="15" s="1"/>
  <c r="L10" i="1"/>
  <c r="K46" i="21"/>
  <c r="L44" i="21"/>
  <c r="M46" i="30"/>
  <c r="M48" i="30"/>
  <c r="M49" i="30"/>
  <c r="M47" i="30"/>
  <c r="M50" i="30"/>
  <c r="M19" i="30"/>
  <c r="M21" i="30"/>
  <c r="M17" i="30"/>
  <c r="M32" i="30"/>
  <c r="M33" i="30"/>
  <c r="M35" i="30"/>
  <c r="M34" i="30"/>
  <c r="L28" i="30"/>
  <c r="M18" i="30"/>
  <c r="M20" i="30"/>
  <c r="M25" i="30"/>
  <c r="M27" i="30"/>
  <c r="M26" i="30"/>
  <c r="G56" i="30"/>
  <c r="G7" i="30" s="1"/>
  <c r="G8" i="30" s="1"/>
  <c r="G58" i="30"/>
  <c r="L36" i="30"/>
  <c r="H9" i="19"/>
  <c r="H13" i="19" s="1"/>
  <c r="H16" i="15"/>
  <c r="H17" i="15" s="1"/>
  <c r="H19" i="15" s="1"/>
  <c r="H21" i="19"/>
  <c r="H40" i="1"/>
  <c r="G23" i="19"/>
  <c r="G22" i="19"/>
  <c r="G27" i="19"/>
  <c r="J38" i="1"/>
  <c r="J51" i="30" s="1"/>
  <c r="I52" i="30"/>
  <c r="I39" i="1"/>
  <c r="I42" i="1" s="1"/>
  <c r="I46" i="1" s="1"/>
  <c r="H42" i="1"/>
  <c r="H46" i="1" s="1"/>
  <c r="G11" i="19"/>
  <c r="G10" i="19"/>
  <c r="H53" i="30"/>
  <c r="I37" i="30"/>
  <c r="I29" i="30"/>
  <c r="J24" i="1"/>
  <c r="I41" i="30"/>
  <c r="J22" i="30"/>
  <c r="J37" i="30" s="1"/>
  <c r="P17" i="10"/>
  <c r="K6" i="15"/>
  <c r="K11" i="15" s="1"/>
  <c r="K4" i="19"/>
  <c r="K10" i="1"/>
  <c r="I26" i="19"/>
  <c r="K19" i="19"/>
  <c r="J19" i="19"/>
  <c r="J18" i="19"/>
  <c r="J7" i="19"/>
  <c r="J6" i="19"/>
  <c r="Q5" i="10"/>
  <c r="C47" i="1"/>
  <c r="J26" i="29"/>
  <c r="G27" i="29" s="1"/>
  <c r="H26" i="29"/>
  <c r="K28" i="30"/>
  <c r="K16" i="1"/>
  <c r="K5" i="19"/>
  <c r="J14" i="15"/>
  <c r="J26" i="1"/>
  <c r="J28" i="1" s="1"/>
  <c r="J17" i="1"/>
  <c r="H56" i="30"/>
  <c r="H7" i="30" s="1"/>
  <c r="I29" i="1"/>
  <c r="J39" i="30"/>
  <c r="L19" i="19" l="1"/>
  <c r="L18" i="19"/>
  <c r="L26" i="19" s="1"/>
  <c r="C46" i="1"/>
  <c r="C48" i="1" s="1"/>
  <c r="C43" i="1"/>
  <c r="C58" i="30"/>
  <c r="C56" i="30"/>
  <c r="C7" i="30" s="1"/>
  <c r="L29" i="30"/>
  <c r="L17" i="1"/>
  <c r="L24" i="1"/>
  <c r="L28" i="1"/>
  <c r="L29" i="1" s="1"/>
  <c r="M17" i="1"/>
  <c r="M24" i="1"/>
  <c r="M28" i="1"/>
  <c r="M29" i="1" s="1"/>
  <c r="M44" i="21"/>
  <c r="M46" i="21" s="1"/>
  <c r="L46" i="21"/>
  <c r="M36" i="30"/>
  <c r="C59" i="30"/>
  <c r="C61" i="1"/>
  <c r="C66" i="1" s="1"/>
  <c r="M28" i="30"/>
  <c r="M22" i="30"/>
  <c r="L37" i="30"/>
  <c r="L39" i="30"/>
  <c r="L41" i="30" s="1"/>
  <c r="J29" i="30"/>
  <c r="H43" i="1"/>
  <c r="H8" i="30" s="1"/>
  <c r="K38" i="1"/>
  <c r="J52" i="30"/>
  <c r="J39" i="1"/>
  <c r="H11" i="19"/>
  <c r="H10" i="19"/>
  <c r="I55" i="30"/>
  <c r="I53" i="30"/>
  <c r="I9" i="19"/>
  <c r="I13" i="19" s="1"/>
  <c r="I21" i="19"/>
  <c r="I16" i="15"/>
  <c r="I17" i="15" s="1"/>
  <c r="I19" i="15" s="1"/>
  <c r="I40" i="1"/>
  <c r="H23" i="19"/>
  <c r="H22" i="19"/>
  <c r="H27" i="19"/>
  <c r="J41" i="30"/>
  <c r="J42" i="30" s="1"/>
  <c r="I42" i="30"/>
  <c r="K22" i="30"/>
  <c r="K29" i="30" s="1"/>
  <c r="Q17" i="10"/>
  <c r="K24" i="1"/>
  <c r="J26" i="19"/>
  <c r="K6" i="19"/>
  <c r="C58" i="1"/>
  <c r="H27" i="29"/>
  <c r="J27" i="29"/>
  <c r="G28" i="29" s="1"/>
  <c r="K14" i="15"/>
  <c r="K26" i="1"/>
  <c r="K28" i="1" s="1"/>
  <c r="K17" i="1"/>
  <c r="I43" i="1"/>
  <c r="K39" i="30"/>
  <c r="J29" i="1"/>
  <c r="K26" i="19"/>
  <c r="C36" i="15" l="1"/>
  <c r="C36" i="33"/>
  <c r="C8" i="30"/>
  <c r="C74" i="30"/>
  <c r="C79" i="30" s="1"/>
  <c r="C71" i="30"/>
  <c r="C60" i="30"/>
  <c r="L38" i="1"/>
  <c r="L51" i="30" s="1"/>
  <c r="L52" i="30" s="1"/>
  <c r="L53" i="30" s="1"/>
  <c r="K51" i="30"/>
  <c r="K52" i="30" s="1"/>
  <c r="M29" i="30"/>
  <c r="M39" i="30"/>
  <c r="M41" i="30" s="1"/>
  <c r="M37" i="30"/>
  <c r="I56" i="30"/>
  <c r="I7" i="30" s="1"/>
  <c r="I8" i="30" s="1"/>
  <c r="I58" i="30"/>
  <c r="J53" i="30"/>
  <c r="C49" i="1"/>
  <c r="C21" i="33" s="1"/>
  <c r="C24" i="33" s="1"/>
  <c r="L42" i="30"/>
  <c r="J55" i="30"/>
  <c r="I11" i="19"/>
  <c r="I10" i="19"/>
  <c r="J21" i="19"/>
  <c r="J16" i="15"/>
  <c r="J17" i="15" s="1"/>
  <c r="J19" i="15" s="1"/>
  <c r="J9" i="19"/>
  <c r="J13" i="19" s="1"/>
  <c r="J40" i="1"/>
  <c r="J42" i="1"/>
  <c r="K39" i="1"/>
  <c r="K42" i="1" s="1"/>
  <c r="K46" i="1" s="1"/>
  <c r="I23" i="19"/>
  <c r="I22" i="19"/>
  <c r="I27" i="19"/>
  <c r="K37" i="30"/>
  <c r="K41" i="30"/>
  <c r="K7" i="19"/>
  <c r="J28" i="29"/>
  <c r="G29" i="29" s="1"/>
  <c r="H28" i="29"/>
  <c r="K29" i="1"/>
  <c r="C27" i="33" l="1"/>
  <c r="C33" i="33"/>
  <c r="C37" i="33" s="1"/>
  <c r="J43" i="1"/>
  <c r="J46" i="1"/>
  <c r="L39" i="1"/>
  <c r="L40" i="1" s="1"/>
  <c r="M38" i="1"/>
  <c r="M51" i="30" s="1"/>
  <c r="M52" i="30" s="1"/>
  <c r="M53" i="30" s="1"/>
  <c r="L55" i="30"/>
  <c r="L58" i="30" s="1"/>
  <c r="C21" i="15"/>
  <c r="C24" i="15" s="1"/>
  <c r="C33" i="15" s="1"/>
  <c r="C37" i="15" s="1"/>
  <c r="C61" i="30"/>
  <c r="C62" i="30" s="1"/>
  <c r="M39" i="1"/>
  <c r="M42" i="30"/>
  <c r="J56" i="30"/>
  <c r="J7" i="30" s="1"/>
  <c r="J8" i="30" s="1"/>
  <c r="J58" i="30"/>
  <c r="C50" i="1"/>
  <c r="L56" i="30"/>
  <c r="L7" i="30" s="1"/>
  <c r="K53" i="30"/>
  <c r="J11" i="19"/>
  <c r="J10" i="19"/>
  <c r="K21" i="19"/>
  <c r="K9" i="19"/>
  <c r="K13" i="19" s="1"/>
  <c r="K16" i="15"/>
  <c r="K17" i="15" s="1"/>
  <c r="K19" i="15" s="1"/>
  <c r="K40" i="1"/>
  <c r="J23" i="19"/>
  <c r="J27" i="19"/>
  <c r="J22" i="19"/>
  <c r="K55" i="30"/>
  <c r="K58" i="30" s="1"/>
  <c r="K42" i="30"/>
  <c r="H29" i="29"/>
  <c r="I29" i="29" s="1"/>
  <c r="K43" i="1"/>
  <c r="M16" i="15" l="1"/>
  <c r="M17" i="15" s="1"/>
  <c r="M19" i="15" s="1"/>
  <c r="M9" i="19"/>
  <c r="M21" i="19"/>
  <c r="L16" i="15"/>
  <c r="L17" i="15" s="1"/>
  <c r="L19" i="15" s="1"/>
  <c r="L9" i="19"/>
  <c r="L21" i="19"/>
  <c r="L42" i="1"/>
  <c r="L46" i="1" s="1"/>
  <c r="C27" i="15"/>
  <c r="M42" i="1"/>
  <c r="M40" i="1"/>
  <c r="M55" i="30"/>
  <c r="M58" i="30" s="1"/>
  <c r="C64" i="30"/>
  <c r="C65" i="30"/>
  <c r="C10" i="30" s="1"/>
  <c r="C69" i="30"/>
  <c r="C72" i="30" s="1"/>
  <c r="M56" i="30"/>
  <c r="M7" i="30" s="1"/>
  <c r="C52" i="1"/>
  <c r="C56" i="1"/>
  <c r="C59" i="1" s="1"/>
  <c r="C53" i="1"/>
  <c r="L43" i="1"/>
  <c r="L8" i="30" s="1"/>
  <c r="J29" i="29"/>
  <c r="G30" i="29" s="1"/>
  <c r="H30" i="29" s="1"/>
  <c r="K56" i="30"/>
  <c r="K7" i="30" s="1"/>
  <c r="K8" i="30" s="1"/>
  <c r="K11" i="19"/>
  <c r="K10" i="19"/>
  <c r="K23" i="19"/>
  <c r="K22" i="19"/>
  <c r="K27" i="19"/>
  <c r="M43" i="1" l="1"/>
  <c r="M46" i="1"/>
  <c r="M23" i="19"/>
  <c r="M27" i="19"/>
  <c r="M22" i="19"/>
  <c r="L23" i="19"/>
  <c r="L22" i="19"/>
  <c r="L27" i="19"/>
  <c r="M13" i="19"/>
  <c r="M10" i="19"/>
  <c r="M11" i="19"/>
  <c r="L13" i="19"/>
  <c r="L10" i="19"/>
  <c r="L11" i="19"/>
  <c r="C78" i="30"/>
  <c r="C76" i="30"/>
  <c r="C12" i="30" s="1"/>
  <c r="M8" i="30"/>
  <c r="C11" i="30"/>
  <c r="C65" i="1"/>
  <c r="C63" i="1"/>
  <c r="I30" i="29"/>
  <c r="C71" i="1" l="1"/>
  <c r="C73" i="1" s="1"/>
  <c r="C84" i="30"/>
  <c r="C86" i="30" s="1"/>
  <c r="J30" i="29"/>
  <c r="G31" i="29" s="1"/>
  <c r="H31" i="29" s="1"/>
  <c r="I31" i="29" l="1"/>
  <c r="J31" i="29" l="1"/>
  <c r="G32" i="29" s="1"/>
  <c r="H32" i="29" s="1"/>
  <c r="I32" i="29" l="1"/>
  <c r="J32" i="29" l="1"/>
  <c r="G33" i="29" s="1"/>
  <c r="H33" i="29" s="1"/>
  <c r="I33" i="29" s="1"/>
  <c r="J33" i="29" s="1"/>
  <c r="G34" i="29" s="1"/>
  <c r="H34" i="29" l="1"/>
  <c r="I34" i="29" s="1"/>
  <c r="J34" i="29" s="1"/>
  <c r="G35" i="29" s="1"/>
  <c r="H35" i="29" l="1"/>
  <c r="I35" i="29" s="1"/>
  <c r="J35" i="29" s="1"/>
  <c r="G36" i="29" s="1"/>
  <c r="H36" i="29" l="1"/>
  <c r="I36" i="29" s="1"/>
  <c r="J36" i="29" s="1"/>
  <c r="G37" i="29" s="1"/>
  <c r="H37" i="29" l="1"/>
  <c r="I37" i="29" l="1"/>
  <c r="J37" i="29" s="1"/>
  <c r="G38" i="29" s="1"/>
  <c r="D47" i="1"/>
  <c r="D59" i="30" l="1"/>
  <c r="D61" i="1"/>
  <c r="D66" i="1" s="1"/>
  <c r="D58" i="1"/>
  <c r="D48" i="1"/>
  <c r="H38" i="29"/>
  <c r="D36" i="15" l="1"/>
  <c r="D36" i="33"/>
  <c r="D74" i="30"/>
  <c r="D79" i="30" s="1"/>
  <c r="D71" i="30"/>
  <c r="D60" i="30"/>
  <c r="D49" i="1"/>
  <c r="D21" i="33" s="1"/>
  <c r="D24" i="33" s="1"/>
  <c r="I38" i="29"/>
  <c r="J38" i="29" s="1"/>
  <c r="G39" i="29" s="1"/>
  <c r="D33" i="33" l="1"/>
  <c r="D27" i="33"/>
  <c r="D21" i="15"/>
  <c r="D24" i="15" s="1"/>
  <c r="D61" i="30"/>
  <c r="D62" i="30" s="1"/>
  <c r="D50" i="1"/>
  <c r="H39" i="29"/>
  <c r="D37" i="33" l="1"/>
  <c r="D39" i="33"/>
  <c r="D65" i="30"/>
  <c r="D64" i="30"/>
  <c r="D69" i="30"/>
  <c r="D72" i="30" s="1"/>
  <c r="D52" i="1"/>
  <c r="D56" i="1"/>
  <c r="D59" i="1" s="1"/>
  <c r="D53" i="1"/>
  <c r="D27" i="15"/>
  <c r="D33" i="15"/>
  <c r="I39" i="29"/>
  <c r="J39" i="29" s="1"/>
  <c r="G40" i="29" s="1"/>
  <c r="D10" i="30" l="1"/>
  <c r="D11" i="30" s="1"/>
  <c r="D78" i="30"/>
  <c r="D84" i="30" s="1"/>
  <c r="D86" i="30" s="1"/>
  <c r="D76" i="30"/>
  <c r="D12" i="30" s="1"/>
  <c r="D65" i="1"/>
  <c r="D71" i="1" s="1"/>
  <c r="D73" i="1" s="1"/>
  <c r="D63" i="1"/>
  <c r="D37" i="15"/>
  <c r="D39" i="15"/>
  <c r="H40" i="29"/>
  <c r="I40" i="29" l="1"/>
  <c r="J40" i="29" l="1"/>
  <c r="G41" i="29" s="1"/>
  <c r="H41" i="29" s="1"/>
  <c r="E51" i="1"/>
  <c r="E63" i="30" l="1"/>
  <c r="E70" i="30" s="1"/>
  <c r="E57" i="1"/>
  <c r="I41" i="29"/>
  <c r="J41" i="29" l="1"/>
  <c r="G42" i="29" s="1"/>
  <c r="H42" i="29" s="1"/>
  <c r="I42" i="29" l="1"/>
  <c r="J42" i="29" l="1"/>
  <c r="G43" i="29" s="1"/>
  <c r="H43" i="29" s="1"/>
  <c r="I43" i="29" s="1"/>
  <c r="J43" i="29" s="1"/>
  <c r="G44" i="29" s="1"/>
  <c r="H44" i="29" l="1"/>
  <c r="I44" i="29" s="1"/>
  <c r="J44" i="29" s="1"/>
  <c r="G45" i="29" s="1"/>
  <c r="H45" i="29" l="1"/>
  <c r="I45" i="29" s="1"/>
  <c r="J45" i="29" s="1"/>
  <c r="G46" i="29" s="1"/>
  <c r="H46" i="29" l="1"/>
  <c r="I46" i="29" s="1"/>
  <c r="J46" i="29" s="1"/>
  <c r="G47" i="29" s="1"/>
  <c r="H47" i="29" l="1"/>
  <c r="I47" i="29" s="1"/>
  <c r="J47" i="29" s="1"/>
  <c r="G48" i="29" s="1"/>
  <c r="H48" i="29" l="1"/>
  <c r="I48" i="29" s="1"/>
  <c r="J48" i="29" s="1"/>
  <c r="G49" i="29" s="1"/>
  <c r="H49" i="29" l="1"/>
  <c r="I49" i="29" l="1"/>
  <c r="J49" i="29" s="1"/>
  <c r="G50" i="29" s="1"/>
  <c r="E47" i="1"/>
  <c r="E59" i="30" l="1"/>
  <c r="E61" i="1"/>
  <c r="E66" i="1" s="1"/>
  <c r="E58" i="1"/>
  <c r="E48" i="1"/>
  <c r="H50" i="29"/>
  <c r="E36" i="15" l="1"/>
  <c r="E36" i="33"/>
  <c r="E74" i="30"/>
  <c r="E79" i="30" s="1"/>
  <c r="E71" i="30"/>
  <c r="E60" i="30"/>
  <c r="E49" i="1"/>
  <c r="E21" i="33" s="1"/>
  <c r="E24" i="33" s="1"/>
  <c r="I50" i="29"/>
  <c r="J50" i="29" s="1"/>
  <c r="G51" i="29" s="1"/>
  <c r="E33" i="33" l="1"/>
  <c r="E27" i="33"/>
  <c r="E21" i="15"/>
  <c r="E24" i="15" s="1"/>
  <c r="E61" i="30"/>
  <c r="E62" i="30" s="1"/>
  <c r="E50" i="1"/>
  <c r="H51" i="29"/>
  <c r="E37" i="33" l="1"/>
  <c r="E39" i="33"/>
  <c r="E65" i="30"/>
  <c r="E69" i="30"/>
  <c r="E72" i="30" s="1"/>
  <c r="E64" i="30"/>
  <c r="E52" i="1"/>
  <c r="E56" i="1"/>
  <c r="E59" i="1" s="1"/>
  <c r="E53" i="1"/>
  <c r="E27" i="15"/>
  <c r="E33" i="15"/>
  <c r="I51" i="29"/>
  <c r="J51" i="29" s="1"/>
  <c r="G52" i="29" s="1"/>
  <c r="E10" i="30" l="1"/>
  <c r="E11" i="30" s="1"/>
  <c r="E78" i="30"/>
  <c r="E84" i="30" s="1"/>
  <c r="E86" i="30" s="1"/>
  <c r="E76" i="30"/>
  <c r="E12" i="30" s="1"/>
  <c r="E63" i="1"/>
  <c r="E65" i="1"/>
  <c r="E71" i="1" s="1"/>
  <c r="E73" i="1" s="1"/>
  <c r="E37" i="15"/>
  <c r="E39" i="15"/>
  <c r="H52" i="29"/>
  <c r="I52" i="29" l="1"/>
  <c r="J52" i="29" l="1"/>
  <c r="G53" i="29" s="1"/>
  <c r="H53" i="29" s="1"/>
  <c r="F51" i="1"/>
  <c r="F63" i="30" l="1"/>
  <c r="F70" i="30" s="1"/>
  <c r="F57" i="1"/>
  <c r="I53" i="29"/>
  <c r="J53" i="29" l="1"/>
  <c r="G54" i="29" s="1"/>
  <c r="H54" i="29"/>
  <c r="I54" i="29" l="1"/>
  <c r="J54" i="29" l="1"/>
  <c r="G55" i="29" s="1"/>
  <c r="H55" i="29"/>
  <c r="I55" i="29" s="1"/>
  <c r="J55" i="29" s="1"/>
  <c r="G56" i="29" s="1"/>
  <c r="H56" i="29" l="1"/>
  <c r="I56" i="29" s="1"/>
  <c r="J56" i="29" s="1"/>
  <c r="G57" i="29" s="1"/>
  <c r="H57" i="29" l="1"/>
  <c r="I57" i="29" s="1"/>
  <c r="J57" i="29" s="1"/>
  <c r="G58" i="29" s="1"/>
  <c r="H58" i="29" l="1"/>
  <c r="I58" i="29" s="1"/>
  <c r="J58" i="29" s="1"/>
  <c r="G59" i="29" s="1"/>
  <c r="H59" i="29" l="1"/>
  <c r="I59" i="29" s="1"/>
  <c r="J59" i="29" s="1"/>
  <c r="G60" i="29" s="1"/>
  <c r="H60" i="29" l="1"/>
  <c r="I60" i="29" s="1"/>
  <c r="J60" i="29" s="1"/>
  <c r="G61" i="29" s="1"/>
  <c r="H61" i="29" l="1"/>
  <c r="I61" i="29" l="1"/>
  <c r="J61" i="29" s="1"/>
  <c r="G62" i="29" s="1"/>
  <c r="F47" i="1"/>
  <c r="F59" i="30" l="1"/>
  <c r="F61" i="1"/>
  <c r="F66" i="1" s="1"/>
  <c r="F58" i="1"/>
  <c r="F48" i="1"/>
  <c r="H62" i="29"/>
  <c r="F36" i="15" l="1"/>
  <c r="F36" i="33"/>
  <c r="F74" i="30"/>
  <c r="F79" i="30" s="1"/>
  <c r="F71" i="30"/>
  <c r="F60" i="30"/>
  <c r="F49" i="1"/>
  <c r="F21" i="33" s="1"/>
  <c r="F24" i="33" s="1"/>
  <c r="I62" i="29"/>
  <c r="J62" i="29" s="1"/>
  <c r="G63" i="29" s="1"/>
  <c r="F27" i="33" l="1"/>
  <c r="F33" i="33"/>
  <c r="F21" i="15"/>
  <c r="F24" i="15" s="1"/>
  <c r="F61" i="30"/>
  <c r="F62" i="30" s="1"/>
  <c r="F50" i="1"/>
  <c r="H63" i="29"/>
  <c r="F39" i="33" l="1"/>
  <c r="F37" i="33"/>
  <c r="F65" i="30"/>
  <c r="F69" i="30"/>
  <c r="F72" i="30" s="1"/>
  <c r="F64" i="30"/>
  <c r="F52" i="1"/>
  <c r="F56" i="1"/>
  <c r="F59" i="1" s="1"/>
  <c r="F53" i="1"/>
  <c r="F33" i="15"/>
  <c r="F27" i="15"/>
  <c r="I63" i="29"/>
  <c r="J63" i="29" s="1"/>
  <c r="G64" i="29" s="1"/>
  <c r="F10" i="30" l="1"/>
  <c r="F11" i="30" s="1"/>
  <c r="F78" i="30"/>
  <c r="F84" i="30" s="1"/>
  <c r="F86" i="30" s="1"/>
  <c r="F76" i="30"/>
  <c r="F12" i="30" s="1"/>
  <c r="F63" i="1"/>
  <c r="F65" i="1"/>
  <c r="F71" i="1" s="1"/>
  <c r="F73" i="1" s="1"/>
  <c r="F37" i="15"/>
  <c r="F39" i="15"/>
  <c r="H64" i="29"/>
  <c r="I64" i="29" l="1"/>
  <c r="J64" i="29" l="1"/>
  <c r="G65" i="29" s="1"/>
  <c r="H65" i="29" s="1"/>
  <c r="G51" i="1"/>
  <c r="G63" i="30" l="1"/>
  <c r="G70" i="30" s="1"/>
  <c r="G57" i="1"/>
  <c r="I65" i="29"/>
  <c r="J65" i="29" l="1"/>
  <c r="G66" i="29" s="1"/>
  <c r="H66" i="29" s="1"/>
  <c r="I66" i="29" l="1"/>
  <c r="J66" i="29" l="1"/>
  <c r="G67" i="29" s="1"/>
  <c r="H67" i="29" s="1"/>
  <c r="I67" i="29" s="1"/>
  <c r="J67" i="29" l="1"/>
  <c r="G68" i="29" s="1"/>
  <c r="H68" i="29" s="1"/>
  <c r="I68" i="29" s="1"/>
  <c r="J68" i="29" l="1"/>
  <c r="G69" i="29" s="1"/>
  <c r="H69" i="29" s="1"/>
  <c r="I69" i="29" s="1"/>
  <c r="J69" i="29" s="1"/>
  <c r="G70" i="29" s="1"/>
  <c r="H70" i="29" l="1"/>
  <c r="I70" i="29" s="1"/>
  <c r="J70" i="29" s="1"/>
  <c r="G71" i="29" s="1"/>
  <c r="H71" i="29" l="1"/>
  <c r="I71" i="29" s="1"/>
  <c r="J71" i="29" s="1"/>
  <c r="G72" i="29" s="1"/>
  <c r="H72" i="29" l="1"/>
  <c r="I72" i="29" s="1"/>
  <c r="J72" i="29" s="1"/>
  <c r="G73" i="29" s="1"/>
  <c r="H73" i="29" l="1"/>
  <c r="I73" i="29" l="1"/>
  <c r="J73" i="29" s="1"/>
  <c r="G74" i="29" s="1"/>
  <c r="G47" i="1"/>
  <c r="G59" i="30" l="1"/>
  <c r="G61" i="1"/>
  <c r="G66" i="1" s="1"/>
  <c r="G58" i="1"/>
  <c r="G48" i="1"/>
  <c r="H74" i="29"/>
  <c r="G36" i="15" l="1"/>
  <c r="G36" i="33"/>
  <c r="G74" i="30"/>
  <c r="G79" i="30" s="1"/>
  <c r="G71" i="30"/>
  <c r="G60" i="30"/>
  <c r="G49" i="1"/>
  <c r="G21" i="33" s="1"/>
  <c r="G24" i="33" s="1"/>
  <c r="I74" i="29"/>
  <c r="J74" i="29" s="1"/>
  <c r="G75" i="29" s="1"/>
  <c r="G33" i="33" l="1"/>
  <c r="G27" i="33"/>
  <c r="G21" i="15"/>
  <c r="G24" i="15" s="1"/>
  <c r="G61" i="30"/>
  <c r="G62" i="30" s="1"/>
  <c r="G50" i="1"/>
  <c r="H75" i="29"/>
  <c r="G39" i="33" l="1"/>
  <c r="G37" i="33"/>
  <c r="G65" i="30"/>
  <c r="G69" i="30"/>
  <c r="G72" i="30" s="1"/>
  <c r="G64" i="30"/>
  <c r="G52" i="1"/>
  <c r="G56" i="1"/>
  <c r="G59" i="1" s="1"/>
  <c r="G53" i="1"/>
  <c r="G27" i="15"/>
  <c r="G33" i="15"/>
  <c r="I75" i="29"/>
  <c r="J75" i="29" s="1"/>
  <c r="G76" i="29" s="1"/>
  <c r="G78" i="30" l="1"/>
  <c r="G84" i="30" s="1"/>
  <c r="G86" i="30" s="1"/>
  <c r="G76" i="30"/>
  <c r="G12" i="30" s="1"/>
  <c r="G10" i="30"/>
  <c r="G11" i="30" s="1"/>
  <c r="G65" i="1"/>
  <c r="G71" i="1" s="1"/>
  <c r="G73" i="1" s="1"/>
  <c r="G63" i="1"/>
  <c r="G37" i="15"/>
  <c r="G39" i="15"/>
  <c r="H76" i="29"/>
  <c r="I76" i="29" l="1"/>
  <c r="J76" i="29" l="1"/>
  <c r="G77" i="29" s="1"/>
  <c r="H77" i="29" s="1"/>
  <c r="H51" i="1"/>
  <c r="H63" i="30" l="1"/>
  <c r="H70" i="30" s="1"/>
  <c r="H57" i="1"/>
  <c r="I77" i="29"/>
  <c r="J77" i="29" l="1"/>
  <c r="G78" i="29" s="1"/>
  <c r="H78" i="29" s="1"/>
  <c r="I78" i="29" l="1"/>
  <c r="J78" i="29" l="1"/>
  <c r="G79" i="29" s="1"/>
  <c r="H79" i="29" s="1"/>
  <c r="I79" i="29" s="1"/>
  <c r="J79" i="29" l="1"/>
  <c r="G80" i="29" s="1"/>
  <c r="H80" i="29" s="1"/>
  <c r="I80" i="29" s="1"/>
  <c r="J80" i="29" s="1"/>
  <c r="G81" i="29" s="1"/>
  <c r="H81" i="29" l="1"/>
  <c r="I81" i="29" s="1"/>
  <c r="J81" i="29" s="1"/>
  <c r="G82" i="29" s="1"/>
  <c r="H82" i="29" l="1"/>
  <c r="I82" i="29" s="1"/>
  <c r="J82" i="29" s="1"/>
  <c r="G83" i="29" s="1"/>
  <c r="H83" i="29" l="1"/>
  <c r="I83" i="29" s="1"/>
  <c r="J83" i="29" s="1"/>
  <c r="G84" i="29" s="1"/>
  <c r="H84" i="29" l="1"/>
  <c r="I84" i="29" s="1"/>
  <c r="J84" i="29" s="1"/>
  <c r="G85" i="29" s="1"/>
  <c r="H85" i="29" l="1"/>
  <c r="I85" i="29" l="1"/>
  <c r="J85" i="29" s="1"/>
  <c r="G86" i="29" s="1"/>
  <c r="H47" i="1"/>
  <c r="H61" i="1" l="1"/>
  <c r="H66" i="1" s="1"/>
  <c r="H59" i="30"/>
  <c r="H58" i="1"/>
  <c r="H48" i="1"/>
  <c r="H86" i="29"/>
  <c r="H36" i="15" l="1"/>
  <c r="H36" i="33"/>
  <c r="H71" i="30"/>
  <c r="H74" i="30"/>
  <c r="H79" i="30" s="1"/>
  <c r="H60" i="30"/>
  <c r="H49" i="1"/>
  <c r="H21" i="33" s="1"/>
  <c r="H24" i="33" s="1"/>
  <c r="I86" i="29"/>
  <c r="J86" i="29" s="1"/>
  <c r="G87" i="29" s="1"/>
  <c r="H33" i="33" l="1"/>
  <c r="H27" i="33"/>
  <c r="H21" i="15"/>
  <c r="H24" i="15" s="1"/>
  <c r="H61" i="30"/>
  <c r="H62" i="30" s="1"/>
  <c r="H50" i="1"/>
  <c r="H87" i="29"/>
  <c r="H39" i="33" l="1"/>
  <c r="H37" i="33"/>
  <c r="H69" i="30"/>
  <c r="H72" i="30" s="1"/>
  <c r="H65" i="30"/>
  <c r="H64" i="30"/>
  <c r="H52" i="1"/>
  <c r="H56" i="1"/>
  <c r="H59" i="1" s="1"/>
  <c r="H53" i="1"/>
  <c r="H27" i="15"/>
  <c r="H33" i="15"/>
  <c r="I87" i="29"/>
  <c r="J87" i="29" s="1"/>
  <c r="G88" i="29" s="1"/>
  <c r="H10" i="30" l="1"/>
  <c r="H11" i="30" s="1"/>
  <c r="H78" i="30"/>
  <c r="H84" i="30" s="1"/>
  <c r="H86" i="30" s="1"/>
  <c r="H76" i="30"/>
  <c r="H12" i="30" s="1"/>
  <c r="H63" i="1"/>
  <c r="H65" i="1"/>
  <c r="H71" i="1" s="1"/>
  <c r="H73" i="1" s="1"/>
  <c r="H37" i="15"/>
  <c r="H39" i="15"/>
  <c r="H88" i="29"/>
  <c r="I88" i="29" l="1"/>
  <c r="J88" i="29" l="1"/>
  <c r="G89" i="29" s="1"/>
  <c r="H89" i="29" s="1"/>
  <c r="I51" i="1"/>
  <c r="I63" i="30" l="1"/>
  <c r="I70" i="30" s="1"/>
  <c r="I57" i="1"/>
  <c r="I89" i="29"/>
  <c r="J89" i="29" l="1"/>
  <c r="G90" i="29" s="1"/>
  <c r="H90" i="29" s="1"/>
  <c r="I90" i="29" l="1"/>
  <c r="J90" i="29" l="1"/>
  <c r="G91" i="29" s="1"/>
  <c r="H91" i="29" s="1"/>
  <c r="I91" i="29" s="1"/>
  <c r="J91" i="29" s="1"/>
  <c r="G92" i="29" s="1"/>
  <c r="H92" i="29" l="1"/>
  <c r="I92" i="29" s="1"/>
  <c r="J92" i="29" s="1"/>
  <c r="G93" i="29" s="1"/>
  <c r="H93" i="29" l="1"/>
  <c r="I93" i="29" s="1"/>
  <c r="J93" i="29" s="1"/>
  <c r="G94" i="29" s="1"/>
  <c r="H94" i="29" l="1"/>
  <c r="I94" i="29" s="1"/>
  <c r="J94" i="29" l="1"/>
  <c r="G95" i="29" s="1"/>
  <c r="H95" i="29" s="1"/>
  <c r="I95" i="29" s="1"/>
  <c r="J95" i="29" s="1"/>
  <c r="G96" i="29" s="1"/>
  <c r="H96" i="29" l="1"/>
  <c r="I96" i="29" s="1"/>
  <c r="J96" i="29" s="1"/>
  <c r="G97" i="29" s="1"/>
  <c r="H97" i="29" l="1"/>
  <c r="I97" i="29" l="1"/>
  <c r="J97" i="29" s="1"/>
  <c r="G98" i="29" s="1"/>
  <c r="I47" i="1"/>
  <c r="I59" i="30" l="1"/>
  <c r="I61" i="1"/>
  <c r="I66" i="1" s="1"/>
  <c r="H98" i="29"/>
  <c r="I58" i="1"/>
  <c r="I48" i="1"/>
  <c r="I36" i="15" l="1"/>
  <c r="I36" i="33"/>
  <c r="I71" i="30"/>
  <c r="I74" i="30"/>
  <c r="I79" i="30" s="1"/>
  <c r="I60" i="30"/>
  <c r="I49" i="1"/>
  <c r="I21" i="33" s="1"/>
  <c r="I24" i="33" s="1"/>
  <c r="I98" i="29"/>
  <c r="J98" i="29" s="1"/>
  <c r="G99" i="29" s="1"/>
  <c r="I27" i="33" l="1"/>
  <c r="I33" i="33"/>
  <c r="I21" i="15"/>
  <c r="I24" i="15" s="1"/>
  <c r="I61" i="30"/>
  <c r="I62" i="30" s="1"/>
  <c r="I50" i="1"/>
  <c r="H99" i="29"/>
  <c r="I39" i="33" l="1"/>
  <c r="I37" i="33"/>
  <c r="I65" i="30"/>
  <c r="I64" i="30"/>
  <c r="I69" i="30"/>
  <c r="I72" i="30" s="1"/>
  <c r="I52" i="1"/>
  <c r="I53" i="1"/>
  <c r="I56" i="1"/>
  <c r="I59" i="1" s="1"/>
  <c r="I27" i="15"/>
  <c r="I33" i="15"/>
  <c r="I99" i="29"/>
  <c r="J99" i="29" s="1"/>
  <c r="G100" i="29" s="1"/>
  <c r="I78" i="30" l="1"/>
  <c r="I84" i="30" s="1"/>
  <c r="I86" i="30" s="1"/>
  <c r="I76" i="30"/>
  <c r="I12" i="30" s="1"/>
  <c r="I10" i="30"/>
  <c r="I11" i="30" s="1"/>
  <c r="I63" i="1"/>
  <c r="I65" i="1"/>
  <c r="I71" i="1" s="1"/>
  <c r="I73" i="1" s="1"/>
  <c r="I37" i="15"/>
  <c r="I39" i="15"/>
  <c r="H100" i="29"/>
  <c r="I100" i="29" l="1"/>
  <c r="J100" i="29" l="1"/>
  <c r="G101" i="29" s="1"/>
  <c r="H101" i="29" s="1"/>
  <c r="J51" i="1"/>
  <c r="J63" i="30" l="1"/>
  <c r="J70" i="30" s="1"/>
  <c r="J57" i="1"/>
  <c r="I101" i="29"/>
  <c r="J101" i="29" s="1"/>
  <c r="G102" i="29" s="1"/>
  <c r="H102" i="29" l="1"/>
  <c r="I102" i="29" l="1"/>
  <c r="J102" i="29" s="1"/>
  <c r="G103" i="29" s="1"/>
  <c r="H103" i="29" l="1"/>
  <c r="I103" i="29" s="1"/>
  <c r="J103" i="29" s="1"/>
  <c r="G104" i="29" s="1"/>
  <c r="H104" i="29" l="1"/>
  <c r="I104" i="29" s="1"/>
  <c r="J104" i="29" s="1"/>
  <c r="G105" i="29" s="1"/>
  <c r="H105" i="29" l="1"/>
  <c r="I105" i="29" s="1"/>
  <c r="J105" i="29" s="1"/>
  <c r="G106" i="29" s="1"/>
  <c r="H106" i="29" l="1"/>
  <c r="I106" i="29" s="1"/>
  <c r="J106" i="29" s="1"/>
  <c r="G107" i="29" s="1"/>
  <c r="H107" i="29" l="1"/>
  <c r="I107" i="29" s="1"/>
  <c r="J107" i="29" s="1"/>
  <c r="G108" i="29" s="1"/>
  <c r="H108" i="29" l="1"/>
  <c r="I108" i="29" s="1"/>
  <c r="J108" i="29" s="1"/>
  <c r="G109" i="29" s="1"/>
  <c r="H109" i="29" l="1"/>
  <c r="I109" i="29" l="1"/>
  <c r="J109" i="29" s="1"/>
  <c r="G110" i="29" s="1"/>
  <c r="J47" i="1"/>
  <c r="J59" i="30" l="1"/>
  <c r="J61" i="1"/>
  <c r="J66" i="1" s="1"/>
  <c r="H110" i="29"/>
  <c r="J58" i="1"/>
  <c r="J48" i="1"/>
  <c r="J36" i="15" l="1"/>
  <c r="J36" i="33"/>
  <c r="J74" i="30"/>
  <c r="J79" i="30" s="1"/>
  <c r="J71" i="30"/>
  <c r="J60" i="30"/>
  <c r="J49" i="1"/>
  <c r="J21" i="33" s="1"/>
  <c r="J24" i="33" s="1"/>
  <c r="I110" i="29"/>
  <c r="J110" i="29" s="1"/>
  <c r="G111" i="29" s="1"/>
  <c r="J27" i="33" l="1"/>
  <c r="J33" i="33"/>
  <c r="J21" i="15"/>
  <c r="J24" i="15" s="1"/>
  <c r="J61" i="30"/>
  <c r="J62" i="30" s="1"/>
  <c r="J50" i="1"/>
  <c r="J52" i="1" s="1"/>
  <c r="H111" i="29"/>
  <c r="J39" i="33" l="1"/>
  <c r="J37" i="33"/>
  <c r="J56" i="1"/>
  <c r="J59" i="1" s="1"/>
  <c r="J65" i="1" s="1"/>
  <c r="J71" i="1" s="1"/>
  <c r="J73" i="1" s="1"/>
  <c r="J64" i="30"/>
  <c r="J69" i="30"/>
  <c r="J72" i="30" s="1"/>
  <c r="J65" i="30"/>
  <c r="J53" i="1"/>
  <c r="J27" i="15"/>
  <c r="J33" i="15"/>
  <c r="I111" i="29"/>
  <c r="J111" i="29" s="1"/>
  <c r="G112" i="29" s="1"/>
  <c r="J63" i="1" l="1"/>
  <c r="J10" i="30"/>
  <c r="J11" i="30" s="1"/>
  <c r="J78" i="30"/>
  <c r="J84" i="30" s="1"/>
  <c r="J86" i="30" s="1"/>
  <c r="J76" i="30"/>
  <c r="J12" i="30" s="1"/>
  <c r="J37" i="15"/>
  <c r="J39" i="15"/>
  <c r="H112" i="29"/>
  <c r="I112" i="29" l="1"/>
  <c r="J112" i="29" s="1"/>
  <c r="G113" i="29" s="1"/>
  <c r="H113" i="29" l="1"/>
  <c r="I113" i="29" l="1"/>
  <c r="J113" i="29" l="1"/>
  <c r="G114" i="29" s="1"/>
  <c r="H114" i="29" s="1"/>
  <c r="I114" i="29" l="1"/>
  <c r="J114" i="29" l="1"/>
  <c r="G115" i="29" s="1"/>
  <c r="H115" i="29" s="1"/>
  <c r="I115" i="29" l="1"/>
  <c r="J115" i="29" l="1"/>
  <c r="G116" i="29" s="1"/>
  <c r="H116" i="29" s="1"/>
  <c r="I116" i="29" s="1"/>
  <c r="J116" i="29" s="1"/>
  <c r="G117" i="29" s="1"/>
  <c r="H117" i="29" s="1"/>
  <c r="I117" i="29" s="1"/>
  <c r="J117" i="29" s="1"/>
  <c r="G118" i="29" s="1"/>
  <c r="H118" i="29" l="1"/>
  <c r="I118" i="29" s="1"/>
  <c r="J118" i="29" s="1"/>
  <c r="G119" i="29" s="1"/>
  <c r="H119" i="29" l="1"/>
  <c r="I119" i="29" s="1"/>
  <c r="J119" i="29" l="1"/>
  <c r="G120" i="29" s="1"/>
  <c r="H120" i="29" s="1"/>
  <c r="I120" i="29" s="1"/>
  <c r="J120" i="29" s="1"/>
  <c r="G121" i="29" s="1"/>
  <c r="H121" i="29" l="1"/>
  <c r="I121" i="29" l="1"/>
  <c r="J121" i="29" s="1"/>
  <c r="G122" i="29" s="1"/>
  <c r="K47" i="1"/>
  <c r="K59" i="30" l="1"/>
  <c r="H122" i="29"/>
  <c r="I122" i="29" s="1"/>
  <c r="J122" i="29" s="1"/>
  <c r="G123" i="29" s="1"/>
  <c r="K58" i="1"/>
  <c r="K48" i="1"/>
  <c r="K71" i="30" l="1"/>
  <c r="K60" i="30"/>
  <c r="K49" i="1"/>
  <c r="K21" i="33" s="1"/>
  <c r="K24" i="33" s="1"/>
  <c r="H123" i="29"/>
  <c r="I123" i="29" s="1"/>
  <c r="J123" i="29" s="1"/>
  <c r="G124" i="29" s="1"/>
  <c r="K27" i="33" l="1"/>
  <c r="K33" i="33"/>
  <c r="K21" i="15"/>
  <c r="K24" i="15" s="1"/>
  <c r="K61" i="30"/>
  <c r="K62" i="30" s="1"/>
  <c r="K50" i="1"/>
  <c r="H124" i="29"/>
  <c r="I124" i="29" l="1"/>
  <c r="L47" i="1"/>
  <c r="K56" i="1"/>
  <c r="K65" i="30"/>
  <c r="K69" i="30"/>
  <c r="K53" i="1"/>
  <c r="K27" i="15"/>
  <c r="K33" i="15"/>
  <c r="L58" i="1" l="1"/>
  <c r="L59" i="30"/>
  <c r="L48" i="1"/>
  <c r="J124" i="29"/>
  <c r="G125" i="29" s="1"/>
  <c r="H125" i="29" s="1"/>
  <c r="K51" i="1"/>
  <c r="K10" i="30"/>
  <c r="K11" i="30" s="1"/>
  <c r="K63" i="30" l="1"/>
  <c r="K57" i="1"/>
  <c r="K59" i="1" s="1"/>
  <c r="K61" i="1"/>
  <c r="K66" i="1" s="1"/>
  <c r="K52" i="1"/>
  <c r="L71" i="30"/>
  <c r="L60" i="30"/>
  <c r="I125" i="29"/>
  <c r="L49" i="1"/>
  <c r="K36" i="15" l="1"/>
  <c r="K37" i="15" s="1"/>
  <c r="K36" i="33"/>
  <c r="L50" i="1"/>
  <c r="L53" i="1" s="1"/>
  <c r="L21" i="33"/>
  <c r="L24" i="33" s="1"/>
  <c r="J125" i="29"/>
  <c r="G126" i="29" s="1"/>
  <c r="H126" i="29" s="1"/>
  <c r="L61" i="30"/>
  <c r="L62" i="30" s="1"/>
  <c r="L21" i="15"/>
  <c r="L24" i="15" s="1"/>
  <c r="K65" i="1"/>
  <c r="K71" i="1" s="1"/>
  <c r="K73" i="1" s="1"/>
  <c r="K63" i="1"/>
  <c r="K70" i="30"/>
  <c r="K72" i="30" s="1"/>
  <c r="K74" i="30"/>
  <c r="K79" i="30" s="1"/>
  <c r="K64" i="30"/>
  <c r="K39" i="15" l="1"/>
  <c r="L56" i="1"/>
  <c r="K37" i="33"/>
  <c r="K39" i="33"/>
  <c r="L33" i="33"/>
  <c r="L27" i="33"/>
  <c r="K78" i="30"/>
  <c r="K84" i="30" s="1"/>
  <c r="K86" i="30" s="1"/>
  <c r="K76" i="30"/>
  <c r="K12" i="30" s="1"/>
  <c r="L69" i="30"/>
  <c r="L65" i="30"/>
  <c r="L10" i="30" s="1"/>
  <c r="L11" i="30" s="1"/>
  <c r="L27" i="15"/>
  <c r="L33" i="15"/>
  <c r="I126" i="29"/>
  <c r="J126" i="29" l="1"/>
  <c r="G127" i="29" s="1"/>
  <c r="H127" i="29" s="1"/>
  <c r="I127" i="29" l="1"/>
  <c r="J127" i="29" l="1"/>
  <c r="G128" i="29" s="1"/>
  <c r="H128" i="29" s="1"/>
  <c r="I128" i="29" l="1"/>
  <c r="J128" i="29" l="1"/>
  <c r="G129" i="29" s="1"/>
  <c r="H129" i="29" s="1"/>
  <c r="I129" i="29" l="1"/>
  <c r="J129" i="29" l="1"/>
  <c r="G130" i="29" s="1"/>
  <c r="H130" i="29" s="1"/>
  <c r="I130" i="29" s="1"/>
  <c r="J130" i="29" s="1"/>
  <c r="G131" i="29" s="1"/>
  <c r="H131" i="29" s="1"/>
  <c r="I131" i="29" s="1"/>
  <c r="J131" i="29" s="1"/>
  <c r="G132" i="29" s="1"/>
  <c r="H132" i="29" s="1"/>
  <c r="I132" i="29" s="1"/>
  <c r="J132" i="29" s="1"/>
  <c r="G133" i="29" s="1"/>
  <c r="H133" i="29" s="1"/>
  <c r="I133" i="29" s="1"/>
  <c r="J133" i="29" s="1"/>
  <c r="G134" i="29" s="1"/>
  <c r="H134" i="29" s="1"/>
  <c r="I134" i="29" s="1"/>
  <c r="J134" i="29" s="1"/>
  <c r="G135" i="29" s="1"/>
  <c r="H135" i="29" s="1"/>
  <c r="I135" i="29" s="1"/>
  <c r="J135" i="29" s="1"/>
  <c r="G136" i="29" s="1"/>
  <c r="H136" i="29" s="1"/>
  <c r="I136" i="29" l="1"/>
  <c r="M47" i="1"/>
  <c r="M59" i="30" l="1"/>
  <c r="M58" i="1"/>
  <c r="M48" i="1"/>
  <c r="J136" i="29"/>
  <c r="G137" i="29" s="1"/>
  <c r="H137" i="29" s="1"/>
  <c r="I137" i="29" s="1"/>
  <c r="L51" i="1"/>
  <c r="J137" i="29" l="1"/>
  <c r="G138" i="29" s="1"/>
  <c r="H138" i="29" s="1"/>
  <c r="I138" i="29" s="1"/>
  <c r="J138" i="29" s="1"/>
  <c r="G139" i="29" s="1"/>
  <c r="M49" i="1"/>
  <c r="L63" i="30"/>
  <c r="L57" i="1"/>
  <c r="L59" i="1" s="1"/>
  <c r="L61" i="1"/>
  <c r="L66" i="1" s="1"/>
  <c r="L52" i="1"/>
  <c r="M71" i="30"/>
  <c r="M60" i="30"/>
  <c r="H139" i="29"/>
  <c r="I139" i="29" s="1"/>
  <c r="J139" i="29" s="1"/>
  <c r="G140" i="29" s="1"/>
  <c r="L36" i="15" l="1"/>
  <c r="L39" i="15" s="1"/>
  <c r="L36" i="33"/>
  <c r="M50" i="1"/>
  <c r="M53" i="1" s="1"/>
  <c r="M21" i="33"/>
  <c r="M24" i="33" s="1"/>
  <c r="L37" i="15"/>
  <c r="L63" i="1"/>
  <c r="L65" i="1"/>
  <c r="L71" i="1" s="1"/>
  <c r="L73" i="1" s="1"/>
  <c r="M21" i="15"/>
  <c r="M24" i="15" s="1"/>
  <c r="M61" i="30"/>
  <c r="M62" i="30" s="1"/>
  <c r="L70" i="30"/>
  <c r="L72" i="30" s="1"/>
  <c r="L74" i="30"/>
  <c r="L79" i="30" s="1"/>
  <c r="L64" i="30"/>
  <c r="H140" i="29"/>
  <c r="I140" i="29" s="1"/>
  <c r="L37" i="33" l="1"/>
  <c r="L39" i="33"/>
  <c r="M56" i="1"/>
  <c r="M33" i="33"/>
  <c r="M27" i="33"/>
  <c r="M27" i="15"/>
  <c r="M33" i="15"/>
  <c r="L76" i="30"/>
  <c r="L12" i="30" s="1"/>
  <c r="L78" i="30"/>
  <c r="L84" i="30" s="1"/>
  <c r="L86" i="30" s="1"/>
  <c r="J140" i="29"/>
  <c r="G141" i="29" s="1"/>
  <c r="H141" i="29" s="1"/>
  <c r="I141" i="29" s="1"/>
  <c r="J141" i="29" s="1"/>
  <c r="G142" i="29" s="1"/>
  <c r="M69" i="30"/>
  <c r="M65" i="30"/>
  <c r="M10" i="30" s="1"/>
  <c r="M11" i="30" s="1"/>
  <c r="C28" i="33" l="1"/>
  <c r="C29" i="33"/>
  <c r="C28" i="15"/>
  <c r="C24" i="20" s="1"/>
  <c r="C29" i="15"/>
  <c r="H142" i="29"/>
  <c r="I142" i="29" s="1"/>
  <c r="J142" i="29" s="1"/>
  <c r="G143" i="29" s="1"/>
  <c r="H143" i="29" l="1"/>
  <c r="I143" i="29" s="1"/>
  <c r="J143" i="29" s="1"/>
  <c r="G144" i="29" s="1"/>
  <c r="H144" i="29" l="1"/>
  <c r="I144" i="29" s="1"/>
  <c r="J144" i="29" s="1"/>
  <c r="G145" i="29" s="1"/>
  <c r="H145" i="29" l="1"/>
  <c r="I145" i="29" s="1"/>
  <c r="J145" i="29" s="1"/>
  <c r="G146" i="29" s="1"/>
  <c r="H146" i="29" l="1"/>
  <c r="I146" i="29" s="1"/>
  <c r="J146" i="29" s="1"/>
  <c r="G147" i="29" s="1"/>
  <c r="H147" i="29" l="1"/>
  <c r="I147" i="29" s="1"/>
  <c r="J147" i="29" s="1"/>
  <c r="G148" i="29" s="1"/>
  <c r="H148" i="29" l="1"/>
  <c r="I148" i="29" s="1"/>
  <c r="J148" i="29" l="1"/>
  <c r="M51" i="1"/>
  <c r="M61" i="1" l="1"/>
  <c r="M66" i="1" s="1"/>
  <c r="M57" i="1"/>
  <c r="M59" i="1" s="1"/>
  <c r="M63" i="30"/>
  <c r="M52" i="1"/>
  <c r="M36" i="15" l="1"/>
  <c r="M37" i="15" s="1"/>
  <c r="C41" i="15" s="1"/>
  <c r="M36" i="33"/>
  <c r="M70" i="30"/>
  <c r="M72" i="30" s="1"/>
  <c r="M74" i="30"/>
  <c r="M79" i="30" s="1"/>
  <c r="M64" i="30"/>
  <c r="M63" i="1"/>
  <c r="M65" i="1"/>
  <c r="M71" i="1" s="1"/>
  <c r="M73" i="1" s="1"/>
  <c r="M39" i="15" l="1"/>
  <c r="M37" i="33"/>
  <c r="M39" i="33"/>
  <c r="C25" i="20"/>
  <c r="E21" i="20"/>
  <c r="M78" i="30"/>
  <c r="M84" i="30" s="1"/>
  <c r="M86" i="30" s="1"/>
  <c r="C87" i="30" s="1"/>
  <c r="M76" i="30"/>
  <c r="M12" i="30" s="1"/>
  <c r="C42" i="33" l="1"/>
  <c r="C41" i="33"/>
  <c r="E22" i="20"/>
  <c r="C13" i="30"/>
</calcChain>
</file>

<file path=xl/sharedStrings.xml><?xml version="1.0" encoding="utf-8"?>
<sst xmlns="http://schemas.openxmlformats.org/spreadsheetml/2006/main" count="705" uniqueCount="355">
  <si>
    <t>Estos costos ya son en Costa Rica, no hay mas costos de exportacion de aceites usados ni importacion de producto nuevo al igual que impuestos de importacion y locales.</t>
  </si>
  <si>
    <t>Total</t>
  </si>
  <si>
    <t>EBITDA</t>
  </si>
  <si>
    <t>Value</t>
  </si>
  <si>
    <t>2018</t>
  </si>
  <si>
    <t>2019</t>
  </si>
  <si>
    <t>2020</t>
  </si>
  <si>
    <t>2021</t>
  </si>
  <si>
    <t>2022</t>
  </si>
  <si>
    <t>2023</t>
  </si>
  <si>
    <t>2024</t>
  </si>
  <si>
    <t>2025</t>
  </si>
  <si>
    <t>Delivery Costs</t>
  </si>
  <si>
    <t>NA</t>
  </si>
  <si>
    <t>GPH</t>
  </si>
  <si>
    <t>LPH</t>
  </si>
  <si>
    <t>Debt Interest rate</t>
  </si>
  <si>
    <t>Debt Term - years</t>
  </si>
  <si>
    <t>Grace period- months</t>
  </si>
  <si>
    <t>Revenues</t>
  </si>
  <si>
    <t>Base Oil</t>
  </si>
  <si>
    <t>Depreciation</t>
  </si>
  <si>
    <t>Summary of Cash Flow - with Financing</t>
  </si>
  <si>
    <t>Summary of Cash Flow - No financing</t>
  </si>
  <si>
    <t>Key Cost Assumptions</t>
  </si>
  <si>
    <t>Cost of Goods</t>
  </si>
  <si>
    <t>Overhead (Adm, Sales, Drivers)</t>
  </si>
  <si>
    <t>Cost of Sales</t>
  </si>
  <si>
    <t>Revenue</t>
  </si>
  <si>
    <t>Gross Margin</t>
  </si>
  <si>
    <t>New Investors</t>
  </si>
  <si>
    <t>Net Margin</t>
  </si>
  <si>
    <t>Delivery Costs (per drum)</t>
  </si>
  <si>
    <t>Asphalt Extender</t>
  </si>
  <si>
    <t>*all pricing quoted is current for 30 days</t>
  </si>
  <si>
    <t>Register at  https://www.mylubrizol.com to access your current price list, sample requests, formulary guides, blending tools and current product offerings.</t>
  </si>
  <si>
    <t>Access Lubrizol online through your MyLubrizol</t>
  </si>
  <si>
    <t>Phone: 1.866.582.7496 </t>
  </si>
  <si>
    <t>Lubrizol Additives, North America Sales</t>
  </si>
  <si>
    <t>Account Manager</t>
  </si>
  <si>
    <t>Chris Ward</t>
  </si>
  <si>
    <t>$29.00/gal</t>
  </si>
  <si>
    <t>1%-4% wt</t>
  </si>
  <si>
    <t>1038U</t>
  </si>
  <si>
    <t>5,000 Gals</t>
  </si>
  <si>
    <t>IGO</t>
  </si>
  <si>
    <t>$36.00/gal</t>
  </si>
  <si>
    <t>0.85% wt</t>
  </si>
  <si>
    <t>10,000 Gals</t>
  </si>
  <si>
    <t>HY</t>
  </si>
  <si>
    <t>$18.50/gal</t>
  </si>
  <si>
    <t>7.8% vol or 8.62% wt</t>
  </si>
  <si>
    <t>PV1122</t>
  </si>
  <si>
    <t>20,000 Gals</t>
  </si>
  <si>
    <t>PCMO</t>
  </si>
  <si>
    <t>$30.00/gal</t>
  </si>
  <si>
    <t>16.5% wt</t>
  </si>
  <si>
    <t>30,000 Gals</t>
  </si>
  <si>
    <t>HD</t>
  </si>
  <si>
    <t>Cost per Drum</t>
  </si>
  <si>
    <t>Cost per Quart</t>
  </si>
  <si>
    <t>Price</t>
  </si>
  <si>
    <t>Est. Treat Rate</t>
  </si>
  <si>
    <t>LZ Product</t>
  </si>
  <si>
    <t>Finished Fluid Volume Est.</t>
  </si>
  <si>
    <t>End Use</t>
  </si>
  <si>
    <t xml:space="preserve">Here is ball park pricing to get you started on your financial analysis. I have been traveling so I do apologize for the delayed response here. These are ballpark estimates for pricing. When you get further into your analysis we can then dive deeper into the anticipated finished fluid volumes and additive usage to come to a more exact price. </t>
  </si>
  <si>
    <t>Gallon Weight</t>
  </si>
  <si>
    <t>Bill,</t>
  </si>
  <si>
    <t xml:space="preserve">Drum Weight(kgs):  </t>
  </si>
  <si>
    <t>Volume split per product</t>
  </si>
  <si>
    <t xml:space="preserve">Heavy Duty Diesel </t>
  </si>
  <si>
    <t>Passenger Car Motor Oils</t>
  </si>
  <si>
    <t>Hydraulic Fluids</t>
  </si>
  <si>
    <t>Gear Oils</t>
  </si>
  <si>
    <t>Average Additive Cost per Quart</t>
  </si>
  <si>
    <t xml:space="preserve">Assuming we can negotiate a much better price when we actually order the product: </t>
  </si>
  <si>
    <t xml:space="preserve"> discount from listed price</t>
  </si>
  <si>
    <t>Cost of Additives</t>
  </si>
  <si>
    <t>Cost of Drums</t>
  </si>
  <si>
    <t>Crude West Texas Cost/Gal</t>
  </si>
  <si>
    <t>Base Oil G2 Cost/Gal</t>
  </si>
  <si>
    <t>Base Oil G1 Cost/Gal</t>
  </si>
  <si>
    <t>85% of posted G2 price</t>
  </si>
  <si>
    <t>Percentage of total local production sold as Base Oil</t>
  </si>
  <si>
    <t>Used Oil input</t>
  </si>
  <si>
    <t>Base Oil output</t>
  </si>
  <si>
    <t>Total cost Base oil (no addtives) for one drum (55 gal)</t>
  </si>
  <si>
    <t>Quality Engineer</t>
  </si>
  <si>
    <t>PESCO-BEAM</t>
  </si>
  <si>
    <t>2026</t>
  </si>
  <si>
    <t>Total cost Base oil (no addtives) for one quart</t>
  </si>
  <si>
    <t>Sales Price Assumptions</t>
  </si>
  <si>
    <t>Other Assumptions</t>
  </si>
  <si>
    <t>Misc. Business Expenses</t>
  </si>
  <si>
    <t>Gallons</t>
  </si>
  <si>
    <t>General building/grounds Maintenance</t>
  </si>
  <si>
    <t>Used Oil Volumes/costs</t>
  </si>
  <si>
    <t>Base Oil Pricing per gallon</t>
  </si>
  <si>
    <t>Liters per gallon</t>
  </si>
  <si>
    <t>Annual base oil price increases</t>
  </si>
  <si>
    <t>Used in Model</t>
  </si>
  <si>
    <t>Lubirzol</t>
  </si>
  <si>
    <t>Oscar</t>
  </si>
  <si>
    <t>Mixing Tanks</t>
  </si>
  <si>
    <t>Drum filling line</t>
  </si>
  <si>
    <t>Lab equipment</t>
  </si>
  <si>
    <t>M/E for blending line</t>
  </si>
  <si>
    <t>Electrical and instrumentation costs</t>
  </si>
  <si>
    <t>PR and Marketing</t>
  </si>
  <si>
    <t>Working Capital</t>
  </si>
  <si>
    <t>Plant Equipment/Installation</t>
  </si>
  <si>
    <t>Solvent Extraction Unit</t>
  </si>
  <si>
    <t>TOTAL</t>
  </si>
  <si>
    <t>METALUB - Investment Plan</t>
  </si>
  <si>
    <t>Quantity</t>
  </si>
  <si>
    <t>Asphalt Extender (US mixer)</t>
  </si>
  <si>
    <t>REVENUES</t>
  </si>
  <si>
    <t>Total Revenues</t>
  </si>
  <si>
    <t>RAW MATERIALS</t>
  </si>
  <si>
    <t>Cost of used oil</t>
  </si>
  <si>
    <t>Total Raw Materials</t>
  </si>
  <si>
    <t>OPERATING COSTS</t>
  </si>
  <si>
    <t>Total Op. cost of blending finished lube</t>
  </si>
  <si>
    <t>Total Operating Costs</t>
  </si>
  <si>
    <t>GROSS MARGIN</t>
  </si>
  <si>
    <t>SALES AND ADMINISTRATIVE EXPENSES</t>
  </si>
  <si>
    <t>Literature</t>
  </si>
  <si>
    <t>API Certifications</t>
  </si>
  <si>
    <t>Total Sales and Administrative Expenses</t>
  </si>
  <si>
    <t>Interest Expenses</t>
  </si>
  <si>
    <t>Interest</t>
  </si>
  <si>
    <t>Loan Amount</t>
  </si>
  <si>
    <t>PMT</t>
  </si>
  <si>
    <t>Interest Rate</t>
  </si>
  <si>
    <t>Indebtedness Ratio (Total Debt/Total Assets)</t>
  </si>
  <si>
    <t>Total Term (months)</t>
  </si>
  <si>
    <t>Grace (months)</t>
  </si>
  <si>
    <t>Amort. Term (months)</t>
  </si>
  <si>
    <t>#</t>
  </si>
  <si>
    <t>Month</t>
  </si>
  <si>
    <t>Amortit.</t>
  </si>
  <si>
    <t>Op. Balance</t>
  </si>
  <si>
    <t>Cl. Balance</t>
  </si>
  <si>
    <t>CASH FLOW</t>
  </si>
  <si>
    <t>Net Income</t>
  </si>
  <si>
    <t>Plus Interest</t>
  </si>
  <si>
    <t>Operating Cash Flow</t>
  </si>
  <si>
    <t>Plus Depreciation and amortization</t>
  </si>
  <si>
    <t>Minus Debt Service</t>
  </si>
  <si>
    <t>Used Oil Cost per liter</t>
  </si>
  <si>
    <t>Total Gallons (annual)</t>
  </si>
  <si>
    <t>Total Liters (annual)</t>
  </si>
  <si>
    <t>Annual Operating hours</t>
  </si>
  <si>
    <t>Production Capacity of Pesco - Beam System</t>
  </si>
  <si>
    <t>Total Liters (monthly)</t>
  </si>
  <si>
    <t>Electricity</t>
  </si>
  <si>
    <t>kWh</t>
  </si>
  <si>
    <t>Operating hours</t>
  </si>
  <si>
    <t>Annual</t>
  </si>
  <si>
    <t>per kWh</t>
  </si>
  <si>
    <t>Cooling water</t>
  </si>
  <si>
    <t>per 1,000 Liters</t>
  </si>
  <si>
    <t>Cost per Gallon</t>
  </si>
  <si>
    <t>Litters per year</t>
  </si>
  <si>
    <t>Sewage - Site specific</t>
  </si>
  <si>
    <t>per 1,000 gallons (billed in the water supply)</t>
  </si>
  <si>
    <t>Disposal of oily waters</t>
  </si>
  <si>
    <t>Site specific</t>
  </si>
  <si>
    <t>Cost of Solvents</t>
  </si>
  <si>
    <t>Baking Soda</t>
  </si>
  <si>
    <t>Bauxite replacement - annual</t>
  </si>
  <si>
    <t>Cost of Supplies and maintenance</t>
  </si>
  <si>
    <t>Lab Supplies and service</t>
  </si>
  <si>
    <t>Plan Labor COst (Includes CEO and Lab personnel)</t>
  </si>
  <si>
    <t>Total annual Plan Operating Costs per Gallon</t>
  </si>
  <si>
    <t>Without Depreciation</t>
  </si>
  <si>
    <t>PESCO-BEAM Total Operating Cost per Liter - Base Oil Group II</t>
  </si>
  <si>
    <t>PESCO-BEAM Total Operating Cost per Gallon - Base Oil Group II</t>
  </si>
  <si>
    <t>Key Sales Volumes and Product Split  Assumptions</t>
  </si>
  <si>
    <t>Average Additive Cost Per Drum</t>
  </si>
  <si>
    <t>Total Plant Operating Cost per Drum - Base Oil</t>
  </si>
  <si>
    <t>Blending cost per Drum - Finished Oil</t>
  </si>
  <si>
    <t>Total Op. Cost of Base Oil for Export</t>
  </si>
  <si>
    <t>Total Production Costs</t>
  </si>
  <si>
    <t>METALUB - Summary</t>
  </si>
  <si>
    <t>Minus CAPEX</t>
  </si>
  <si>
    <t>Raw Materials</t>
  </si>
  <si>
    <t>Plant Operating Costs</t>
  </si>
  <si>
    <t>Sales and Administrative Expenses</t>
  </si>
  <si>
    <t>Expenditures</t>
  </si>
  <si>
    <t>Total Expenditures</t>
  </si>
  <si>
    <t>Minus income tax</t>
  </si>
  <si>
    <t>Net Project Cash Flow</t>
  </si>
  <si>
    <t>%</t>
  </si>
  <si>
    <t>Amount $</t>
  </si>
  <si>
    <t>New Debt</t>
  </si>
  <si>
    <t>METALUB - Margins</t>
  </si>
  <si>
    <t>METALUB - Debt Service Schedule</t>
  </si>
  <si>
    <t>METALUB - Plant Operating Costs</t>
  </si>
  <si>
    <t>Plant Personnel</t>
  </si>
  <si>
    <t>Base Salary</t>
  </si>
  <si>
    <t>Benefits</t>
  </si>
  <si>
    <t>Total Salary</t>
  </si>
  <si>
    <t>Monthly</t>
  </si>
  <si>
    <t>No.</t>
  </si>
  <si>
    <t>Plant Operations Manager</t>
  </si>
  <si>
    <t>Lab. Technicians</t>
  </si>
  <si>
    <t>Maintenance</t>
  </si>
  <si>
    <t>Electrician</t>
  </si>
  <si>
    <t>METALUB - Staff and Salaries</t>
  </si>
  <si>
    <t>Operating Cost per Drum - Blended Lubricants</t>
  </si>
  <si>
    <t>Blending Line and support equipment</t>
  </si>
  <si>
    <t>METALUB - Profit and Loss and Cash Flow</t>
  </si>
  <si>
    <t>PROFIT &amp; LOSS</t>
  </si>
  <si>
    <t>METALUB - Sensitivity Analysis</t>
  </si>
  <si>
    <t>Sensitivity Parameters</t>
  </si>
  <si>
    <t>Drop in Revenues</t>
  </si>
  <si>
    <t>Increase in Overall Cost of Raw Materials</t>
  </si>
  <si>
    <t>Increase in Overall Plant Operating Cost</t>
  </si>
  <si>
    <t>Increase in Sales &amp; Admin. Cost</t>
  </si>
  <si>
    <t>Resulting EBITDA %</t>
  </si>
  <si>
    <t>Resulting reduction in EBITDA (%)</t>
  </si>
  <si>
    <t>Resulting Net Income %</t>
  </si>
  <si>
    <t>Resulting reduction in Net Income (%)</t>
  </si>
  <si>
    <t>Resulting 10-year Levered IRR</t>
  </si>
  <si>
    <t>Base Case Scenario</t>
  </si>
  <si>
    <t>Sensitivity Scenario</t>
  </si>
  <si>
    <t>Senior Debt Service</t>
  </si>
  <si>
    <t>Senior DSCR</t>
  </si>
  <si>
    <t>Total Debt Service Coverage Ratio</t>
  </si>
  <si>
    <t>Resulting Senior DSCR</t>
  </si>
  <si>
    <t>Ernie</t>
  </si>
  <si>
    <t>5M Distillation Capacity upgrade</t>
  </si>
  <si>
    <t>Take out Bank Financing</t>
  </si>
  <si>
    <t>Operating Capital</t>
  </si>
  <si>
    <t>Regional Lubricant annual market growth</t>
  </si>
  <si>
    <t>US Tax</t>
  </si>
  <si>
    <t>GVT Lube Products</t>
  </si>
  <si>
    <t>Total Plant Operating Cost per Gallon - Base Oil</t>
  </si>
  <si>
    <t>Group II Base Oil Monthly Production (gallons)</t>
  </si>
  <si>
    <t>Asphalt Monthy Production (gallons)</t>
  </si>
  <si>
    <t>Fuels produced per month (gallons)</t>
  </si>
  <si>
    <t>Gallons collected per Month</t>
  </si>
  <si>
    <t>Cost of collection/acquisition (per gallon)</t>
  </si>
  <si>
    <t>GVT Sales Blended Lubes (gallons per month)</t>
  </si>
  <si>
    <t>Avg sales Price Blended Lube per Gallon</t>
  </si>
  <si>
    <t>GVT Sales Blended Lubes (Drums per month)</t>
  </si>
  <si>
    <t>Asphalt Pricing per gallon</t>
  </si>
  <si>
    <t>Fuels</t>
  </si>
  <si>
    <t>Leverage Plan</t>
  </si>
  <si>
    <t>Income Tax</t>
  </si>
  <si>
    <t>Fuel</t>
  </si>
  <si>
    <t>Plus Bank Loan</t>
  </si>
  <si>
    <t>GVT Products in Drums</t>
  </si>
  <si>
    <t>Total GVT/METALUB Investment Plan:</t>
  </si>
  <si>
    <t>Total GVT/METALUB Investment Plan</t>
  </si>
  <si>
    <t>Final GVT Share Distribution</t>
  </si>
  <si>
    <t>GVT Base Oil sales (gallons/month)</t>
  </si>
  <si>
    <t>Permanent W/K for Blended Lube Startup</t>
  </si>
  <si>
    <t>Fuel Pricing per gallon</t>
  </si>
  <si>
    <t>GVT/METALUB - Summary Investment Plan and Offering</t>
  </si>
  <si>
    <t>METALUB/GVT - Key Assumptions</t>
  </si>
  <si>
    <t>Minus OpEx</t>
  </si>
  <si>
    <t>With 2019 Plant Capacity (2x) Upgrade</t>
  </si>
  <si>
    <t>VGO (Vacuum Gase Oil)</t>
  </si>
  <si>
    <t>VGO</t>
  </si>
  <si>
    <t>Yield of Base Oil with Solvent Extraction System</t>
  </si>
  <si>
    <t>Yield of Base Oil without Solvent Extraction System</t>
  </si>
  <si>
    <t>VGO per gallon</t>
  </si>
  <si>
    <t>GVT VGO Sales Gallons per month</t>
  </si>
  <si>
    <t>Sensitivity Impact on 10-yr IRR:</t>
  </si>
  <si>
    <t>Blended Lubricants</t>
  </si>
  <si>
    <t>Plant Insurance</t>
  </si>
  <si>
    <t>Total Plant Ops Cost per gallon - VGO/Asphalt/Fuels</t>
  </si>
  <si>
    <t>Total Ops Cost of VGO/Asphalt/fuels</t>
  </si>
  <si>
    <t>2X capacity increase</t>
  </si>
  <si>
    <t>1 = yes, 0 = no</t>
  </si>
  <si>
    <t>Shareholders' Cash flows</t>
  </si>
  <si>
    <t>Net Cash Flow for Shareholders</t>
  </si>
  <si>
    <t>Buy out equity investors</t>
  </si>
  <si>
    <t>PESCO-BEAM Solvent Extraction Unit</t>
  </si>
  <si>
    <t>Finished Lubricant Blending Line</t>
  </si>
  <si>
    <t>Investment Commission</t>
  </si>
  <si>
    <t>Prior GVT Share Distribution</t>
  </si>
  <si>
    <t>Mark Wentworth</t>
  </si>
  <si>
    <t>Mike Gentuso</t>
  </si>
  <si>
    <t>GVT Base Oil G2 Price</t>
  </si>
  <si>
    <t>Total percentage product sold as blended Lubes</t>
  </si>
  <si>
    <t>Net Margin %</t>
  </si>
  <si>
    <t xml:space="preserve">Net Margin </t>
  </si>
  <si>
    <t>Overhead driven by blended Lubes</t>
  </si>
  <si>
    <t>Project IRR (for Investors)</t>
  </si>
  <si>
    <t>Main Operators/technicians</t>
  </si>
  <si>
    <t>Plant Ops Supervisor</t>
  </si>
  <si>
    <t>Crude Oil Assumption options</t>
  </si>
  <si>
    <t>EIA 2017 Long Range Outlook - published Jan 2017</t>
  </si>
  <si>
    <t>INO NYMEX Futures May 24 2017 to Dec 20025</t>
  </si>
  <si>
    <t>Average</t>
  </si>
  <si>
    <t>Set Crude Oil Price forecaste and Base Oil Calc method</t>
  </si>
  <si>
    <t>Extrapolation at 1.5% increase per year from 2026 on</t>
  </si>
  <si>
    <t>Enter 1, 2 or 3 for Crude Oil assumption</t>
  </si>
  <si>
    <t>Enter A or R for Base Oil Calc Method</t>
  </si>
  <si>
    <t>Base Oil to Crude Oil Spread per gallon (for method A)</t>
  </si>
  <si>
    <t>A</t>
  </si>
  <si>
    <t>Abraham method to calculate Base Oil Group III pricing uses Historical (2004-2017) Base Oil to Crude Oil Spread:  $1.48 per gal</t>
  </si>
  <si>
    <t>R</t>
  </si>
  <si>
    <t>Ruiz method to calculate Base Oil pricing uses current Base Oil pricing with Crude Oil Index</t>
  </si>
  <si>
    <t>Crude Oil Forecast</t>
  </si>
  <si>
    <t>Crude % Change (index)</t>
  </si>
  <si>
    <t>Crude Oil (bbl)</t>
  </si>
  <si>
    <t>VGO (bbl) WTI+Spread</t>
  </si>
  <si>
    <t>VGO Price (gal)</t>
  </si>
  <si>
    <t>ICIS Base Oil Basket "R" method:</t>
  </si>
  <si>
    <t>4cSt</t>
  </si>
  <si>
    <t>6cSt</t>
  </si>
  <si>
    <t>8cSt</t>
  </si>
  <si>
    <t>Avg Base Oil Group III price (gal) based on "R" method</t>
  </si>
  <si>
    <t>By Products Final</t>
  </si>
  <si>
    <t>Kerosene (gal)</t>
  </si>
  <si>
    <t>Naptha (metric ton)</t>
  </si>
  <si>
    <t>Naptha (gal)</t>
  </si>
  <si>
    <t>Base Oil Group II Final</t>
  </si>
  <si>
    <t>Blending Manager</t>
  </si>
  <si>
    <t>Base Oil GII price (gal) based on "A" method</t>
  </si>
  <si>
    <t>Dep Years</t>
  </si>
  <si>
    <t>EBITA</t>
  </si>
  <si>
    <t>EBTA</t>
  </si>
  <si>
    <t>EBA</t>
  </si>
  <si>
    <t>Amortization</t>
  </si>
  <si>
    <t>2027</t>
  </si>
  <si>
    <t>2028</t>
  </si>
  <si>
    <t>NPV 10 years (15% discount)</t>
  </si>
  <si>
    <t>Project IRR 10 years</t>
  </si>
  <si>
    <t>Net Cash for New Investors</t>
  </si>
  <si>
    <t>Levaged IRR 10 years for new Shareholders</t>
  </si>
  <si>
    <t>Minus Investment Fees</t>
  </si>
  <si>
    <t>IRR 10 Year</t>
  </si>
  <si>
    <t>Sales Organization</t>
  </si>
  <si>
    <t>Sales Manager</t>
  </si>
  <si>
    <t>Sales Reps</t>
  </si>
  <si>
    <t>Logistics</t>
  </si>
  <si>
    <t>Warehouse Manager</t>
  </si>
  <si>
    <t>Base Oil FOB GVT</t>
  </si>
  <si>
    <t>GVT Wholesale blended lubes (Drums)</t>
  </si>
  <si>
    <t>Cost per gallon Base Oil</t>
  </si>
  <si>
    <t>Total Avg Cost per gallon of Metalub</t>
  </si>
  <si>
    <t>Total Avg Cost per gallon of Metalub +COS</t>
  </si>
  <si>
    <t>Base Oil FOB discount from Indez</t>
  </si>
  <si>
    <t>Investorss' Cash flows</t>
  </si>
  <si>
    <t>10-year Project IRR</t>
  </si>
  <si>
    <t>10-year Leveraged IRR for equity investors</t>
  </si>
  <si>
    <t>Exiting Facilities Depreciattion</t>
  </si>
  <si>
    <t>All Numbers are in 1000s $USD</t>
  </si>
  <si>
    <t>Additional Distillation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</si>
</sst>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409]* #,##0_);_([$$-409]* \(#,##0\);_([$$-409]* &quot;-&quot;??_);_(@_)"/>
    <numFmt numFmtId="167" formatCode="&quot;$&quot;#,##0.00"/>
    <numFmt numFmtId="168" formatCode="_(&quot;$&quot;* #,##0.000_);_(&quot;$&quot;* \(#,##0.000\);_(&quot;$&quot;* &quot;-&quot;??_);_(@_)"/>
    <numFmt numFmtId="169" formatCode="&quot;$&quot;#,##0"/>
    <numFmt numFmtId="170" formatCode="&quot;$&quot;#,##0.0000"/>
    <numFmt numFmtId="171" formatCode="&quot;$&quot;#,##0.0000_);\(&quot;$&quot;#,##0.0000\)"/>
    <numFmt numFmtId="172" formatCode="&quot;$&quot;#,##0.000"/>
    <numFmt numFmtId="173" formatCode="[$-409]d\-mmm\-yy;@"/>
    <numFmt numFmtId="174" formatCode="0.0%"/>
    <numFmt numFmtId="175" formatCode="_([$€-2]* #,##0.00_);_([$€-2]* \(#,##0.00\);_([$€-2]* &quot;-&quot;??_)"/>
    <numFmt numFmtId="176" formatCode="0,"/>
  </numFmts>
  <fonts count="37">
    <font>
      <sz val="11"/>
      <color theme="1"/>
      <name val="Calibri"/>
      <family val="2"/>
      <scheme val="minor"/>
    </font>
    <font>
      <sz val="12"/>
      <color theme="1"/>
      <name val="Calibri"/>
      <family val="2"/>
      <charset val="128"/>
      <scheme val="minor"/>
    </font>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indexed="8"/>
      <name val="Calibri"/>
      <family val="2"/>
    </font>
    <font>
      <u/>
      <sz val="11"/>
      <color theme="10"/>
      <name val="Calibri"/>
      <family val="2"/>
      <scheme val="minor"/>
    </font>
    <font>
      <sz val="8"/>
      <name val="Times"/>
    </font>
    <font>
      <sz val="11"/>
      <color rgb="FF2F5496"/>
      <name val="Calibri"/>
      <family val="2"/>
      <scheme val="minor"/>
    </font>
    <font>
      <b/>
      <sz val="11"/>
      <color rgb="FF2F5496"/>
      <name val="Calibri"/>
      <family val="2"/>
      <scheme val="minor"/>
    </font>
    <font>
      <sz val="11"/>
      <color rgb="FF000000"/>
      <name val="Calibri"/>
      <family val="2"/>
    </font>
    <font>
      <b/>
      <sz val="11"/>
      <color rgb="FF000000"/>
      <name val="Calibri"/>
      <family val="2"/>
    </font>
    <font>
      <sz val="10"/>
      <name val="Verdana"/>
      <family val="2"/>
    </font>
    <font>
      <sz val="11"/>
      <color theme="1"/>
      <name val="Calibri"/>
      <family val="2"/>
    </font>
    <font>
      <b/>
      <sz val="12"/>
      <color theme="1"/>
      <name val="Calibri"/>
      <family val="2"/>
      <charset val="128"/>
      <scheme val="minor"/>
    </font>
    <font>
      <u/>
      <sz val="11"/>
      <color theme="11"/>
      <name val="Calibri"/>
      <family val="2"/>
      <scheme val="minor"/>
    </font>
    <font>
      <sz val="10"/>
      <color theme="1"/>
      <name val="Calibri"/>
      <family val="2"/>
      <scheme val="minor"/>
    </font>
    <font>
      <b/>
      <sz val="10"/>
      <color indexed="9"/>
      <name val="Calibri"/>
      <family val="2"/>
      <scheme val="minor"/>
    </font>
    <font>
      <sz val="10"/>
      <name val="Calibri"/>
      <family val="2"/>
      <scheme val="minor"/>
    </font>
    <font>
      <b/>
      <sz val="10"/>
      <name val="Calibri"/>
      <family val="2"/>
      <scheme val="minor"/>
    </font>
    <font>
      <b/>
      <sz val="10"/>
      <color theme="1"/>
      <name val="Calibri"/>
      <family val="2"/>
      <scheme val="minor"/>
    </font>
    <font>
      <b/>
      <sz val="10"/>
      <color theme="0"/>
      <name val="Calibri"/>
      <family val="2"/>
      <scheme val="minor"/>
    </font>
    <font>
      <b/>
      <sz val="11"/>
      <color theme="0"/>
      <name val="Calibri"/>
      <family val="2"/>
      <scheme val="minor"/>
    </font>
    <font>
      <b/>
      <u/>
      <sz val="10"/>
      <color theme="1"/>
      <name val="Calibri"/>
      <family val="2"/>
      <scheme val="minor"/>
    </font>
    <font>
      <b/>
      <sz val="12"/>
      <name val="Calibri"/>
      <family val="2"/>
      <scheme val="minor"/>
    </font>
    <font>
      <sz val="8"/>
      <name val="Calibri"/>
      <family val="2"/>
      <scheme val="minor"/>
    </font>
    <font>
      <b/>
      <sz val="10"/>
      <color theme="1"/>
      <name val="Calibri"/>
      <family val="2"/>
    </font>
    <font>
      <sz val="10"/>
      <color theme="1"/>
      <name val="Calibri"/>
      <family val="2"/>
    </font>
    <font>
      <b/>
      <sz val="10"/>
      <color indexed="8"/>
      <name val="Calibri"/>
      <family val="2"/>
    </font>
    <font>
      <b/>
      <u/>
      <sz val="11"/>
      <color theme="0"/>
      <name val="Calibri"/>
      <family val="2"/>
      <scheme val="minor"/>
    </font>
    <font>
      <b/>
      <sz val="10"/>
      <color theme="0"/>
      <name val="Arial"/>
      <family val="2"/>
    </font>
    <font>
      <b/>
      <sz val="10"/>
      <color theme="0"/>
      <name val="Calibri"/>
      <family val="2"/>
    </font>
    <font>
      <b/>
      <i/>
      <sz val="9"/>
      <color theme="1"/>
      <name val="Calibri"/>
      <family val="2"/>
      <scheme val="minor"/>
    </font>
    <font>
      <i/>
      <sz val="11"/>
      <color theme="1"/>
      <name val="Calibri"/>
      <family val="2"/>
      <scheme val="minor"/>
    </font>
    <font>
      <u/>
      <sz val="11"/>
      <color theme="1"/>
      <name val="Calibri"/>
      <family val="2"/>
      <scheme val="minor"/>
    </font>
    <font>
      <b/>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0"/>
        <bgColor indexed="64"/>
      </patternFill>
    </fill>
    <fill>
      <patternFill patternType="solid">
        <fgColor theme="8"/>
        <bgColor indexed="64"/>
      </patternFill>
    </fill>
    <fill>
      <patternFill patternType="solid">
        <fgColor rgb="FFCCFFCC"/>
        <bgColor indexed="64"/>
      </patternFill>
    </fill>
    <fill>
      <patternFill patternType="solid">
        <fgColor theme="2"/>
        <bgColor indexed="64"/>
      </patternFill>
    </fill>
  </fills>
  <borders count="69">
    <border>
      <left/>
      <right/>
      <top/>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style="thin">
        <color auto="1"/>
      </bottom>
      <diagonal/>
    </border>
    <border>
      <left/>
      <right style="thin">
        <color theme="0"/>
      </right>
      <top/>
      <bottom/>
      <diagonal/>
    </border>
    <border>
      <left style="thin">
        <color theme="0"/>
      </left>
      <right style="thin">
        <color theme="0"/>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top style="medium">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right/>
      <top style="thin">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bottom style="thin">
        <color auto="1"/>
      </bottom>
      <diagonal/>
    </border>
    <border>
      <left style="thin">
        <color rgb="FF002060"/>
      </left>
      <right/>
      <top style="thin">
        <color theme="0"/>
      </top>
      <bottom style="thin">
        <color theme="0"/>
      </bottom>
      <diagonal/>
    </border>
    <border>
      <left style="medium">
        <color auto="1"/>
      </left>
      <right style="thin">
        <color auto="1"/>
      </right>
      <top style="medium">
        <color auto="1"/>
      </top>
      <bottom style="thin">
        <color theme="0"/>
      </bottom>
      <diagonal/>
    </border>
    <border>
      <left style="thin">
        <color auto="1"/>
      </left>
      <right style="thin">
        <color auto="1"/>
      </right>
      <top style="medium">
        <color auto="1"/>
      </top>
      <bottom style="thin">
        <color theme="0"/>
      </bottom>
      <diagonal/>
    </border>
    <border>
      <left style="thin">
        <color auto="1"/>
      </left>
      <right style="medium">
        <color auto="1"/>
      </right>
      <top style="medium">
        <color auto="1"/>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medium">
        <color rgb="FF002060"/>
      </top>
      <bottom style="medium">
        <color auto="1"/>
      </bottom>
      <diagonal/>
    </border>
    <border>
      <left style="thin">
        <color theme="0"/>
      </left>
      <right style="thin">
        <color theme="0"/>
      </right>
      <top style="medium">
        <color rgb="FF002060"/>
      </top>
      <bottom style="medium">
        <color auto="1"/>
      </bottom>
      <diagonal/>
    </border>
    <border>
      <left style="thin">
        <color theme="0"/>
      </left>
      <right style="medium">
        <color auto="1"/>
      </right>
      <top style="medium">
        <color rgb="FF002060"/>
      </top>
      <bottom style="medium">
        <color auto="1"/>
      </bottom>
      <diagonal/>
    </border>
    <border>
      <left style="thin">
        <color rgb="FF002060"/>
      </left>
      <right/>
      <top style="thin">
        <color auto="1"/>
      </top>
      <bottom style="thin">
        <color theme="0"/>
      </bottom>
      <diagonal/>
    </border>
    <border>
      <left style="medium">
        <color auto="1"/>
      </left>
      <right style="thin">
        <color theme="0"/>
      </right>
      <top style="thin">
        <color theme="0"/>
      </top>
      <bottom style="thin">
        <color auto="1"/>
      </bottom>
      <diagonal/>
    </border>
    <border>
      <left style="thin">
        <color theme="0"/>
      </left>
      <right style="medium">
        <color auto="1"/>
      </right>
      <top style="thin">
        <color theme="0"/>
      </top>
      <bottom style="thin">
        <color auto="1"/>
      </bottom>
      <diagonal/>
    </border>
    <border>
      <left style="medium">
        <color auto="1"/>
      </left>
      <right style="thin">
        <color theme="0"/>
      </right>
      <top/>
      <bottom style="medium">
        <color auto="1"/>
      </bottom>
      <diagonal/>
    </border>
    <border>
      <left style="thin">
        <color theme="0"/>
      </left>
      <right style="thin">
        <color theme="0"/>
      </right>
      <top/>
      <bottom style="medium">
        <color auto="1"/>
      </bottom>
      <diagonal/>
    </border>
    <border>
      <left style="thin">
        <color theme="0"/>
      </left>
      <right style="medium">
        <color auto="1"/>
      </right>
      <top/>
      <bottom style="medium">
        <color auto="1"/>
      </bottom>
      <diagonal/>
    </border>
    <border>
      <left style="thin">
        <color theme="0"/>
      </left>
      <right/>
      <top/>
      <bottom/>
      <diagonal/>
    </border>
    <border>
      <left style="medium">
        <color auto="1"/>
      </left>
      <right style="thin">
        <color theme="0"/>
      </right>
      <top style="medium">
        <color auto="1"/>
      </top>
      <bottom style="thin">
        <color theme="0"/>
      </bottom>
      <diagonal/>
    </border>
    <border>
      <left style="medium">
        <color auto="1"/>
      </left>
      <right/>
      <top style="thin">
        <color theme="0"/>
      </top>
      <bottom style="medium">
        <color rgb="FF002060"/>
      </bottom>
      <diagonal/>
    </border>
    <border>
      <left style="medium">
        <color auto="1"/>
      </left>
      <right/>
      <top style="thin">
        <color theme="0"/>
      </top>
      <bottom style="thin">
        <color theme="0"/>
      </bottom>
      <diagonal/>
    </border>
    <border>
      <left style="thin">
        <color auto="1"/>
      </left>
      <right style="medium">
        <color auto="1"/>
      </right>
      <top/>
      <bottom style="thin">
        <color auto="1"/>
      </bottom>
      <diagonal/>
    </border>
    <border>
      <left style="thin">
        <color indexed="64"/>
      </left>
      <right style="medium">
        <color auto="1"/>
      </right>
      <top/>
      <bottom style="medium">
        <color auto="1"/>
      </bottom>
      <diagonal/>
    </border>
    <border>
      <left style="medium">
        <color auto="1"/>
      </left>
      <right style="thin">
        <color indexed="64"/>
      </right>
      <top/>
      <bottom style="thin">
        <color indexed="64"/>
      </bottom>
      <diagonal/>
    </border>
    <border>
      <left/>
      <right/>
      <top style="medium">
        <color indexed="64"/>
      </top>
      <bottom style="medium">
        <color indexed="64"/>
      </bottom>
      <diagonal/>
    </border>
  </borders>
  <cellStyleXfs count="13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6" fillId="0" borderId="0"/>
    <xf numFmtId="0" fontId="7" fillId="0" borderId="0" applyNumberForma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75" fontId="2" fillId="0" borderId="0"/>
  </cellStyleXfs>
  <cellXfs count="390">
    <xf numFmtId="0" fontId="0" fillId="0" borderId="0" xfId="0"/>
    <xf numFmtId="0" fontId="0" fillId="0" borderId="0" xfId="0" applyBorder="1"/>
    <xf numFmtId="6" fontId="0" fillId="0" borderId="0" xfId="0" applyNumberFormat="1"/>
    <xf numFmtId="44" fontId="0" fillId="0" borderId="0" xfId="2" applyFont="1"/>
    <xf numFmtId="0" fontId="0" fillId="0" borderId="0" xfId="0" applyAlignment="1">
      <alignment horizontal="center"/>
    </xf>
    <xf numFmtId="9" fontId="0" fillId="0" borderId="0" xfId="0" applyNumberFormat="1"/>
    <xf numFmtId="0" fontId="3" fillId="0" borderId="0" xfId="0" applyFont="1"/>
    <xf numFmtId="0" fontId="0" fillId="0" borderId="5" xfId="0" applyBorder="1" applyAlignment="1">
      <alignment horizontal="center"/>
    </xf>
    <xf numFmtId="0" fontId="5" fillId="0" borderId="0" xfId="0" applyFont="1"/>
    <xf numFmtId="0" fontId="0" fillId="0" borderId="0" xfId="0" applyAlignment="1">
      <alignment wrapText="1"/>
    </xf>
    <xf numFmtId="0" fontId="0" fillId="4" borderId="0" xfId="0" applyFont="1" applyFill="1"/>
    <xf numFmtId="9" fontId="0" fillId="2" borderId="0" xfId="0" applyNumberFormat="1" applyFill="1"/>
    <xf numFmtId="0" fontId="0" fillId="4" borderId="0" xfId="0" applyFill="1" applyAlignment="1">
      <alignment wrapText="1"/>
    </xf>
    <xf numFmtId="0" fontId="0" fillId="4" borderId="0" xfId="0" applyFill="1"/>
    <xf numFmtId="165" fontId="0" fillId="4" borderId="0" xfId="0" applyNumberFormat="1" applyFill="1"/>
    <xf numFmtId="169" fontId="0" fillId="4" borderId="0" xfId="0" applyNumberFormat="1" applyFill="1"/>
    <xf numFmtId="0" fontId="0" fillId="4" borderId="27" xfId="0" applyFill="1" applyBorder="1"/>
    <xf numFmtId="0" fontId="0" fillId="4" borderId="0" xfId="0" applyFill="1" applyBorder="1"/>
    <xf numFmtId="0" fontId="0" fillId="4" borderId="21" xfId="0" applyFill="1" applyBorder="1"/>
    <xf numFmtId="0" fontId="9" fillId="0" borderId="0" xfId="0" applyFont="1" applyAlignment="1">
      <alignment vertical="center"/>
    </xf>
    <xf numFmtId="0" fontId="7" fillId="0" borderId="0" xfId="8" applyAlignment="1">
      <alignment vertical="center"/>
    </xf>
    <xf numFmtId="0" fontId="10" fillId="0" borderId="0" xfId="0" applyFont="1" applyAlignment="1">
      <alignment vertical="center"/>
    </xf>
    <xf numFmtId="0" fontId="0" fillId="0" borderId="0" xfId="0" applyAlignment="1">
      <alignment vertical="center"/>
    </xf>
    <xf numFmtId="0" fontId="11" fillId="0" borderId="29" xfId="0" applyFont="1" applyBorder="1" applyAlignment="1">
      <alignment horizontal="center" vertical="center"/>
    </xf>
    <xf numFmtId="0" fontId="11" fillId="0" borderId="20" xfId="0" applyFont="1" applyBorder="1" applyAlignment="1">
      <alignment horizontal="center" vertical="center"/>
    </xf>
    <xf numFmtId="0" fontId="12" fillId="0" borderId="0" xfId="0" applyFont="1" applyFill="1" applyBorder="1" applyAlignment="1">
      <alignment horizontal="center" vertical="center"/>
    </xf>
    <xf numFmtId="0" fontId="12" fillId="0" borderId="28" xfId="0" applyFont="1" applyBorder="1" applyAlignment="1">
      <alignment horizontal="center" vertical="center"/>
    </xf>
    <xf numFmtId="0" fontId="12" fillId="0" borderId="19" xfId="0" applyFont="1" applyBorder="1" applyAlignment="1">
      <alignment horizontal="center" vertical="center"/>
    </xf>
    <xf numFmtId="10" fontId="0" fillId="0" borderId="0" xfId="0" applyNumberFormat="1"/>
    <xf numFmtId="17" fontId="0" fillId="0" borderId="0" xfId="0" applyNumberFormat="1"/>
    <xf numFmtId="0" fontId="17" fillId="0" borderId="0" xfId="0" applyFont="1"/>
    <xf numFmtId="0" fontId="17" fillId="4" borderId="0" xfId="0" applyFont="1" applyFill="1"/>
    <xf numFmtId="0" fontId="17" fillId="4" borderId="0" xfId="0" applyFont="1" applyFill="1" applyBorder="1"/>
    <xf numFmtId="0" fontId="19" fillId="4" borderId="14" xfId="0" applyFont="1" applyFill="1" applyBorder="1" applyAlignment="1">
      <alignment horizontal="center"/>
    </xf>
    <xf numFmtId="166" fontId="20" fillId="4" borderId="0" xfId="0" applyNumberFormat="1" applyFont="1" applyFill="1" applyBorder="1" applyAlignment="1">
      <alignment horizontal="center"/>
    </xf>
    <xf numFmtId="0" fontId="15" fillId="0" borderId="0" xfId="0" applyFont="1"/>
    <xf numFmtId="6" fontId="19" fillId="4" borderId="13" xfId="0" applyNumberFormat="1" applyFont="1" applyFill="1" applyBorder="1" applyAlignment="1"/>
    <xf numFmtId="6" fontId="19" fillId="0" borderId="13" xfId="0" applyNumberFormat="1" applyFont="1" applyFill="1" applyBorder="1" applyAlignment="1">
      <alignment horizontal="right"/>
    </xf>
    <xf numFmtId="6" fontId="19" fillId="0" borderId="16" xfId="0" applyNumberFormat="1" applyFont="1" applyFill="1" applyBorder="1" applyAlignment="1">
      <alignment horizontal="right"/>
    </xf>
    <xf numFmtId="0" fontId="18" fillId="3" borderId="47" xfId="0" applyFont="1" applyFill="1" applyBorder="1" applyAlignment="1">
      <alignment horizontal="center"/>
    </xf>
    <xf numFmtId="0" fontId="18" fillId="3" borderId="48" xfId="0" applyFont="1" applyFill="1" applyBorder="1"/>
    <xf numFmtId="0" fontId="18" fillId="3" borderId="49" xfId="0" applyFont="1" applyFill="1" applyBorder="1" applyAlignment="1">
      <alignment horizontal="center"/>
    </xf>
    <xf numFmtId="0" fontId="18" fillId="3" borderId="50" xfId="0" applyFont="1" applyFill="1" applyBorder="1" applyAlignment="1">
      <alignment horizontal="center"/>
    </xf>
    <xf numFmtId="6" fontId="19" fillId="0" borderId="51" xfId="0" applyNumberFormat="1" applyFont="1" applyFill="1" applyBorder="1" applyAlignment="1"/>
    <xf numFmtId="6" fontId="19" fillId="4" borderId="51" xfId="0" applyNumberFormat="1" applyFont="1" applyFill="1" applyBorder="1" applyAlignment="1"/>
    <xf numFmtId="0" fontId="20" fillId="4" borderId="52" xfId="0" applyFont="1" applyFill="1" applyBorder="1"/>
    <xf numFmtId="0" fontId="20" fillId="4" borderId="53" xfId="0" applyFont="1" applyFill="1" applyBorder="1" applyAlignment="1"/>
    <xf numFmtId="6" fontId="20" fillId="4" borderId="53" xfId="0" applyNumberFormat="1" applyFont="1" applyFill="1" applyBorder="1" applyAlignment="1"/>
    <xf numFmtId="6" fontId="20" fillId="4" borderId="54" xfId="0" applyNumberFormat="1" applyFont="1" applyFill="1" applyBorder="1" applyAlignment="1"/>
    <xf numFmtId="0" fontId="18" fillId="3" borderId="55" xfId="0" applyFont="1" applyFill="1" applyBorder="1" applyAlignment="1">
      <alignment horizontal="center"/>
    </xf>
    <xf numFmtId="6" fontId="19" fillId="0" borderId="57" xfId="0" applyNumberFormat="1" applyFont="1" applyFill="1" applyBorder="1" applyAlignment="1">
      <alignment horizontal="right"/>
    </xf>
    <xf numFmtId="0" fontId="20" fillId="0" borderId="58" xfId="0" applyFont="1" applyBorder="1"/>
    <xf numFmtId="0" fontId="20" fillId="0" borderId="59" xfId="0" applyFont="1" applyBorder="1" applyAlignment="1">
      <alignment horizontal="center"/>
    </xf>
    <xf numFmtId="6" fontId="20" fillId="0" borderId="59" xfId="0" applyNumberFormat="1" applyFont="1" applyBorder="1" applyAlignment="1">
      <alignment horizontal="right"/>
    </xf>
    <xf numFmtId="6" fontId="20" fillId="0" borderId="60" xfId="0" applyNumberFormat="1" applyFont="1" applyFill="1" applyBorder="1" applyAlignment="1">
      <alignment horizontal="right"/>
    </xf>
    <xf numFmtId="0" fontId="19" fillId="0" borderId="17" xfId="0" applyFont="1" applyBorder="1"/>
    <xf numFmtId="0" fontId="19" fillId="0" borderId="18" xfId="0" applyFont="1" applyBorder="1" applyAlignment="1">
      <alignment horizontal="center"/>
    </xf>
    <xf numFmtId="0" fontId="19" fillId="0" borderId="61" xfId="0" applyFont="1" applyBorder="1" applyAlignment="1">
      <alignment horizontal="center"/>
    </xf>
    <xf numFmtId="0" fontId="18" fillId="3" borderId="62" xfId="0" applyFont="1" applyFill="1" applyBorder="1"/>
    <xf numFmtId="0" fontId="18" fillId="3" borderId="30" xfId="0" applyFont="1" applyFill="1" applyBorder="1" applyAlignment="1">
      <alignment horizontal="center"/>
    </xf>
    <xf numFmtId="6" fontId="17" fillId="4" borderId="30" xfId="0" applyNumberFormat="1" applyFont="1" applyFill="1" applyBorder="1"/>
    <xf numFmtId="6" fontId="17" fillId="4" borderId="11" xfId="0" applyNumberFormat="1" applyFont="1" applyFill="1" applyBorder="1"/>
    <xf numFmtId="6" fontId="21" fillId="0" borderId="12" xfId="0" applyNumberFormat="1" applyFont="1" applyBorder="1"/>
    <xf numFmtId="0" fontId="22" fillId="5" borderId="0" xfId="0" applyFont="1" applyFill="1" applyAlignment="1">
      <alignment horizontal="center"/>
    </xf>
    <xf numFmtId="6" fontId="17" fillId="4" borderId="2" xfId="0" applyNumberFormat="1" applyFont="1" applyFill="1" applyBorder="1"/>
    <xf numFmtId="6" fontId="17" fillId="4" borderId="31" xfId="0" applyNumberFormat="1" applyFont="1" applyFill="1" applyBorder="1"/>
    <xf numFmtId="6" fontId="17" fillId="4" borderId="25" xfId="0" applyNumberFormat="1" applyFont="1" applyFill="1" applyBorder="1"/>
    <xf numFmtId="6" fontId="17" fillId="4" borderId="4" xfId="0" applyNumberFormat="1" applyFont="1" applyFill="1" applyBorder="1"/>
    <xf numFmtId="6" fontId="17" fillId="4" borderId="0" xfId="0" applyNumberFormat="1" applyFont="1" applyFill="1" applyBorder="1"/>
    <xf numFmtId="6" fontId="17" fillId="4" borderId="8" xfId="0" applyNumberFormat="1" applyFont="1" applyFill="1" applyBorder="1"/>
    <xf numFmtId="6" fontId="17" fillId="4" borderId="5" xfId="0" applyNumberFormat="1" applyFont="1" applyFill="1" applyBorder="1"/>
    <xf numFmtId="0" fontId="20" fillId="4" borderId="0" xfId="0" applyFont="1" applyFill="1" applyBorder="1"/>
    <xf numFmtId="0" fontId="21" fillId="4" borderId="0" xfId="0" applyFont="1" applyFill="1"/>
    <xf numFmtId="0" fontId="19" fillId="4" borderId="15" xfId="0" applyFont="1" applyFill="1" applyBorder="1" applyAlignment="1">
      <alignment horizontal="center"/>
    </xf>
    <xf numFmtId="0" fontId="19" fillId="0" borderId="15" xfId="0" applyFont="1" applyFill="1" applyBorder="1" applyAlignment="1">
      <alignment horizontal="center"/>
    </xf>
    <xf numFmtId="0" fontId="19" fillId="4" borderId="64" xfId="0" applyFont="1" applyFill="1" applyBorder="1"/>
    <xf numFmtId="0" fontId="19" fillId="4" borderId="63" xfId="0" applyFont="1" applyFill="1" applyBorder="1"/>
    <xf numFmtId="0" fontId="0" fillId="0" borderId="0" xfId="0" applyFont="1"/>
    <xf numFmtId="0" fontId="23" fillId="5" borderId="0" xfId="0" applyFont="1" applyFill="1" applyBorder="1" applyAlignment="1">
      <alignment horizontal="center"/>
    </xf>
    <xf numFmtId="6" fontId="17" fillId="4" borderId="0" xfId="2" applyNumberFormat="1" applyFont="1" applyFill="1" applyBorder="1"/>
    <xf numFmtId="0" fontId="21" fillId="4" borderId="0" xfId="0" applyFont="1" applyFill="1" applyBorder="1" applyAlignment="1">
      <alignment horizontal="right"/>
    </xf>
    <xf numFmtId="6" fontId="17" fillId="4" borderId="0" xfId="0" applyNumberFormat="1" applyFont="1" applyFill="1"/>
    <xf numFmtId="6" fontId="21" fillId="4" borderId="0" xfId="0" applyNumberFormat="1" applyFont="1" applyFill="1"/>
    <xf numFmtId="0" fontId="17" fillId="2" borderId="0" xfId="0" applyFont="1" applyFill="1"/>
    <xf numFmtId="0" fontId="17" fillId="4" borderId="0" xfId="0" applyFont="1" applyFill="1" applyAlignment="1">
      <alignment horizontal="right"/>
    </xf>
    <xf numFmtId="6" fontId="0" fillId="0" borderId="5" xfId="0" applyNumberFormat="1" applyBorder="1"/>
    <xf numFmtId="0" fontId="0" fillId="0" borderId="0" xfId="0" applyFont="1" applyAlignment="1">
      <alignment horizontal="right"/>
    </xf>
    <xf numFmtId="0" fontId="23" fillId="5" borderId="0" xfId="0" applyFont="1" applyFill="1" applyAlignment="1">
      <alignment horizontal="center"/>
    </xf>
    <xf numFmtId="0" fontId="3" fillId="4" borderId="0" xfId="0" applyFont="1" applyFill="1" applyAlignment="1">
      <alignment horizontal="right"/>
    </xf>
    <xf numFmtId="6" fontId="0" fillId="4" borderId="0" xfId="2" applyNumberFormat="1" applyFont="1" applyFill="1" applyBorder="1"/>
    <xf numFmtId="6" fontId="0" fillId="4" borderId="5" xfId="2" applyNumberFormat="1" applyFont="1" applyFill="1" applyBorder="1"/>
    <xf numFmtId="6" fontId="3" fillId="4" borderId="0" xfId="0" applyNumberFormat="1" applyFont="1" applyFill="1"/>
    <xf numFmtId="0" fontId="3" fillId="4" borderId="12" xfId="0" applyFont="1" applyFill="1" applyBorder="1" applyAlignment="1">
      <alignment horizontal="right"/>
    </xf>
    <xf numFmtId="0" fontId="0" fillId="4" borderId="0" xfId="0" applyFill="1" applyAlignment="1">
      <alignment horizontal="center"/>
    </xf>
    <xf numFmtId="0" fontId="0" fillId="6" borderId="0" xfId="0" applyFill="1" applyAlignment="1">
      <alignment horizontal="center"/>
    </xf>
    <xf numFmtId="173" fontId="0" fillId="6" borderId="0" xfId="0" applyNumberFormat="1" applyFill="1" applyAlignment="1">
      <alignment horizontal="center"/>
    </xf>
    <xf numFmtId="0" fontId="24" fillId="4" borderId="39" xfId="0" applyFont="1" applyFill="1" applyBorder="1" applyAlignment="1">
      <alignment wrapText="1"/>
    </xf>
    <xf numFmtId="0" fontId="17" fillId="4" borderId="39" xfId="0" applyFont="1" applyFill="1" applyBorder="1" applyAlignment="1">
      <alignment wrapText="1"/>
    </xf>
    <xf numFmtId="0" fontId="17" fillId="4" borderId="41" xfId="0" applyFont="1" applyFill="1" applyBorder="1" applyAlignment="1">
      <alignment wrapText="1"/>
    </xf>
    <xf numFmtId="8" fontId="17" fillId="4" borderId="42" xfId="0" applyNumberFormat="1" applyFont="1" applyFill="1" applyBorder="1"/>
    <xf numFmtId="8" fontId="17" fillId="4" borderId="43" xfId="0" applyNumberFormat="1" applyFont="1" applyFill="1" applyBorder="1"/>
    <xf numFmtId="0" fontId="17" fillId="4" borderId="0" xfId="0" applyFont="1" applyFill="1" applyBorder="1" applyAlignment="1">
      <alignment wrapText="1"/>
    </xf>
    <xf numFmtId="164" fontId="17" fillId="4" borderId="12" xfId="1" applyNumberFormat="1" applyFont="1" applyFill="1" applyBorder="1"/>
    <xf numFmtId="164" fontId="17" fillId="4" borderId="40" xfId="1" applyNumberFormat="1" applyFont="1" applyFill="1" applyBorder="1"/>
    <xf numFmtId="9" fontId="17" fillId="4" borderId="12" xfId="0" applyNumberFormat="1" applyFont="1" applyFill="1" applyBorder="1"/>
    <xf numFmtId="0" fontId="17" fillId="4" borderId="39" xfId="0" applyFont="1" applyFill="1" applyBorder="1" applyAlignment="1">
      <alignment horizontal="left" vertical="top" wrapText="1"/>
    </xf>
    <xf numFmtId="165" fontId="17" fillId="4" borderId="12" xfId="0" applyNumberFormat="1" applyFont="1" applyFill="1" applyBorder="1"/>
    <xf numFmtId="165" fontId="17" fillId="4" borderId="40" xfId="0" applyNumberFormat="1" applyFont="1" applyFill="1" applyBorder="1"/>
    <xf numFmtId="164" fontId="17" fillId="4" borderId="0" xfId="1" applyNumberFormat="1" applyFont="1" applyFill="1" applyBorder="1"/>
    <xf numFmtId="8" fontId="17" fillId="4" borderId="0" xfId="0" applyNumberFormat="1" applyFont="1" applyFill="1" applyBorder="1"/>
    <xf numFmtId="0" fontId="17" fillId="4" borderId="36" xfId="0" applyFont="1" applyFill="1" applyBorder="1" applyAlignment="1">
      <alignment wrapText="1"/>
    </xf>
    <xf numFmtId="0" fontId="19" fillId="0" borderId="0" xfId="4" applyFont="1"/>
    <xf numFmtId="0" fontId="25" fillId="4" borderId="0" xfId="4" applyFont="1" applyFill="1"/>
    <xf numFmtId="0" fontId="19" fillId="4" borderId="0" xfId="4" applyFont="1" applyFill="1"/>
    <xf numFmtId="0" fontId="19" fillId="4" borderId="9" xfId="4" applyFont="1" applyFill="1" applyBorder="1" applyAlignment="1">
      <alignment horizontal="left"/>
    </xf>
    <xf numFmtId="0" fontId="19" fillId="4" borderId="3" xfId="4" applyFont="1" applyFill="1" applyBorder="1"/>
    <xf numFmtId="164" fontId="19" fillId="4" borderId="10" xfId="4" applyNumberFormat="1" applyFont="1" applyFill="1" applyBorder="1" applyAlignment="1"/>
    <xf numFmtId="0" fontId="19" fillId="4" borderId="9" xfId="4" applyFont="1" applyFill="1" applyBorder="1"/>
    <xf numFmtId="0" fontId="20" fillId="4" borderId="0" xfId="4" applyFont="1" applyFill="1"/>
    <xf numFmtId="164" fontId="19" fillId="4" borderId="0" xfId="4" applyNumberFormat="1" applyFont="1" applyFill="1"/>
    <xf numFmtId="8" fontId="19" fillId="4" borderId="0" xfId="4" applyNumberFormat="1" applyFont="1" applyFill="1"/>
    <xf numFmtId="0" fontId="20" fillId="4" borderId="0" xfId="4" applyFont="1" applyFill="1" applyAlignment="1">
      <alignment horizontal="left"/>
    </xf>
    <xf numFmtId="0" fontId="20" fillId="4" borderId="0" xfId="4" applyFont="1" applyFill="1" applyAlignment="1">
      <alignment horizontal="right"/>
    </xf>
    <xf numFmtId="172" fontId="19" fillId="4" borderId="0" xfId="4" applyNumberFormat="1" applyFont="1" applyFill="1"/>
    <xf numFmtId="169" fontId="19" fillId="4" borderId="0" xfId="4" applyNumberFormat="1" applyFont="1" applyFill="1"/>
    <xf numFmtId="168" fontId="19" fillId="4" borderId="0" xfId="4" applyNumberFormat="1" applyFont="1" applyFill="1"/>
    <xf numFmtId="0" fontId="19" fillId="4" borderId="5" xfId="4" applyFont="1" applyFill="1" applyBorder="1"/>
    <xf numFmtId="0" fontId="19" fillId="4" borderId="5" xfId="4" applyFont="1" applyFill="1" applyBorder="1" applyAlignment="1">
      <alignment horizontal="right"/>
    </xf>
    <xf numFmtId="172" fontId="19" fillId="4" borderId="5" xfId="4" applyNumberFormat="1" applyFont="1" applyFill="1" applyBorder="1"/>
    <xf numFmtId="169" fontId="19" fillId="4" borderId="5" xfId="4" applyNumberFormat="1" applyFont="1" applyFill="1" applyBorder="1"/>
    <xf numFmtId="168" fontId="19" fillId="4" borderId="5" xfId="4" applyNumberFormat="1" applyFont="1" applyFill="1" applyBorder="1"/>
    <xf numFmtId="0" fontId="19" fillId="4" borderId="0" xfId="4" applyFont="1" applyFill="1" applyAlignment="1">
      <alignment horizontal="right"/>
    </xf>
    <xf numFmtId="167" fontId="19" fillId="4" borderId="0" xfId="4" applyNumberFormat="1" applyFont="1" applyFill="1"/>
    <xf numFmtId="0" fontId="2" fillId="0" borderId="0" xfId="0" applyFont="1"/>
    <xf numFmtId="0" fontId="19" fillId="4" borderId="0" xfId="4" applyFont="1" applyFill="1" applyBorder="1"/>
    <xf numFmtId="168" fontId="19" fillId="4" borderId="0" xfId="4" applyNumberFormat="1" applyFont="1" applyFill="1" applyBorder="1"/>
    <xf numFmtId="167" fontId="19" fillId="4" borderId="5" xfId="4" applyNumberFormat="1" applyFont="1" applyFill="1" applyBorder="1"/>
    <xf numFmtId="171" fontId="19" fillId="4" borderId="0" xfId="4" applyNumberFormat="1" applyFont="1" applyFill="1"/>
    <xf numFmtId="8" fontId="19" fillId="4" borderId="5" xfId="4" applyNumberFormat="1" applyFont="1" applyFill="1" applyBorder="1"/>
    <xf numFmtId="171" fontId="19" fillId="4" borderId="5" xfId="4" applyNumberFormat="1" applyFont="1" applyFill="1" applyBorder="1"/>
    <xf numFmtId="170" fontId="19" fillId="4" borderId="5" xfId="4" applyNumberFormat="1" applyFont="1" applyFill="1" applyBorder="1"/>
    <xf numFmtId="167" fontId="19" fillId="4" borderId="0" xfId="4" applyNumberFormat="1" applyFont="1" applyFill="1" applyBorder="1"/>
    <xf numFmtId="0" fontId="19" fillId="4" borderId="21" xfId="4" applyFont="1" applyFill="1" applyBorder="1"/>
    <xf numFmtId="0" fontId="19" fillId="0" borderId="0" xfId="4" applyFont="1" applyFill="1"/>
    <xf numFmtId="0" fontId="19" fillId="4" borderId="6" xfId="4" applyFont="1" applyFill="1" applyBorder="1"/>
    <xf numFmtId="0" fontId="19" fillId="4" borderId="24" xfId="4" applyFont="1" applyFill="1" applyBorder="1"/>
    <xf numFmtId="44" fontId="19" fillId="4" borderId="23" xfId="4" applyNumberFormat="1" applyFont="1" applyFill="1" applyBorder="1"/>
    <xf numFmtId="0" fontId="19" fillId="4" borderId="34" xfId="4" applyFont="1" applyFill="1" applyBorder="1"/>
    <xf numFmtId="0" fontId="19" fillId="4" borderId="35" xfId="4" applyFont="1" applyFill="1" applyBorder="1"/>
    <xf numFmtId="44" fontId="19" fillId="4" borderId="22" xfId="4" applyNumberFormat="1" applyFont="1" applyFill="1" applyBorder="1"/>
    <xf numFmtId="165" fontId="19" fillId="4" borderId="0" xfId="4" applyNumberFormat="1" applyFont="1" applyFill="1" applyBorder="1"/>
    <xf numFmtId="165" fontId="19" fillId="4" borderId="20" xfId="4" applyNumberFormat="1" applyFont="1" applyFill="1" applyBorder="1"/>
    <xf numFmtId="164" fontId="17" fillId="4" borderId="0" xfId="5" applyNumberFormat="1" applyFont="1" applyFill="1"/>
    <xf numFmtId="43" fontId="17" fillId="4" borderId="0" xfId="5" applyFont="1" applyFill="1"/>
    <xf numFmtId="164" fontId="17" fillId="4" borderId="5" xfId="5" applyNumberFormat="1" applyFont="1" applyFill="1" applyBorder="1"/>
    <xf numFmtId="43" fontId="17" fillId="4" borderId="5" xfId="5" applyFont="1" applyFill="1" applyBorder="1"/>
    <xf numFmtId="5" fontId="17" fillId="4" borderId="5" xfId="5" applyNumberFormat="1" applyFont="1" applyFill="1" applyBorder="1"/>
    <xf numFmtId="7" fontId="17" fillId="4" borderId="0" xfId="5" applyNumberFormat="1" applyFont="1" applyFill="1"/>
    <xf numFmtId="168" fontId="17" fillId="4" borderId="0" xfId="6" applyNumberFormat="1" applyFont="1" applyFill="1"/>
    <xf numFmtId="164" fontId="17" fillId="0" borderId="0" xfId="5" applyNumberFormat="1" applyFont="1"/>
    <xf numFmtId="38" fontId="19" fillId="4" borderId="0" xfId="4" applyNumberFormat="1" applyFont="1" applyFill="1"/>
    <xf numFmtId="3" fontId="20" fillId="2" borderId="0" xfId="4" applyNumberFormat="1" applyFont="1" applyFill="1"/>
    <xf numFmtId="164" fontId="17" fillId="4" borderId="10" xfId="5" applyNumberFormat="1" applyFont="1" applyFill="1" applyBorder="1"/>
    <xf numFmtId="164" fontId="17" fillId="4" borderId="12" xfId="5" applyNumberFormat="1" applyFont="1" applyFill="1" applyBorder="1"/>
    <xf numFmtId="172" fontId="20" fillId="2" borderId="0" xfId="4" applyNumberFormat="1" applyFont="1" applyFill="1"/>
    <xf numFmtId="164" fontId="17" fillId="6" borderId="0" xfId="5" applyNumberFormat="1" applyFont="1" applyFill="1"/>
    <xf numFmtId="169" fontId="19" fillId="6" borderId="0" xfId="4" applyNumberFormat="1" applyFont="1" applyFill="1"/>
    <xf numFmtId="168" fontId="20" fillId="6" borderId="0" xfId="4" applyNumberFormat="1" applyFont="1" applyFill="1"/>
    <xf numFmtId="0" fontId="20" fillId="2" borderId="0" xfId="4" applyFont="1" applyFill="1" applyAlignment="1">
      <alignment horizontal="left"/>
    </xf>
    <xf numFmtId="5" fontId="19" fillId="6" borderId="0" xfId="4" applyNumberFormat="1" applyFont="1" applyFill="1"/>
    <xf numFmtId="168" fontId="20" fillId="6" borderId="0" xfId="4" applyNumberFormat="1" applyFont="1" applyFill="1" applyBorder="1"/>
    <xf numFmtId="167" fontId="19" fillId="2" borderId="0" xfId="4" applyNumberFormat="1" applyFont="1" applyFill="1"/>
    <xf numFmtId="167" fontId="19" fillId="6" borderId="0" xfId="4" applyNumberFormat="1" applyFont="1" applyFill="1" applyBorder="1"/>
    <xf numFmtId="164" fontId="17" fillId="6" borderId="12" xfId="1" applyNumberFormat="1" applyFont="1" applyFill="1" applyBorder="1"/>
    <xf numFmtId="164" fontId="17" fillId="6" borderId="40" xfId="1" applyNumberFormat="1" applyFont="1" applyFill="1" applyBorder="1"/>
    <xf numFmtId="8" fontId="17" fillId="2" borderId="42" xfId="0" applyNumberFormat="1" applyFont="1" applyFill="1" applyBorder="1"/>
    <xf numFmtId="9" fontId="17" fillId="2" borderId="12" xfId="3" applyFont="1" applyFill="1" applyBorder="1" applyAlignment="1">
      <alignment horizontal="center"/>
    </xf>
    <xf numFmtId="164" fontId="17" fillId="6" borderId="12" xfId="0" applyNumberFormat="1" applyFont="1" applyFill="1" applyBorder="1"/>
    <xf numFmtId="9" fontId="17" fillId="2" borderId="12" xfId="3" applyFont="1" applyFill="1" applyBorder="1"/>
    <xf numFmtId="9" fontId="17" fillId="6" borderId="12" xfId="0" applyNumberFormat="1" applyFont="1" applyFill="1" applyBorder="1"/>
    <xf numFmtId="164" fontId="17" fillId="2" borderId="12" xfId="1" applyNumberFormat="1" applyFont="1" applyFill="1" applyBorder="1"/>
    <xf numFmtId="8" fontId="17" fillId="2" borderId="12" xfId="0" applyNumberFormat="1" applyFont="1" applyFill="1" applyBorder="1"/>
    <xf numFmtId="8" fontId="17" fillId="2" borderId="30" xfId="0" applyNumberFormat="1" applyFont="1" applyFill="1" applyBorder="1"/>
    <xf numFmtId="8" fontId="17" fillId="6" borderId="12" xfId="0" applyNumberFormat="1" applyFont="1" applyFill="1" applyBorder="1"/>
    <xf numFmtId="8" fontId="17" fillId="6" borderId="40" xfId="0" applyNumberFormat="1" applyFont="1" applyFill="1" applyBorder="1"/>
    <xf numFmtId="8" fontId="17" fillId="6" borderId="37" xfId="0" applyNumberFormat="1" applyFont="1" applyFill="1" applyBorder="1"/>
    <xf numFmtId="44" fontId="17" fillId="6" borderId="12" xfId="0" applyNumberFormat="1" applyFont="1" applyFill="1" applyBorder="1"/>
    <xf numFmtId="0" fontId="17" fillId="4" borderId="39" xfId="0" applyFont="1" applyFill="1" applyBorder="1" applyAlignment="1">
      <alignment vertical="center" wrapText="1"/>
    </xf>
    <xf numFmtId="44" fontId="17" fillId="2" borderId="12" xfId="0" applyNumberFormat="1" applyFont="1" applyFill="1" applyBorder="1"/>
    <xf numFmtId="44" fontId="17" fillId="6" borderId="40" xfId="0" applyNumberFormat="1" applyFont="1" applyFill="1" applyBorder="1"/>
    <xf numFmtId="0" fontId="3" fillId="0" borderId="0" xfId="0" applyFont="1" applyBorder="1"/>
    <xf numFmtId="0" fontId="27" fillId="0" borderId="5" xfId="0" applyFont="1" applyBorder="1"/>
    <xf numFmtId="0" fontId="28" fillId="0" borderId="0" xfId="0" applyFont="1" applyAlignment="1">
      <alignment horizontal="right"/>
    </xf>
    <xf numFmtId="6" fontId="28" fillId="0" borderId="0" xfId="1" applyNumberFormat="1" applyFont="1"/>
    <xf numFmtId="6" fontId="28" fillId="0" borderId="0" xfId="0" applyNumberFormat="1" applyFont="1"/>
    <xf numFmtId="0" fontId="28" fillId="0" borderId="5" xfId="0" applyFont="1" applyBorder="1" applyAlignment="1">
      <alignment horizontal="right"/>
    </xf>
    <xf numFmtId="6" fontId="28" fillId="0" borderId="5" xfId="1" applyNumberFormat="1" applyFont="1" applyBorder="1"/>
    <xf numFmtId="6" fontId="28" fillId="0" borderId="5" xfId="0" applyNumberFormat="1" applyFont="1" applyBorder="1"/>
    <xf numFmtId="0" fontId="27" fillId="0" borderId="0" xfId="0" applyFont="1"/>
    <xf numFmtId="6" fontId="27" fillId="0" borderId="0" xfId="1" applyNumberFormat="1" applyFont="1"/>
    <xf numFmtId="6" fontId="27" fillId="0" borderId="0" xfId="0" applyNumberFormat="1" applyFont="1"/>
    <xf numFmtId="0" fontId="28" fillId="0" borderId="0" xfId="0" applyFont="1"/>
    <xf numFmtId="0" fontId="29" fillId="0" borderId="5" xfId="0" applyFont="1" applyBorder="1"/>
    <xf numFmtId="0" fontId="27" fillId="0" borderId="0" xfId="0" applyFont="1" applyBorder="1"/>
    <xf numFmtId="0" fontId="28" fillId="0" borderId="0" xfId="0" applyFont="1" applyBorder="1"/>
    <xf numFmtId="0" fontId="27" fillId="0" borderId="0" xfId="0" applyFont="1" applyFill="1" applyBorder="1"/>
    <xf numFmtId="0" fontId="28" fillId="0" borderId="0" xfId="0" applyFont="1" applyFill="1" applyBorder="1"/>
    <xf numFmtId="6" fontId="28" fillId="0" borderId="0" xfId="1" applyNumberFormat="1" applyFont="1" applyBorder="1"/>
    <xf numFmtId="0" fontId="28" fillId="0" borderId="5" xfId="0" applyFont="1" applyBorder="1"/>
    <xf numFmtId="0" fontId="0" fillId="0" borderId="0" xfId="0" applyFont="1" applyBorder="1"/>
    <xf numFmtId="6" fontId="0" fillId="0" borderId="0" xfId="0" quotePrefix="1" applyNumberFormat="1" applyFont="1" applyBorder="1" applyAlignment="1">
      <alignment horizontal="center"/>
    </xf>
    <xf numFmtId="0" fontId="21" fillId="0" borderId="0" xfId="0" applyFont="1"/>
    <xf numFmtId="0" fontId="19" fillId="4" borderId="12" xfId="4" applyFont="1" applyFill="1" applyBorder="1" applyAlignment="1">
      <alignment horizontal="center"/>
    </xf>
    <xf numFmtId="0" fontId="15" fillId="4" borderId="0" xfId="0" applyFont="1" applyFill="1"/>
    <xf numFmtId="6" fontId="14" fillId="4" borderId="0" xfId="2" applyNumberFormat="1" applyFont="1" applyFill="1" applyBorder="1"/>
    <xf numFmtId="8" fontId="0" fillId="4" borderId="0" xfId="0" applyNumberFormat="1" applyFill="1"/>
    <xf numFmtId="169" fontId="14" fillId="4" borderId="0" xfId="0" applyNumberFormat="1" applyFont="1" applyFill="1" applyBorder="1"/>
    <xf numFmtId="0" fontId="14" fillId="4" borderId="0" xfId="0" applyFont="1" applyFill="1" applyBorder="1"/>
    <xf numFmtId="9" fontId="14" fillId="4" borderId="0" xfId="0" applyNumberFormat="1" applyFont="1" applyFill="1" applyBorder="1" applyAlignment="1">
      <alignment horizontal="center"/>
    </xf>
    <xf numFmtId="6" fontId="14" fillId="4" borderId="0" xfId="0" applyNumberFormat="1" applyFont="1" applyFill="1" applyBorder="1"/>
    <xf numFmtId="0" fontId="0" fillId="4" borderId="5" xfId="0" applyFill="1" applyBorder="1"/>
    <xf numFmtId="1" fontId="0" fillId="4" borderId="0" xfId="0" applyNumberFormat="1" applyFill="1"/>
    <xf numFmtId="9" fontId="0" fillId="4" borderId="0" xfId="0" applyNumberFormat="1" applyFill="1"/>
    <xf numFmtId="9" fontId="0" fillId="4" borderId="0" xfId="0" applyNumberFormat="1" applyFill="1" applyAlignment="1">
      <alignment horizontal="center"/>
    </xf>
    <xf numFmtId="0" fontId="30" fillId="5" borderId="0" xfId="0" applyFont="1" applyFill="1"/>
    <xf numFmtId="0" fontId="23" fillId="5" borderId="5" xfId="0" applyFont="1" applyFill="1" applyBorder="1" applyAlignment="1">
      <alignment horizontal="center"/>
    </xf>
    <xf numFmtId="0" fontId="23" fillId="5" borderId="12" xfId="0" applyFont="1" applyFill="1" applyBorder="1" applyAlignment="1">
      <alignment horizontal="center" vertical="center"/>
    </xf>
    <xf numFmtId="0" fontId="22" fillId="5" borderId="36" xfId="0" applyFont="1" applyFill="1" applyBorder="1" applyAlignment="1">
      <alignment wrapText="1"/>
    </xf>
    <xf numFmtId="0" fontId="22" fillId="5" borderId="37" xfId="0" applyFont="1" applyFill="1" applyBorder="1" applyAlignment="1">
      <alignment horizontal="center"/>
    </xf>
    <xf numFmtId="0" fontId="22" fillId="5" borderId="38" xfId="0" applyFont="1" applyFill="1" applyBorder="1" applyAlignment="1">
      <alignment horizontal="center"/>
    </xf>
    <xf numFmtId="0" fontId="31" fillId="5" borderId="36" xfId="0" applyFont="1" applyFill="1" applyBorder="1" applyAlignment="1">
      <alignment vertical="center" wrapText="1"/>
    </xf>
    <xf numFmtId="17" fontId="22" fillId="5" borderId="0" xfId="0" quotePrefix="1" applyNumberFormat="1" applyFont="1" applyFill="1" applyAlignment="1">
      <alignment horizontal="center"/>
    </xf>
    <xf numFmtId="17" fontId="22" fillId="5" borderId="5" xfId="0" quotePrefix="1" applyNumberFormat="1" applyFont="1" applyFill="1" applyBorder="1" applyAlignment="1">
      <alignment horizontal="center"/>
    </xf>
    <xf numFmtId="6" fontId="17" fillId="4" borderId="0" xfId="0" quotePrefix="1" applyNumberFormat="1" applyFont="1" applyFill="1" applyAlignment="1">
      <alignment horizontal="right"/>
    </xf>
    <xf numFmtId="6" fontId="17" fillId="4" borderId="5" xfId="0" quotePrefix="1" applyNumberFormat="1" applyFont="1" applyFill="1" applyBorder="1" applyAlignment="1">
      <alignment horizontal="right"/>
    </xf>
    <xf numFmtId="0" fontId="21" fillId="4" borderId="0" xfId="0" applyFont="1" applyFill="1" applyAlignment="1">
      <alignment horizontal="right"/>
    </xf>
    <xf numFmtId="17" fontId="17" fillId="4" borderId="0" xfId="0" quotePrefix="1" applyNumberFormat="1" applyFont="1" applyFill="1" applyAlignment="1">
      <alignment horizontal="center"/>
    </xf>
    <xf numFmtId="6" fontId="17" fillId="4" borderId="0" xfId="0" quotePrefix="1" applyNumberFormat="1" applyFont="1" applyFill="1" applyAlignment="1">
      <alignment horizontal="center"/>
    </xf>
    <xf numFmtId="40" fontId="21" fillId="6" borderId="0" xfId="0" quotePrefix="1" applyNumberFormat="1" applyFont="1" applyFill="1" applyAlignment="1">
      <alignment horizontal="center"/>
    </xf>
    <xf numFmtId="0" fontId="0" fillId="4" borderId="4" xfId="0" applyFill="1" applyBorder="1" applyAlignment="1">
      <alignment horizontal="left" indent="1"/>
    </xf>
    <xf numFmtId="0" fontId="3" fillId="4" borderId="0" xfId="0" applyFont="1" applyFill="1"/>
    <xf numFmtId="0" fontId="0" fillId="4" borderId="0" xfId="0" applyFont="1" applyFill="1" applyAlignment="1">
      <alignment horizontal="right"/>
    </xf>
    <xf numFmtId="0" fontId="17" fillId="4" borderId="5" xfId="0" applyFont="1" applyFill="1" applyBorder="1" applyAlignment="1">
      <alignment horizontal="right"/>
    </xf>
    <xf numFmtId="0" fontId="21" fillId="4" borderId="5" xfId="0" applyFont="1" applyFill="1" applyBorder="1" applyAlignment="1">
      <alignment horizontal="right"/>
    </xf>
    <xf numFmtId="165" fontId="17" fillId="4" borderId="0" xfId="0" applyNumberFormat="1" applyFont="1" applyFill="1"/>
    <xf numFmtId="165" fontId="17" fillId="4" borderId="0" xfId="0" applyNumberFormat="1" applyFont="1" applyFill="1" applyBorder="1"/>
    <xf numFmtId="165" fontId="21" fillId="4" borderId="0" xfId="0" applyNumberFormat="1" applyFont="1" applyFill="1"/>
    <xf numFmtId="0" fontId="17" fillId="4" borderId="5" xfId="0" applyFont="1" applyFill="1" applyBorder="1"/>
    <xf numFmtId="6" fontId="21" fillId="4" borderId="5" xfId="0" applyNumberFormat="1" applyFont="1" applyFill="1" applyBorder="1"/>
    <xf numFmtId="6" fontId="21" fillId="4" borderId="0" xfId="0" quotePrefix="1" applyNumberFormat="1" applyFont="1" applyFill="1" applyAlignment="1">
      <alignment horizontal="right"/>
    </xf>
    <xf numFmtId="0" fontId="21" fillId="4" borderId="0" xfId="0" applyFont="1" applyFill="1" applyBorder="1"/>
    <xf numFmtId="17" fontId="17" fillId="4" borderId="0" xfId="0" applyNumberFormat="1" applyFont="1" applyFill="1" applyBorder="1"/>
    <xf numFmtId="17" fontId="32" fillId="5" borderId="5" xfId="0" quotePrefix="1" applyNumberFormat="1" applyFont="1" applyFill="1" applyBorder="1" applyAlignment="1">
      <alignment horizontal="center"/>
    </xf>
    <xf numFmtId="17" fontId="23" fillId="5" borderId="5" xfId="0" quotePrefix="1" applyNumberFormat="1" applyFont="1" applyFill="1" applyBorder="1" applyAlignment="1">
      <alignment horizontal="center"/>
    </xf>
    <xf numFmtId="0" fontId="1" fillId="4" borderId="6" xfId="0" applyFont="1" applyFill="1" applyBorder="1"/>
    <xf numFmtId="0" fontId="0" fillId="4" borderId="24" xfId="0" applyFill="1" applyBorder="1"/>
    <xf numFmtId="6" fontId="0" fillId="4" borderId="32" xfId="0" applyNumberFormat="1" applyFill="1" applyBorder="1"/>
    <xf numFmtId="0" fontId="0" fillId="4" borderId="7" xfId="0" applyFont="1" applyFill="1" applyBorder="1"/>
    <xf numFmtId="0" fontId="0" fillId="4" borderId="33" xfId="0" applyFill="1" applyBorder="1" applyAlignment="1">
      <alignment horizontal="center"/>
    </xf>
    <xf numFmtId="0" fontId="1" fillId="4" borderId="7" xfId="0" applyFont="1" applyFill="1" applyBorder="1"/>
    <xf numFmtId="6" fontId="0" fillId="4" borderId="33" xfId="0" applyNumberFormat="1" applyFill="1" applyBorder="1"/>
    <xf numFmtId="0" fontId="1" fillId="4" borderId="1" xfId="0" applyFont="1" applyFill="1" applyBorder="1"/>
    <xf numFmtId="10" fontId="0" fillId="4" borderId="29" xfId="0" applyNumberFormat="1" applyFill="1" applyBorder="1" applyAlignment="1">
      <alignment horizontal="center"/>
    </xf>
    <xf numFmtId="9" fontId="17" fillId="4" borderId="0" xfId="3" applyFont="1" applyFill="1" applyBorder="1"/>
    <xf numFmtId="17" fontId="22" fillId="5" borderId="0" xfId="0" quotePrefix="1" applyNumberFormat="1" applyFont="1" applyFill="1" applyBorder="1" applyAlignment="1">
      <alignment horizontal="center"/>
    </xf>
    <xf numFmtId="0" fontId="22" fillId="5" borderId="0" xfId="0" applyFont="1" applyFill="1" applyBorder="1"/>
    <xf numFmtId="9" fontId="17" fillId="6" borderId="40" xfId="0" applyNumberFormat="1" applyFont="1" applyFill="1" applyBorder="1"/>
    <xf numFmtId="9" fontId="17" fillId="4" borderId="40" xfId="0" applyNumberFormat="1" applyFont="1" applyFill="1" applyBorder="1"/>
    <xf numFmtId="0" fontId="17" fillId="0" borderId="7" xfId="0" applyFont="1" applyBorder="1"/>
    <xf numFmtId="0" fontId="25" fillId="0" borderId="0" xfId="4" applyFont="1"/>
    <xf numFmtId="0" fontId="22" fillId="5" borderId="5" xfId="4" applyFont="1" applyFill="1" applyBorder="1" applyAlignment="1">
      <alignment horizontal="center"/>
    </xf>
    <xf numFmtId="164" fontId="23" fillId="5" borderId="5" xfId="5" applyNumberFormat="1" applyFont="1" applyFill="1" applyBorder="1" applyAlignment="1">
      <alignment horizontal="center"/>
    </xf>
    <xf numFmtId="169" fontId="20" fillId="4" borderId="0" xfId="4" applyNumberFormat="1" applyFont="1" applyFill="1"/>
    <xf numFmtId="9" fontId="3" fillId="6" borderId="12" xfId="3" applyFont="1" applyFill="1" applyBorder="1" applyAlignment="1">
      <alignment horizontal="center"/>
    </xf>
    <xf numFmtId="0" fontId="0" fillId="4" borderId="2" xfId="0" applyFill="1" applyBorder="1"/>
    <xf numFmtId="10" fontId="0" fillId="2" borderId="25" xfId="0" applyNumberFormat="1" applyFill="1" applyBorder="1" applyAlignment="1">
      <alignment horizontal="center"/>
    </xf>
    <xf numFmtId="0" fontId="0" fillId="4" borderId="4" xfId="0" applyFill="1" applyBorder="1"/>
    <xf numFmtId="0" fontId="0" fillId="2" borderId="8" xfId="0" applyFill="1" applyBorder="1" applyAlignment="1">
      <alignment horizontal="center"/>
    </xf>
    <xf numFmtId="0" fontId="0" fillId="4" borderId="46" xfId="0" applyFill="1" applyBorder="1"/>
    <xf numFmtId="0" fontId="0" fillId="2" borderId="26" xfId="0" applyFill="1" applyBorder="1" applyAlignment="1">
      <alignment horizontal="center"/>
    </xf>
    <xf numFmtId="44" fontId="17" fillId="4" borderId="0" xfId="0" applyNumberFormat="1" applyFont="1" applyFill="1" applyBorder="1"/>
    <xf numFmtId="0" fontId="0" fillId="4" borderId="0" xfId="0" applyFill="1" applyAlignment="1">
      <alignment horizontal="right"/>
    </xf>
    <xf numFmtId="9" fontId="0" fillId="2" borderId="0" xfId="0" applyNumberFormat="1" applyFill="1" applyAlignment="1">
      <alignment horizontal="center"/>
    </xf>
    <xf numFmtId="10" fontId="33" fillId="4" borderId="0" xfId="0" quotePrefix="1" applyNumberFormat="1" applyFont="1" applyFill="1" applyAlignment="1">
      <alignment horizontal="center"/>
    </xf>
    <xf numFmtId="10" fontId="33" fillId="4" borderId="0" xfId="0" applyNumberFormat="1" applyFont="1" applyFill="1" applyAlignment="1">
      <alignment horizontal="center"/>
    </xf>
    <xf numFmtId="10" fontId="34" fillId="6" borderId="0" xfId="0" applyNumberFormat="1" applyFont="1" applyFill="1" applyAlignment="1">
      <alignment horizontal="center"/>
    </xf>
    <xf numFmtId="40" fontId="34" fillId="6" borderId="0" xfId="0" applyNumberFormat="1" applyFont="1" applyFill="1" applyAlignment="1">
      <alignment horizontal="center"/>
    </xf>
    <xf numFmtId="10" fontId="3" fillId="6" borderId="0" xfId="0" applyNumberFormat="1" applyFont="1" applyFill="1" applyAlignment="1">
      <alignment horizontal="center"/>
    </xf>
    <xf numFmtId="0" fontId="0" fillId="4" borderId="25" xfId="0" applyFill="1" applyBorder="1"/>
    <xf numFmtId="0" fontId="0" fillId="4" borderId="8" xfId="0" applyFill="1" applyBorder="1"/>
    <xf numFmtId="0" fontId="0" fillId="4" borderId="26" xfId="0" applyFill="1" applyBorder="1"/>
    <xf numFmtId="0" fontId="35" fillId="4" borderId="2" xfId="0" applyFont="1" applyFill="1" applyBorder="1"/>
    <xf numFmtId="6" fontId="0" fillId="0" borderId="5" xfId="1" applyNumberFormat="1" applyFont="1" applyBorder="1"/>
    <xf numFmtId="6" fontId="0" fillId="0" borderId="0" xfId="1" applyNumberFormat="1" applyFont="1" applyBorder="1"/>
    <xf numFmtId="0" fontId="0" fillId="2" borderId="23" xfId="0" applyFill="1" applyBorder="1" applyAlignment="1">
      <alignment horizontal="center"/>
    </xf>
    <xf numFmtId="0" fontId="19" fillId="0" borderId="56" xfId="0" applyFont="1" applyBorder="1"/>
    <xf numFmtId="0" fontId="19" fillId="0" borderId="16" xfId="0" applyFont="1" applyBorder="1" applyAlignment="1">
      <alignment horizontal="center"/>
    </xf>
    <xf numFmtId="164" fontId="17" fillId="0" borderId="12" xfId="0" applyNumberFormat="1" applyFont="1" applyFill="1" applyBorder="1"/>
    <xf numFmtId="164" fontId="17" fillId="0" borderId="40" xfId="0" applyNumberFormat="1" applyFont="1" applyFill="1" applyBorder="1"/>
    <xf numFmtId="44" fontId="17" fillId="4" borderId="39" xfId="2" applyFont="1" applyFill="1" applyBorder="1" applyAlignment="1">
      <alignment vertical="center" wrapText="1"/>
    </xf>
    <xf numFmtId="9" fontId="17" fillId="4" borderId="39" xfId="3" applyFont="1" applyFill="1" applyBorder="1" applyAlignment="1">
      <alignment vertical="center" wrapText="1"/>
    </xf>
    <xf numFmtId="8" fontId="17" fillId="6" borderId="42" xfId="0" applyNumberFormat="1" applyFont="1" applyFill="1" applyBorder="1"/>
    <xf numFmtId="8" fontId="17" fillId="6" borderId="43" xfId="0" applyNumberFormat="1" applyFont="1" applyFill="1" applyBorder="1"/>
    <xf numFmtId="0" fontId="28" fillId="0" borderId="5" xfId="0" applyFont="1" applyFill="1" applyBorder="1" applyAlignment="1">
      <alignment horizontal="right"/>
    </xf>
    <xf numFmtId="9" fontId="0" fillId="4" borderId="5" xfId="3" applyNumberFormat="1" applyFont="1" applyFill="1" applyBorder="1" applyAlignment="1">
      <alignment horizontal="center"/>
    </xf>
    <xf numFmtId="0" fontId="0" fillId="0" borderId="5" xfId="0" applyBorder="1" applyAlignment="1">
      <alignment wrapText="1"/>
    </xf>
    <xf numFmtId="0" fontId="12" fillId="0" borderId="43" xfId="0" applyFont="1" applyBorder="1" applyAlignment="1">
      <alignment horizontal="center" vertical="center"/>
    </xf>
    <xf numFmtId="0" fontId="12" fillId="0" borderId="31" xfId="0" applyFont="1" applyFill="1" applyBorder="1" applyAlignment="1">
      <alignment horizontal="center" vertical="center"/>
    </xf>
    <xf numFmtId="0" fontId="12" fillId="2" borderId="44" xfId="0" applyFont="1" applyFill="1" applyBorder="1" applyAlignment="1">
      <alignment horizontal="center" vertical="center"/>
    </xf>
    <xf numFmtId="0" fontId="11" fillId="0" borderId="66" xfId="0" applyFont="1" applyBorder="1" applyAlignment="1">
      <alignment horizontal="center" vertical="center"/>
    </xf>
    <xf numFmtId="44" fontId="0" fillId="0" borderId="0" xfId="0" applyNumberFormat="1" applyBorder="1" applyAlignment="1">
      <alignment horizontal="center"/>
    </xf>
    <xf numFmtId="44" fontId="0" fillId="2" borderId="45" xfId="2" applyFont="1" applyFill="1" applyBorder="1" applyAlignment="1">
      <alignment horizontal="center"/>
    </xf>
    <xf numFmtId="0" fontId="11" fillId="0" borderId="65" xfId="0" applyFont="1" applyBorder="1" applyAlignment="1">
      <alignment horizontal="center" vertical="center"/>
    </xf>
    <xf numFmtId="44" fontId="0" fillId="0" borderId="5" xfId="0" applyNumberFormat="1" applyBorder="1" applyAlignment="1">
      <alignment horizontal="center"/>
    </xf>
    <xf numFmtId="44" fontId="0" fillId="2" borderId="67" xfId="2" applyFont="1" applyFill="1" applyBorder="1" applyAlignment="1">
      <alignment horizontal="center"/>
    </xf>
    <xf numFmtId="2" fontId="0" fillId="6" borderId="0" xfId="1" applyNumberFormat="1" applyFont="1" applyFill="1" applyBorder="1"/>
    <xf numFmtId="9" fontId="3" fillId="6" borderId="4" xfId="0" applyNumberFormat="1" applyFont="1" applyFill="1" applyBorder="1" applyAlignment="1">
      <alignment horizontal="center"/>
    </xf>
    <xf numFmtId="9" fontId="3" fillId="6" borderId="46" xfId="0" applyNumberFormat="1" applyFont="1" applyFill="1" applyBorder="1" applyAlignment="1">
      <alignment horizontal="center"/>
    </xf>
    <xf numFmtId="9" fontId="0" fillId="6" borderId="28" xfId="0" applyNumberFormat="1" applyFill="1" applyBorder="1" applyAlignment="1">
      <alignment horizontal="center"/>
    </xf>
    <xf numFmtId="164" fontId="17" fillId="6" borderId="9" xfId="1" applyNumberFormat="1" applyFont="1" applyFill="1" applyBorder="1"/>
    <xf numFmtId="8" fontId="0" fillId="0" borderId="0" xfId="0" applyNumberFormat="1"/>
    <xf numFmtId="0" fontId="0" fillId="0" borderId="0" xfId="0" quotePrefix="1"/>
    <xf numFmtId="169" fontId="0" fillId="0" borderId="0" xfId="0" applyNumberFormat="1" applyFill="1" applyBorder="1"/>
    <xf numFmtId="44" fontId="17" fillId="4" borderId="0" xfId="0" applyNumberFormat="1" applyFont="1" applyFill="1"/>
    <xf numFmtId="9" fontId="0" fillId="0" borderId="0" xfId="3" applyNumberFormat="1" applyFont="1" applyFill="1" applyAlignment="1">
      <alignment horizontal="center"/>
    </xf>
    <xf numFmtId="9" fontId="17" fillId="4" borderId="12" xfId="3" applyFont="1" applyFill="1" applyBorder="1"/>
    <xf numFmtId="6" fontId="17" fillId="4" borderId="5" xfId="2" applyNumberFormat="1" applyFont="1" applyFill="1" applyBorder="1"/>
    <xf numFmtId="9" fontId="17" fillId="4" borderId="0" xfId="3" applyFont="1" applyFill="1"/>
    <xf numFmtId="9" fontId="17" fillId="4" borderId="0" xfId="3" applyNumberFormat="1" applyFont="1" applyFill="1" applyBorder="1" applyAlignment="1">
      <alignment horizontal="right"/>
    </xf>
    <xf numFmtId="9" fontId="17" fillId="4" borderId="39" xfId="2" applyNumberFormat="1" applyFont="1" applyFill="1" applyBorder="1" applyAlignment="1">
      <alignment vertical="center" wrapText="1"/>
    </xf>
    <xf numFmtId="174" fontId="17" fillId="2" borderId="12" xfId="3" applyNumberFormat="1" applyFont="1" applyFill="1" applyBorder="1" applyAlignment="1">
      <alignment horizontal="center"/>
    </xf>
    <xf numFmtId="0" fontId="28" fillId="0" borderId="0" xfId="0" applyFont="1" applyFill="1" applyBorder="1" applyAlignment="1">
      <alignment horizontal="right"/>
    </xf>
    <xf numFmtId="8" fontId="0" fillId="0" borderId="0" xfId="2" applyNumberFormat="1" applyFont="1"/>
    <xf numFmtId="175" fontId="3" fillId="0" borderId="5" xfId="135" applyFont="1" applyFill="1" applyBorder="1"/>
    <xf numFmtId="0" fontId="0" fillId="0" borderId="5" xfId="0" applyBorder="1"/>
    <xf numFmtId="0" fontId="0" fillId="2" borderId="0" xfId="0" applyFill="1" applyAlignment="1">
      <alignment horizontal="center"/>
    </xf>
    <xf numFmtId="175" fontId="3" fillId="0" borderId="0" xfId="135" applyFont="1" applyFill="1"/>
    <xf numFmtId="44" fontId="2" fillId="0" borderId="0" xfId="2"/>
    <xf numFmtId="8" fontId="2" fillId="0" borderId="0" xfId="2" applyNumberFormat="1"/>
    <xf numFmtId="8" fontId="2" fillId="0" borderId="31" xfId="2" applyNumberFormat="1" applyBorder="1"/>
    <xf numFmtId="44" fontId="2" fillId="7" borderId="4" xfId="2" applyFill="1" applyBorder="1"/>
    <xf numFmtId="44" fontId="2" fillId="7" borderId="0" xfId="2" applyFill="1" applyBorder="1"/>
    <xf numFmtId="44" fontId="2" fillId="7" borderId="0" xfId="2" applyFill="1"/>
    <xf numFmtId="44" fontId="2" fillId="0" borderId="4" xfId="2" applyBorder="1"/>
    <xf numFmtId="175" fontId="3" fillId="0" borderId="21" xfId="135" applyFont="1" applyFill="1" applyBorder="1"/>
    <xf numFmtId="44" fontId="0" fillId="0" borderId="46" xfId="2" applyFont="1" applyBorder="1"/>
    <xf numFmtId="44" fontId="2" fillId="0" borderId="5" xfId="2" applyBorder="1"/>
    <xf numFmtId="0" fontId="0" fillId="2" borderId="12" xfId="0" applyFill="1" applyBorder="1" applyAlignment="1">
      <alignment horizontal="center"/>
    </xf>
    <xf numFmtId="44" fontId="0" fillId="2" borderId="12" xfId="2" applyFont="1" applyFill="1" applyBorder="1" applyAlignment="1">
      <alignment horizontal="center"/>
    </xf>
    <xf numFmtId="175" fontId="0" fillId="0" borderId="0" xfId="135" applyFont="1"/>
    <xf numFmtId="10" fontId="2" fillId="0" borderId="0" xfId="3" applyNumberFormat="1"/>
    <xf numFmtId="175" fontId="36" fillId="0" borderId="0" xfId="135" applyFont="1"/>
    <xf numFmtId="175" fontId="3" fillId="0" borderId="0" xfId="135" applyFont="1"/>
    <xf numFmtId="175" fontId="3" fillId="0" borderId="5" xfId="135" applyFont="1" applyBorder="1"/>
    <xf numFmtId="44" fontId="0" fillId="0" borderId="0" xfId="0" applyNumberFormat="1"/>
    <xf numFmtId="175" fontId="3" fillId="0" borderId="27" xfId="135" applyFont="1" applyFill="1" applyBorder="1"/>
    <xf numFmtId="0" fontId="0" fillId="0" borderId="68" xfId="0" applyBorder="1"/>
    <xf numFmtId="44" fontId="2" fillId="0" borderId="68" xfId="2" applyBorder="1"/>
    <xf numFmtId="44" fontId="2" fillId="0" borderId="28" xfId="2" applyBorder="1"/>
    <xf numFmtId="0" fontId="0" fillId="6" borderId="0" xfId="0" applyFill="1" applyAlignment="1">
      <alignment horizontal="center" vertical="center" wrapText="1"/>
    </xf>
    <xf numFmtId="0" fontId="21" fillId="4" borderId="27" xfId="0" applyFont="1" applyFill="1" applyBorder="1"/>
    <xf numFmtId="0" fontId="21" fillId="4" borderId="68" xfId="0" applyFont="1" applyFill="1" applyBorder="1"/>
    <xf numFmtId="6" fontId="21" fillId="4" borderId="28" xfId="0" applyNumberFormat="1" applyFont="1" applyFill="1" applyBorder="1"/>
    <xf numFmtId="0" fontId="0" fillId="6" borderId="5" xfId="0" applyFill="1" applyBorder="1" applyAlignment="1">
      <alignment horizontal="center"/>
    </xf>
    <xf numFmtId="173" fontId="0" fillId="6" borderId="5" xfId="0" applyNumberFormat="1" applyFill="1" applyBorder="1" applyAlignment="1">
      <alignment horizontal="center"/>
    </xf>
    <xf numFmtId="0" fontId="0" fillId="6" borderId="5" xfId="0" applyFill="1" applyBorder="1" applyAlignment="1">
      <alignment horizontal="center" vertical="center" wrapText="1"/>
    </xf>
    <xf numFmtId="169" fontId="0" fillId="6" borderId="0" xfId="2" applyNumberFormat="1" applyFont="1" applyFill="1" applyAlignment="1">
      <alignment horizontal="right" vertical="center" wrapText="1"/>
    </xf>
    <xf numFmtId="169" fontId="0" fillId="6" borderId="5" xfId="2" applyNumberFormat="1" applyFont="1" applyFill="1" applyBorder="1" applyAlignment="1">
      <alignment horizontal="right" vertical="center" wrapText="1"/>
    </xf>
    <xf numFmtId="173" fontId="0" fillId="0" borderId="0" xfId="0" applyNumberFormat="1" applyFill="1" applyAlignment="1">
      <alignment horizontal="center"/>
    </xf>
    <xf numFmtId="173" fontId="0" fillId="0" borderId="5" xfId="0" applyNumberFormat="1" applyFill="1" applyBorder="1" applyAlignment="1">
      <alignment horizontal="center"/>
    </xf>
    <xf numFmtId="9" fontId="28" fillId="0" borderId="0" xfId="0" applyNumberFormat="1" applyFont="1"/>
    <xf numFmtId="2" fontId="0" fillId="0" borderId="0" xfId="1" applyNumberFormat="1" applyFont="1" applyFill="1" applyBorder="1"/>
    <xf numFmtId="8" fontId="28" fillId="0" borderId="0" xfId="1" applyNumberFormat="1" applyFont="1"/>
    <xf numFmtId="0" fontId="0" fillId="0" borderId="0" xfId="0" applyFill="1" applyBorder="1" applyAlignment="1">
      <alignment horizontal="right"/>
    </xf>
    <xf numFmtId="0" fontId="0" fillId="0" borderId="0" xfId="0" applyAlignment="1">
      <alignment horizontal="right" wrapText="1"/>
    </xf>
    <xf numFmtId="0" fontId="0" fillId="0" borderId="0" xfId="0" applyFont="1" applyFill="1" applyBorder="1"/>
    <xf numFmtId="175" fontId="3" fillId="0" borderId="0" xfId="135" applyFont="1" applyFill="1" applyBorder="1"/>
    <xf numFmtId="44" fontId="17" fillId="4" borderId="0" xfId="2" applyFont="1" applyFill="1" applyBorder="1"/>
    <xf numFmtId="9" fontId="3" fillId="6" borderId="0" xfId="0" applyNumberFormat="1" applyFont="1" applyFill="1" applyAlignment="1">
      <alignment horizontal="center"/>
    </xf>
    <xf numFmtId="0" fontId="0" fillId="0" borderId="0" xfId="0" applyFont="1" applyFill="1" applyBorder="1" applyAlignment="1">
      <alignment horizontal="right"/>
    </xf>
    <xf numFmtId="6" fontId="17" fillId="0" borderId="12" xfId="0" applyNumberFormat="1" applyFont="1" applyBorder="1"/>
    <xf numFmtId="176" fontId="28" fillId="0" borderId="0" xfId="1" applyNumberFormat="1" applyFont="1"/>
    <xf numFmtId="176" fontId="28" fillId="0" borderId="0" xfId="0" applyNumberFormat="1" applyFont="1"/>
    <xf numFmtId="176" fontId="28" fillId="0" borderId="5" xfId="1" applyNumberFormat="1" applyFont="1" applyBorder="1"/>
    <xf numFmtId="176" fontId="28" fillId="0" borderId="5" xfId="0" applyNumberFormat="1" applyFont="1" applyBorder="1"/>
    <xf numFmtId="176" fontId="27" fillId="0" borderId="0" xfId="1" applyNumberFormat="1" applyFont="1"/>
    <xf numFmtId="176" fontId="27" fillId="0" borderId="0" xfId="0" applyNumberFormat="1" applyFont="1"/>
    <xf numFmtId="176" fontId="28" fillId="0" borderId="0" xfId="1" applyNumberFormat="1" applyFont="1" applyBorder="1"/>
    <xf numFmtId="6" fontId="17" fillId="0" borderId="0" xfId="0" applyNumberFormat="1" applyFont="1"/>
    <xf numFmtId="0" fontId="20" fillId="4" borderId="5" xfId="4" applyFont="1" applyFill="1" applyBorder="1" applyAlignment="1">
      <alignment horizontal="center"/>
    </xf>
  </cellXfs>
  <cellStyles count="136">
    <cellStyle name="Comma" xfId="1" builtinId="3"/>
    <cellStyle name="Comma 2" xfId="5" xr:uid="{00000000-0005-0000-0000-000001000000}"/>
    <cellStyle name="Comma 3" xfId="10" xr:uid="{00000000-0005-0000-0000-000002000000}"/>
    <cellStyle name="Currency" xfId="2" builtinId="4"/>
    <cellStyle name="Currency 2" xfId="6" xr:uid="{00000000-0005-0000-0000-000004000000}"/>
    <cellStyle name="Currency 3" xfId="12" xr:uid="{00000000-0005-0000-0000-000005000000}"/>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Hyperlink" xfId="8" builtinId="8"/>
    <cellStyle name="Normal" xfId="0" builtinId="0"/>
    <cellStyle name="Normal 2" xfId="4" xr:uid="{00000000-0005-0000-0000-000082000000}"/>
    <cellStyle name="Normal 2 2" xfId="7" xr:uid="{00000000-0005-0000-0000-000083000000}"/>
    <cellStyle name="Normal 2 3" xfId="135" xr:uid="{00000000-0005-0000-0000-000084000000}"/>
    <cellStyle name="Normal 3" xfId="9" xr:uid="{00000000-0005-0000-0000-000085000000}"/>
    <cellStyle name="Percent" xfId="3" builtinId="5"/>
    <cellStyle name="Percent 2" xfId="11" xr:uid="{00000000-0005-0000-0000-00008700000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12 Year </a:t>
            </a:r>
            <a:r>
              <a:rPr lang="en-US"/>
              <a:t>Base Oil and Crude Trends</a:t>
            </a:r>
          </a:p>
        </c:rich>
      </c:tx>
      <c:overlay val="1"/>
    </c:title>
    <c:autoTitleDeleted val="0"/>
    <c:plotArea>
      <c:layout>
        <c:manualLayout>
          <c:layoutTarget val="inner"/>
          <c:xMode val="edge"/>
          <c:yMode val="edge"/>
          <c:x val="6.2127367567298801E-2"/>
          <c:y val="2.56953665855248E-2"/>
          <c:w val="0.93210686732134596"/>
          <c:h val="0.82994251969464905"/>
        </c:manualLayout>
      </c:layout>
      <c:lineChart>
        <c:grouping val="standard"/>
        <c:varyColors val="0"/>
        <c:ser>
          <c:idx val="0"/>
          <c:order val="0"/>
          <c:tx>
            <c:strRef>
              <c:f>'Base Oil Trends'!$A$4</c:f>
              <c:strCache>
                <c:ptCount val="1"/>
                <c:pt idx="0">
                  <c:v>Base Oil G1 Cost/Gal</c:v>
                </c:pt>
              </c:strCache>
            </c:strRef>
          </c:tx>
          <c:marker>
            <c:symbol val="none"/>
          </c:marker>
          <c:cat>
            <c:numRef>
              <c:f>'Base Oil Trends'!$B$3:$EQ$3</c:f>
              <c:numCache>
                <c:formatCode>mmm\-yy</c:formatCode>
                <c:ptCount val="146"/>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numCache>
            </c:numRef>
          </c:cat>
          <c:val>
            <c:numRef>
              <c:f>'Base Oil Trends'!$B$4:$EQ$4</c:f>
              <c:numCache>
                <c:formatCode>_("$"* #,##0.00_);_("$"* \(#,##0.00\);_("$"* "-"??_);_(@_)</c:formatCode>
                <c:ptCount val="146"/>
                <c:pt idx="0">
                  <c:v>1.78</c:v>
                </c:pt>
                <c:pt idx="1">
                  <c:v>1.78</c:v>
                </c:pt>
                <c:pt idx="2">
                  <c:v>1.78</c:v>
                </c:pt>
                <c:pt idx="3">
                  <c:v>1.78</c:v>
                </c:pt>
                <c:pt idx="4">
                  <c:v>1.8</c:v>
                </c:pt>
                <c:pt idx="5">
                  <c:v>1.9</c:v>
                </c:pt>
                <c:pt idx="6">
                  <c:v>1.9</c:v>
                </c:pt>
                <c:pt idx="7">
                  <c:v>2</c:v>
                </c:pt>
                <c:pt idx="8">
                  <c:v>2.0499999999999998</c:v>
                </c:pt>
                <c:pt idx="9">
                  <c:v>2.23</c:v>
                </c:pt>
                <c:pt idx="10">
                  <c:v>2.37</c:v>
                </c:pt>
                <c:pt idx="11">
                  <c:v>2.42</c:v>
                </c:pt>
                <c:pt idx="12">
                  <c:v>2.46</c:v>
                </c:pt>
                <c:pt idx="13">
                  <c:v>2.46</c:v>
                </c:pt>
                <c:pt idx="14">
                  <c:v>2.46</c:v>
                </c:pt>
                <c:pt idx="15">
                  <c:v>2.63</c:v>
                </c:pt>
                <c:pt idx="16">
                  <c:v>2.73</c:v>
                </c:pt>
                <c:pt idx="17">
                  <c:v>2.73</c:v>
                </c:pt>
                <c:pt idx="18">
                  <c:v>2.82</c:v>
                </c:pt>
                <c:pt idx="19">
                  <c:v>3</c:v>
                </c:pt>
                <c:pt idx="20">
                  <c:v>3</c:v>
                </c:pt>
                <c:pt idx="21">
                  <c:v>3.15</c:v>
                </c:pt>
                <c:pt idx="22">
                  <c:v>3.15</c:v>
                </c:pt>
                <c:pt idx="23">
                  <c:v>3.15</c:v>
                </c:pt>
                <c:pt idx="24">
                  <c:v>3.05</c:v>
                </c:pt>
                <c:pt idx="25">
                  <c:v>3.05</c:v>
                </c:pt>
                <c:pt idx="26">
                  <c:v>3</c:v>
                </c:pt>
                <c:pt idx="27">
                  <c:v>2.87</c:v>
                </c:pt>
                <c:pt idx="28">
                  <c:v>2.87</c:v>
                </c:pt>
                <c:pt idx="29">
                  <c:v>2.87</c:v>
                </c:pt>
                <c:pt idx="30">
                  <c:v>2.87</c:v>
                </c:pt>
                <c:pt idx="31">
                  <c:v>3</c:v>
                </c:pt>
                <c:pt idx="32">
                  <c:v>3.05</c:v>
                </c:pt>
                <c:pt idx="33">
                  <c:v>3.1</c:v>
                </c:pt>
                <c:pt idx="34">
                  <c:v>3.1</c:v>
                </c:pt>
                <c:pt idx="35">
                  <c:v>3.1</c:v>
                </c:pt>
                <c:pt idx="36">
                  <c:v>3.13</c:v>
                </c:pt>
                <c:pt idx="37">
                  <c:v>3.33</c:v>
                </c:pt>
                <c:pt idx="38">
                  <c:v>3.33</c:v>
                </c:pt>
                <c:pt idx="39">
                  <c:v>3.33</c:v>
                </c:pt>
                <c:pt idx="40">
                  <c:v>3.6</c:v>
                </c:pt>
                <c:pt idx="41">
                  <c:v>3.8</c:v>
                </c:pt>
                <c:pt idx="42">
                  <c:v>3.95</c:v>
                </c:pt>
                <c:pt idx="43">
                  <c:v>4.25</c:v>
                </c:pt>
                <c:pt idx="44">
                  <c:v>5.05</c:v>
                </c:pt>
                <c:pt idx="45">
                  <c:v>5.05</c:v>
                </c:pt>
                <c:pt idx="46">
                  <c:v>5.15</c:v>
                </c:pt>
                <c:pt idx="47">
                  <c:v>5.15</c:v>
                </c:pt>
                <c:pt idx="48">
                  <c:v>4.95</c:v>
                </c:pt>
                <c:pt idx="49">
                  <c:v>3.75</c:v>
                </c:pt>
                <c:pt idx="50">
                  <c:v>3.25</c:v>
                </c:pt>
                <c:pt idx="51">
                  <c:v>2.85</c:v>
                </c:pt>
                <c:pt idx="52">
                  <c:v>2.35</c:v>
                </c:pt>
                <c:pt idx="53">
                  <c:v>2.25</c:v>
                </c:pt>
                <c:pt idx="54">
                  <c:v>2.25</c:v>
                </c:pt>
                <c:pt idx="55">
                  <c:v>2.25</c:v>
                </c:pt>
                <c:pt idx="56">
                  <c:v>2.35</c:v>
                </c:pt>
                <c:pt idx="57">
                  <c:v>2.6</c:v>
                </c:pt>
                <c:pt idx="58">
                  <c:v>2.6</c:v>
                </c:pt>
                <c:pt idx="59">
                  <c:v>2.6</c:v>
                </c:pt>
                <c:pt idx="60">
                  <c:v>2.6</c:v>
                </c:pt>
                <c:pt idx="61">
                  <c:v>2.6</c:v>
                </c:pt>
                <c:pt idx="62">
                  <c:v>2.6</c:v>
                </c:pt>
                <c:pt idx="63">
                  <c:v>2.95</c:v>
                </c:pt>
                <c:pt idx="64">
                  <c:v>2.95</c:v>
                </c:pt>
                <c:pt idx="65">
                  <c:v>3</c:v>
                </c:pt>
                <c:pt idx="66">
                  <c:v>3.15</c:v>
                </c:pt>
                <c:pt idx="67">
                  <c:v>3.45</c:v>
                </c:pt>
                <c:pt idx="68">
                  <c:v>3.5</c:v>
                </c:pt>
                <c:pt idx="69">
                  <c:v>3.3</c:v>
                </c:pt>
                <c:pt idx="70">
                  <c:v>3.3</c:v>
                </c:pt>
                <c:pt idx="71">
                  <c:v>3.3</c:v>
                </c:pt>
                <c:pt idx="72">
                  <c:v>3.3</c:v>
                </c:pt>
                <c:pt idx="73">
                  <c:v>3.5</c:v>
                </c:pt>
                <c:pt idx="74">
                  <c:v>3.5</c:v>
                </c:pt>
                <c:pt idx="75">
                  <c:v>3.5</c:v>
                </c:pt>
                <c:pt idx="76">
                  <c:v>4</c:v>
                </c:pt>
                <c:pt idx="77">
                  <c:v>4</c:v>
                </c:pt>
                <c:pt idx="78">
                  <c:v>4.3</c:v>
                </c:pt>
                <c:pt idx="79">
                  <c:v>4.75</c:v>
                </c:pt>
                <c:pt idx="80">
                  <c:v>4.75</c:v>
                </c:pt>
                <c:pt idx="81">
                  <c:v>4.75</c:v>
                </c:pt>
                <c:pt idx="82">
                  <c:v>4.5999999999999996</c:v>
                </c:pt>
                <c:pt idx="83">
                  <c:v>4.3499999999999996</c:v>
                </c:pt>
                <c:pt idx="84">
                  <c:v>4.3499999999999996</c:v>
                </c:pt>
                <c:pt idx="85">
                  <c:v>4.1500000000000004</c:v>
                </c:pt>
                <c:pt idx="86">
                  <c:v>4.1500000000000004</c:v>
                </c:pt>
                <c:pt idx="87">
                  <c:v>4.1500000000000004</c:v>
                </c:pt>
                <c:pt idx="88">
                  <c:v>4.1500000000000004</c:v>
                </c:pt>
                <c:pt idx="89">
                  <c:v>4.45</c:v>
                </c:pt>
                <c:pt idx="90">
                  <c:v>4.45</c:v>
                </c:pt>
                <c:pt idx="91">
                  <c:v>4.3</c:v>
                </c:pt>
                <c:pt idx="92">
                  <c:v>4</c:v>
                </c:pt>
                <c:pt idx="93">
                  <c:v>4</c:v>
                </c:pt>
                <c:pt idx="94">
                  <c:v>4</c:v>
                </c:pt>
                <c:pt idx="95">
                  <c:v>4</c:v>
                </c:pt>
                <c:pt idx="96">
                  <c:v>3.9</c:v>
                </c:pt>
                <c:pt idx="97">
                  <c:v>3.85</c:v>
                </c:pt>
                <c:pt idx="98">
                  <c:v>3.75</c:v>
                </c:pt>
                <c:pt idx="99">
                  <c:v>3.75</c:v>
                </c:pt>
                <c:pt idx="100">
                  <c:v>3.75</c:v>
                </c:pt>
                <c:pt idx="101">
                  <c:v>3.8</c:v>
                </c:pt>
                <c:pt idx="102">
                  <c:v>3.8</c:v>
                </c:pt>
                <c:pt idx="103">
                  <c:v>3.8</c:v>
                </c:pt>
                <c:pt idx="104">
                  <c:v>3.8</c:v>
                </c:pt>
                <c:pt idx="105">
                  <c:v>3.8</c:v>
                </c:pt>
                <c:pt idx="106">
                  <c:v>3.9</c:v>
                </c:pt>
                <c:pt idx="107">
                  <c:v>3.9</c:v>
                </c:pt>
                <c:pt idx="108">
                  <c:v>4</c:v>
                </c:pt>
                <c:pt idx="109">
                  <c:v>4</c:v>
                </c:pt>
                <c:pt idx="110">
                  <c:v>4</c:v>
                </c:pt>
                <c:pt idx="111">
                  <c:v>3.85</c:v>
                </c:pt>
                <c:pt idx="112">
                  <c:v>3.85</c:v>
                </c:pt>
                <c:pt idx="113">
                  <c:v>3.9</c:v>
                </c:pt>
                <c:pt idx="114">
                  <c:v>3.9</c:v>
                </c:pt>
                <c:pt idx="115">
                  <c:v>4</c:v>
                </c:pt>
                <c:pt idx="116">
                  <c:v>4</c:v>
                </c:pt>
                <c:pt idx="117">
                  <c:v>3.8</c:v>
                </c:pt>
                <c:pt idx="118">
                  <c:v>3.8</c:v>
                </c:pt>
                <c:pt idx="119">
                  <c:v>3.65</c:v>
                </c:pt>
                <c:pt idx="120">
                  <c:v>3.3</c:v>
                </c:pt>
                <c:pt idx="121">
                  <c:v>2.8</c:v>
                </c:pt>
                <c:pt idx="122">
                  <c:v>2.8</c:v>
                </c:pt>
                <c:pt idx="123">
                  <c:v>2.8</c:v>
                </c:pt>
                <c:pt idx="124">
                  <c:v>2.8</c:v>
                </c:pt>
                <c:pt idx="125">
                  <c:v>2.8</c:v>
                </c:pt>
                <c:pt idx="126">
                  <c:v>2.8</c:v>
                </c:pt>
                <c:pt idx="127">
                  <c:v>2.8</c:v>
                </c:pt>
                <c:pt idx="128">
                  <c:v>2.8</c:v>
                </c:pt>
                <c:pt idx="129">
                  <c:v>2.7</c:v>
                </c:pt>
                <c:pt idx="130">
                  <c:v>2.5</c:v>
                </c:pt>
                <c:pt idx="131">
                  <c:v>2.4</c:v>
                </c:pt>
                <c:pt idx="132">
                  <c:v>2.4</c:v>
                </c:pt>
                <c:pt idx="133">
                  <c:v>2.2999999999999998</c:v>
                </c:pt>
                <c:pt idx="134">
                  <c:v>2.1</c:v>
                </c:pt>
                <c:pt idx="135">
                  <c:v>1.8</c:v>
                </c:pt>
                <c:pt idx="136">
                  <c:v>1.8</c:v>
                </c:pt>
                <c:pt idx="137">
                  <c:v>1.9</c:v>
                </c:pt>
                <c:pt idx="138">
                  <c:v>2</c:v>
                </c:pt>
                <c:pt idx="139">
                  <c:v>2.25</c:v>
                </c:pt>
                <c:pt idx="140">
                  <c:v>2.4</c:v>
                </c:pt>
                <c:pt idx="141">
                  <c:v>2.4</c:v>
                </c:pt>
                <c:pt idx="142">
                  <c:v>2.4</c:v>
                </c:pt>
                <c:pt idx="143" formatCode="General">
                  <c:v>2.4</c:v>
                </c:pt>
                <c:pt idx="144">
                  <c:v>2.4</c:v>
                </c:pt>
                <c:pt idx="145">
                  <c:v>2.4</c:v>
                </c:pt>
              </c:numCache>
            </c:numRef>
          </c:val>
          <c:smooth val="0"/>
          <c:extLst>
            <c:ext xmlns:c16="http://schemas.microsoft.com/office/drawing/2014/chart" uri="{C3380CC4-5D6E-409C-BE32-E72D297353CC}">
              <c16:uniqueId val="{00000000-1CDD-4B9E-A05F-3D0DE7C055B6}"/>
            </c:ext>
          </c:extLst>
        </c:ser>
        <c:ser>
          <c:idx val="1"/>
          <c:order val="1"/>
          <c:tx>
            <c:strRef>
              <c:f>'Base Oil Trends'!$A$5</c:f>
              <c:strCache>
                <c:ptCount val="1"/>
                <c:pt idx="0">
                  <c:v>Base Oil G2 Cost/Gal</c:v>
                </c:pt>
              </c:strCache>
            </c:strRef>
          </c:tx>
          <c:marker>
            <c:symbol val="none"/>
          </c:marker>
          <c:cat>
            <c:numRef>
              <c:f>'Base Oil Trends'!$B$3:$EQ$3</c:f>
              <c:numCache>
                <c:formatCode>mmm\-yy</c:formatCode>
                <c:ptCount val="146"/>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numCache>
            </c:numRef>
          </c:cat>
          <c:val>
            <c:numRef>
              <c:f>'Base Oil Trends'!$B$5:$EQ$5</c:f>
              <c:numCache>
                <c:formatCode>_("$"* #,##0.00_);_("$"* \(#,##0.00\);_("$"* "-"??_);_(@_)</c:formatCode>
                <c:ptCount val="146"/>
                <c:pt idx="0">
                  <c:v>1.85</c:v>
                </c:pt>
                <c:pt idx="1">
                  <c:v>1.85</c:v>
                </c:pt>
                <c:pt idx="2">
                  <c:v>1.85</c:v>
                </c:pt>
                <c:pt idx="3">
                  <c:v>1.85</c:v>
                </c:pt>
                <c:pt idx="4">
                  <c:v>1.82</c:v>
                </c:pt>
                <c:pt idx="5">
                  <c:v>2.0499999999999998</c:v>
                </c:pt>
                <c:pt idx="6">
                  <c:v>2.0499999999999998</c:v>
                </c:pt>
                <c:pt idx="7">
                  <c:v>2.0699999999999998</c:v>
                </c:pt>
                <c:pt idx="8">
                  <c:v>2.2000000000000002</c:v>
                </c:pt>
                <c:pt idx="9">
                  <c:v>2.2799999999999998</c:v>
                </c:pt>
                <c:pt idx="10">
                  <c:v>2.4</c:v>
                </c:pt>
                <c:pt idx="11">
                  <c:v>2.48</c:v>
                </c:pt>
                <c:pt idx="12">
                  <c:v>2.5499999999999998</c:v>
                </c:pt>
                <c:pt idx="13">
                  <c:v>2.5499999999999998</c:v>
                </c:pt>
                <c:pt idx="14">
                  <c:v>2.5499999999999998</c:v>
                </c:pt>
                <c:pt idx="15">
                  <c:v>2.7</c:v>
                </c:pt>
                <c:pt idx="16">
                  <c:v>2.76</c:v>
                </c:pt>
                <c:pt idx="17">
                  <c:v>2.82</c:v>
                </c:pt>
                <c:pt idx="18">
                  <c:v>2.9</c:v>
                </c:pt>
                <c:pt idx="19">
                  <c:v>3</c:v>
                </c:pt>
                <c:pt idx="20">
                  <c:v>3.15</c:v>
                </c:pt>
                <c:pt idx="21">
                  <c:v>3.15</c:v>
                </c:pt>
                <c:pt idx="22">
                  <c:v>3.15</c:v>
                </c:pt>
                <c:pt idx="23">
                  <c:v>3.15</c:v>
                </c:pt>
                <c:pt idx="24">
                  <c:v>3</c:v>
                </c:pt>
                <c:pt idx="25">
                  <c:v>3</c:v>
                </c:pt>
                <c:pt idx="26">
                  <c:v>3</c:v>
                </c:pt>
                <c:pt idx="27">
                  <c:v>3</c:v>
                </c:pt>
                <c:pt idx="28">
                  <c:v>3</c:v>
                </c:pt>
                <c:pt idx="29">
                  <c:v>3</c:v>
                </c:pt>
                <c:pt idx="30">
                  <c:v>3</c:v>
                </c:pt>
                <c:pt idx="31">
                  <c:v>3.12</c:v>
                </c:pt>
                <c:pt idx="32">
                  <c:v>3.23</c:v>
                </c:pt>
                <c:pt idx="33">
                  <c:v>3.23</c:v>
                </c:pt>
                <c:pt idx="34">
                  <c:v>3.23</c:v>
                </c:pt>
                <c:pt idx="35">
                  <c:v>3.23</c:v>
                </c:pt>
                <c:pt idx="36">
                  <c:v>3.23</c:v>
                </c:pt>
                <c:pt idx="37">
                  <c:v>3.3</c:v>
                </c:pt>
                <c:pt idx="38">
                  <c:v>3.33</c:v>
                </c:pt>
                <c:pt idx="39">
                  <c:v>3.33</c:v>
                </c:pt>
                <c:pt idx="40">
                  <c:v>3.6</c:v>
                </c:pt>
                <c:pt idx="41">
                  <c:v>3.8</c:v>
                </c:pt>
                <c:pt idx="42">
                  <c:v>3.95</c:v>
                </c:pt>
                <c:pt idx="43">
                  <c:v>4.2</c:v>
                </c:pt>
                <c:pt idx="44">
                  <c:v>4.9000000000000004</c:v>
                </c:pt>
                <c:pt idx="45">
                  <c:v>5.05</c:v>
                </c:pt>
                <c:pt idx="46">
                  <c:v>5.05</c:v>
                </c:pt>
                <c:pt idx="47">
                  <c:v>4.95</c:v>
                </c:pt>
                <c:pt idx="48">
                  <c:v>4.8499999999999996</c:v>
                </c:pt>
                <c:pt idx="49">
                  <c:v>3.75</c:v>
                </c:pt>
                <c:pt idx="50">
                  <c:v>3.2</c:v>
                </c:pt>
                <c:pt idx="51">
                  <c:v>2.85</c:v>
                </c:pt>
                <c:pt idx="52">
                  <c:v>2.4</c:v>
                </c:pt>
                <c:pt idx="53">
                  <c:v>2.25</c:v>
                </c:pt>
                <c:pt idx="54">
                  <c:v>2.25</c:v>
                </c:pt>
                <c:pt idx="55">
                  <c:v>2.25</c:v>
                </c:pt>
                <c:pt idx="56">
                  <c:v>2.35</c:v>
                </c:pt>
                <c:pt idx="57">
                  <c:v>2.7</c:v>
                </c:pt>
                <c:pt idx="58">
                  <c:v>2.7</c:v>
                </c:pt>
                <c:pt idx="59">
                  <c:v>2.7</c:v>
                </c:pt>
                <c:pt idx="60">
                  <c:v>2.7</c:v>
                </c:pt>
                <c:pt idx="61">
                  <c:v>2.7</c:v>
                </c:pt>
                <c:pt idx="62">
                  <c:v>2.7</c:v>
                </c:pt>
                <c:pt idx="63">
                  <c:v>2.95</c:v>
                </c:pt>
                <c:pt idx="64">
                  <c:v>3</c:v>
                </c:pt>
                <c:pt idx="65">
                  <c:v>3.1</c:v>
                </c:pt>
                <c:pt idx="66">
                  <c:v>3.2</c:v>
                </c:pt>
                <c:pt idx="67">
                  <c:v>3.5</c:v>
                </c:pt>
                <c:pt idx="68">
                  <c:v>3.5</c:v>
                </c:pt>
                <c:pt idx="69">
                  <c:v>3.5</c:v>
                </c:pt>
                <c:pt idx="70">
                  <c:v>3.5</c:v>
                </c:pt>
                <c:pt idx="71">
                  <c:v>3.5</c:v>
                </c:pt>
                <c:pt idx="72">
                  <c:v>3.5</c:v>
                </c:pt>
                <c:pt idx="73">
                  <c:v>3.85</c:v>
                </c:pt>
                <c:pt idx="74">
                  <c:v>3.85</c:v>
                </c:pt>
                <c:pt idx="75">
                  <c:v>3.85</c:v>
                </c:pt>
                <c:pt idx="76">
                  <c:v>4.25</c:v>
                </c:pt>
                <c:pt idx="77">
                  <c:v>4.25</c:v>
                </c:pt>
                <c:pt idx="78">
                  <c:v>4.75</c:v>
                </c:pt>
                <c:pt idx="79">
                  <c:v>4.75</c:v>
                </c:pt>
                <c:pt idx="80">
                  <c:v>4.95</c:v>
                </c:pt>
                <c:pt idx="81">
                  <c:v>4.95</c:v>
                </c:pt>
                <c:pt idx="82">
                  <c:v>4.95</c:v>
                </c:pt>
                <c:pt idx="83">
                  <c:v>4.95</c:v>
                </c:pt>
                <c:pt idx="84">
                  <c:v>4.95</c:v>
                </c:pt>
                <c:pt idx="85">
                  <c:v>4.75</c:v>
                </c:pt>
                <c:pt idx="86">
                  <c:v>4.75</c:v>
                </c:pt>
                <c:pt idx="87">
                  <c:v>4.75</c:v>
                </c:pt>
                <c:pt idx="88">
                  <c:v>4.75</c:v>
                </c:pt>
                <c:pt idx="89">
                  <c:v>4.75</c:v>
                </c:pt>
                <c:pt idx="90">
                  <c:v>5</c:v>
                </c:pt>
                <c:pt idx="91">
                  <c:v>4.75</c:v>
                </c:pt>
                <c:pt idx="92">
                  <c:v>4.3</c:v>
                </c:pt>
                <c:pt idx="93">
                  <c:v>4.3</c:v>
                </c:pt>
                <c:pt idx="94">
                  <c:v>4.3</c:v>
                </c:pt>
                <c:pt idx="95">
                  <c:v>4.3</c:v>
                </c:pt>
                <c:pt idx="96">
                  <c:v>4</c:v>
                </c:pt>
                <c:pt idx="97">
                  <c:v>4</c:v>
                </c:pt>
                <c:pt idx="98">
                  <c:v>3.75</c:v>
                </c:pt>
                <c:pt idx="99">
                  <c:v>3.75</c:v>
                </c:pt>
                <c:pt idx="100">
                  <c:v>3.75</c:v>
                </c:pt>
                <c:pt idx="101">
                  <c:v>3.9</c:v>
                </c:pt>
                <c:pt idx="102">
                  <c:v>3.9</c:v>
                </c:pt>
                <c:pt idx="103">
                  <c:v>3.9</c:v>
                </c:pt>
                <c:pt idx="104">
                  <c:v>3.9</c:v>
                </c:pt>
                <c:pt idx="105">
                  <c:v>3.9</c:v>
                </c:pt>
                <c:pt idx="106">
                  <c:v>4</c:v>
                </c:pt>
                <c:pt idx="107">
                  <c:v>4</c:v>
                </c:pt>
                <c:pt idx="108">
                  <c:v>3.9</c:v>
                </c:pt>
                <c:pt idx="109">
                  <c:v>3.9</c:v>
                </c:pt>
                <c:pt idx="110">
                  <c:v>3.9</c:v>
                </c:pt>
                <c:pt idx="111">
                  <c:v>3.85</c:v>
                </c:pt>
                <c:pt idx="112">
                  <c:v>3.85</c:v>
                </c:pt>
                <c:pt idx="113">
                  <c:v>3.9</c:v>
                </c:pt>
                <c:pt idx="114">
                  <c:v>3.9</c:v>
                </c:pt>
                <c:pt idx="115">
                  <c:v>3.9</c:v>
                </c:pt>
                <c:pt idx="116">
                  <c:v>3.9</c:v>
                </c:pt>
                <c:pt idx="117">
                  <c:v>3.7</c:v>
                </c:pt>
                <c:pt idx="118">
                  <c:v>3.7</c:v>
                </c:pt>
                <c:pt idx="119">
                  <c:v>3.55</c:v>
                </c:pt>
                <c:pt idx="120">
                  <c:v>3.3</c:v>
                </c:pt>
                <c:pt idx="121">
                  <c:v>2.8</c:v>
                </c:pt>
                <c:pt idx="122">
                  <c:v>2.8</c:v>
                </c:pt>
                <c:pt idx="123">
                  <c:v>2.8</c:v>
                </c:pt>
                <c:pt idx="124">
                  <c:v>2.8</c:v>
                </c:pt>
                <c:pt idx="125">
                  <c:v>2.8</c:v>
                </c:pt>
                <c:pt idx="126">
                  <c:v>2.8</c:v>
                </c:pt>
                <c:pt idx="127">
                  <c:v>2.8</c:v>
                </c:pt>
                <c:pt idx="128">
                  <c:v>2.8</c:v>
                </c:pt>
                <c:pt idx="129">
                  <c:v>2.7</c:v>
                </c:pt>
                <c:pt idx="130">
                  <c:v>2.5</c:v>
                </c:pt>
                <c:pt idx="131">
                  <c:v>2.4</c:v>
                </c:pt>
                <c:pt idx="132">
                  <c:v>2.4</c:v>
                </c:pt>
                <c:pt idx="133">
                  <c:v>2.2999999999999998</c:v>
                </c:pt>
                <c:pt idx="134">
                  <c:v>2.1</c:v>
                </c:pt>
                <c:pt idx="135">
                  <c:v>1.8</c:v>
                </c:pt>
                <c:pt idx="136">
                  <c:v>1.8</c:v>
                </c:pt>
                <c:pt idx="137">
                  <c:v>1.8</c:v>
                </c:pt>
                <c:pt idx="138">
                  <c:v>1.95</c:v>
                </c:pt>
                <c:pt idx="139">
                  <c:v>2.2000000000000002</c:v>
                </c:pt>
                <c:pt idx="140">
                  <c:v>2.2999999999999998</c:v>
                </c:pt>
                <c:pt idx="141">
                  <c:v>2.2999999999999998</c:v>
                </c:pt>
                <c:pt idx="142">
                  <c:v>2.2999999999999998</c:v>
                </c:pt>
                <c:pt idx="143">
                  <c:v>2.2000000000000002</c:v>
                </c:pt>
                <c:pt idx="144">
                  <c:v>2.2000000000000002</c:v>
                </c:pt>
                <c:pt idx="145">
                  <c:v>2.2000000000000002</c:v>
                </c:pt>
              </c:numCache>
            </c:numRef>
          </c:val>
          <c:smooth val="0"/>
          <c:extLst>
            <c:ext xmlns:c16="http://schemas.microsoft.com/office/drawing/2014/chart" uri="{C3380CC4-5D6E-409C-BE32-E72D297353CC}">
              <c16:uniqueId val="{00000001-1CDD-4B9E-A05F-3D0DE7C055B6}"/>
            </c:ext>
          </c:extLst>
        </c:ser>
        <c:ser>
          <c:idx val="2"/>
          <c:order val="2"/>
          <c:tx>
            <c:strRef>
              <c:f>'Base Oil Trends'!$A$6</c:f>
              <c:strCache>
                <c:ptCount val="1"/>
                <c:pt idx="0">
                  <c:v>Crude West Texas Cost/Gal</c:v>
                </c:pt>
              </c:strCache>
            </c:strRef>
          </c:tx>
          <c:marker>
            <c:symbol val="none"/>
          </c:marker>
          <c:cat>
            <c:numRef>
              <c:f>'Base Oil Trends'!$B$3:$EQ$3</c:f>
              <c:numCache>
                <c:formatCode>mmm\-yy</c:formatCode>
                <c:ptCount val="146"/>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numCache>
            </c:numRef>
          </c:cat>
          <c:val>
            <c:numRef>
              <c:f>'Base Oil Trends'!$B$6:$EQ$6</c:f>
              <c:numCache>
                <c:formatCode>_("$"* #,##0.00_);_("$"* \(#,##0.00\);_("$"* "-"??_);_(@_)</c:formatCode>
                <c:ptCount val="146"/>
                <c:pt idx="0">
                  <c:v>1.1499999999999999</c:v>
                </c:pt>
                <c:pt idx="1">
                  <c:v>1</c:v>
                </c:pt>
                <c:pt idx="2">
                  <c:v>1.1000000000000001</c:v>
                </c:pt>
                <c:pt idx="3">
                  <c:v>1.1499999999999999</c:v>
                </c:pt>
                <c:pt idx="4">
                  <c:v>1.28</c:v>
                </c:pt>
                <c:pt idx="5">
                  <c:v>1.26</c:v>
                </c:pt>
                <c:pt idx="6">
                  <c:v>1.18</c:v>
                </c:pt>
                <c:pt idx="7">
                  <c:v>1.3</c:v>
                </c:pt>
                <c:pt idx="8">
                  <c:v>1.4</c:v>
                </c:pt>
                <c:pt idx="9">
                  <c:v>1.53</c:v>
                </c:pt>
                <c:pt idx="10">
                  <c:v>1.53</c:v>
                </c:pt>
                <c:pt idx="11">
                  <c:v>1.5</c:v>
                </c:pt>
                <c:pt idx="12">
                  <c:v>1.4</c:v>
                </c:pt>
                <c:pt idx="13">
                  <c:v>1.43</c:v>
                </c:pt>
                <c:pt idx="14">
                  <c:v>1.53</c:v>
                </c:pt>
                <c:pt idx="15">
                  <c:v>1.48</c:v>
                </c:pt>
                <c:pt idx="16">
                  <c:v>1.5</c:v>
                </c:pt>
                <c:pt idx="17">
                  <c:v>1.65</c:v>
                </c:pt>
                <c:pt idx="18">
                  <c:v>1.7</c:v>
                </c:pt>
                <c:pt idx="19">
                  <c:v>1.7</c:v>
                </c:pt>
                <c:pt idx="20">
                  <c:v>1.75</c:v>
                </c:pt>
                <c:pt idx="21">
                  <c:v>1.72</c:v>
                </c:pt>
                <c:pt idx="22">
                  <c:v>1.5</c:v>
                </c:pt>
                <c:pt idx="23">
                  <c:v>1.45</c:v>
                </c:pt>
                <c:pt idx="24">
                  <c:v>1.45</c:v>
                </c:pt>
                <c:pt idx="25">
                  <c:v>1.5</c:v>
                </c:pt>
                <c:pt idx="26">
                  <c:v>1.3</c:v>
                </c:pt>
                <c:pt idx="27">
                  <c:v>1.4</c:v>
                </c:pt>
                <c:pt idx="28">
                  <c:v>1.44</c:v>
                </c:pt>
                <c:pt idx="29">
                  <c:v>1.5</c:v>
                </c:pt>
                <c:pt idx="30">
                  <c:v>1.5</c:v>
                </c:pt>
                <c:pt idx="31">
                  <c:v>1.6</c:v>
                </c:pt>
                <c:pt idx="32">
                  <c:v>1.75</c:v>
                </c:pt>
                <c:pt idx="33">
                  <c:v>1.7</c:v>
                </c:pt>
                <c:pt idx="34">
                  <c:v>1.92</c:v>
                </c:pt>
                <c:pt idx="35">
                  <c:v>2.0499999999999998</c:v>
                </c:pt>
                <c:pt idx="36">
                  <c:v>2.2000000000000002</c:v>
                </c:pt>
                <c:pt idx="37">
                  <c:v>2.16</c:v>
                </c:pt>
                <c:pt idx="38">
                  <c:v>2.1800000000000002</c:v>
                </c:pt>
                <c:pt idx="39">
                  <c:v>2.2000000000000002</c:v>
                </c:pt>
                <c:pt idx="40">
                  <c:v>2.5</c:v>
                </c:pt>
                <c:pt idx="41">
                  <c:v>2.75</c:v>
                </c:pt>
                <c:pt idx="42">
                  <c:v>3</c:v>
                </c:pt>
                <c:pt idx="43">
                  <c:v>3.15</c:v>
                </c:pt>
                <c:pt idx="44">
                  <c:v>3.15</c:v>
                </c:pt>
                <c:pt idx="45">
                  <c:v>2.85</c:v>
                </c:pt>
                <c:pt idx="46">
                  <c:v>2.5</c:v>
                </c:pt>
                <c:pt idx="47">
                  <c:v>1.9</c:v>
                </c:pt>
                <c:pt idx="48">
                  <c:v>1.3</c:v>
                </c:pt>
                <c:pt idx="49">
                  <c:v>1</c:v>
                </c:pt>
                <c:pt idx="50">
                  <c:v>1</c:v>
                </c:pt>
                <c:pt idx="51">
                  <c:v>0.9</c:v>
                </c:pt>
                <c:pt idx="52">
                  <c:v>1.1000000000000001</c:v>
                </c:pt>
                <c:pt idx="53">
                  <c:v>1.1200000000000001</c:v>
                </c:pt>
                <c:pt idx="54">
                  <c:v>1.4</c:v>
                </c:pt>
                <c:pt idx="55">
                  <c:v>1.75</c:v>
                </c:pt>
                <c:pt idx="56">
                  <c:v>1.7</c:v>
                </c:pt>
                <c:pt idx="57">
                  <c:v>1.85</c:v>
                </c:pt>
                <c:pt idx="58">
                  <c:v>1.8</c:v>
                </c:pt>
                <c:pt idx="59">
                  <c:v>1.88</c:v>
                </c:pt>
                <c:pt idx="60">
                  <c:v>1.9</c:v>
                </c:pt>
                <c:pt idx="61">
                  <c:v>1.85</c:v>
                </c:pt>
                <c:pt idx="62">
                  <c:v>1.9</c:v>
                </c:pt>
                <c:pt idx="63">
                  <c:v>1.85</c:v>
                </c:pt>
                <c:pt idx="64">
                  <c:v>1.95</c:v>
                </c:pt>
                <c:pt idx="65">
                  <c:v>2</c:v>
                </c:pt>
                <c:pt idx="66">
                  <c:v>1.85</c:v>
                </c:pt>
                <c:pt idx="67">
                  <c:v>1.9</c:v>
                </c:pt>
                <c:pt idx="68">
                  <c:v>1.95</c:v>
                </c:pt>
                <c:pt idx="69">
                  <c:v>1.95</c:v>
                </c:pt>
                <c:pt idx="70">
                  <c:v>1.9</c:v>
                </c:pt>
                <c:pt idx="71">
                  <c:v>2</c:v>
                </c:pt>
                <c:pt idx="72">
                  <c:v>2</c:v>
                </c:pt>
                <c:pt idx="73">
                  <c:v>2.1</c:v>
                </c:pt>
                <c:pt idx="74">
                  <c:v>2.1</c:v>
                </c:pt>
                <c:pt idx="75">
                  <c:v>2.1</c:v>
                </c:pt>
                <c:pt idx="76">
                  <c:v>2.4</c:v>
                </c:pt>
                <c:pt idx="77">
                  <c:v>2.65</c:v>
                </c:pt>
                <c:pt idx="78">
                  <c:v>2.35</c:v>
                </c:pt>
                <c:pt idx="79">
                  <c:v>2.2000000000000002</c:v>
                </c:pt>
                <c:pt idx="80">
                  <c:v>2.2000000000000002</c:v>
                </c:pt>
                <c:pt idx="81">
                  <c:v>2</c:v>
                </c:pt>
                <c:pt idx="82">
                  <c:v>2</c:v>
                </c:pt>
                <c:pt idx="83">
                  <c:v>2</c:v>
                </c:pt>
                <c:pt idx="84">
                  <c:v>2.2000000000000002</c:v>
                </c:pt>
                <c:pt idx="85">
                  <c:v>2.2999999999999998</c:v>
                </c:pt>
                <c:pt idx="86">
                  <c:v>2.35</c:v>
                </c:pt>
                <c:pt idx="87">
                  <c:v>2.4500000000000002</c:v>
                </c:pt>
                <c:pt idx="88">
                  <c:v>2.5499999999999998</c:v>
                </c:pt>
                <c:pt idx="89">
                  <c:v>2.5</c:v>
                </c:pt>
                <c:pt idx="90">
                  <c:v>2.2000000000000002</c:v>
                </c:pt>
                <c:pt idx="91">
                  <c:v>2</c:v>
                </c:pt>
                <c:pt idx="92">
                  <c:v>2.1</c:v>
                </c:pt>
                <c:pt idx="93">
                  <c:v>2.2000000000000002</c:v>
                </c:pt>
                <c:pt idx="94">
                  <c:v>2.2000000000000002</c:v>
                </c:pt>
                <c:pt idx="95">
                  <c:v>2.1</c:v>
                </c:pt>
                <c:pt idx="96">
                  <c:v>2.1</c:v>
                </c:pt>
                <c:pt idx="97">
                  <c:v>2.15</c:v>
                </c:pt>
                <c:pt idx="98">
                  <c:v>2.25</c:v>
                </c:pt>
                <c:pt idx="99">
                  <c:v>2.25</c:v>
                </c:pt>
                <c:pt idx="100">
                  <c:v>2.25</c:v>
                </c:pt>
                <c:pt idx="101">
                  <c:v>2.2000000000000002</c:v>
                </c:pt>
                <c:pt idx="102">
                  <c:v>2.2000000000000002</c:v>
                </c:pt>
                <c:pt idx="103">
                  <c:v>2.2000000000000002</c:v>
                </c:pt>
                <c:pt idx="104">
                  <c:v>2.5</c:v>
                </c:pt>
                <c:pt idx="105">
                  <c:v>2.6</c:v>
                </c:pt>
                <c:pt idx="106">
                  <c:v>2.6</c:v>
                </c:pt>
                <c:pt idx="107">
                  <c:v>2.4500000000000002</c:v>
                </c:pt>
                <c:pt idx="108">
                  <c:v>2.2999999999999998</c:v>
                </c:pt>
                <c:pt idx="109">
                  <c:v>2.35</c:v>
                </c:pt>
                <c:pt idx="110">
                  <c:v>2.2999999999999998</c:v>
                </c:pt>
                <c:pt idx="111">
                  <c:v>2.35</c:v>
                </c:pt>
                <c:pt idx="112">
                  <c:v>2.35</c:v>
                </c:pt>
                <c:pt idx="113">
                  <c:v>2.35</c:v>
                </c:pt>
                <c:pt idx="114">
                  <c:v>2.35</c:v>
                </c:pt>
                <c:pt idx="115">
                  <c:v>2.4</c:v>
                </c:pt>
                <c:pt idx="116">
                  <c:v>2.2999999999999998</c:v>
                </c:pt>
                <c:pt idx="117">
                  <c:v>2.25</c:v>
                </c:pt>
                <c:pt idx="118">
                  <c:v>2.15</c:v>
                </c:pt>
                <c:pt idx="119">
                  <c:v>2</c:v>
                </c:pt>
                <c:pt idx="120">
                  <c:v>1.85</c:v>
                </c:pt>
                <c:pt idx="121">
                  <c:v>1.35</c:v>
                </c:pt>
                <c:pt idx="122">
                  <c:v>1.1000000000000001</c:v>
                </c:pt>
                <c:pt idx="123">
                  <c:v>1.1499999999999999</c:v>
                </c:pt>
                <c:pt idx="124">
                  <c:v>1.05</c:v>
                </c:pt>
                <c:pt idx="125">
                  <c:v>1.2</c:v>
                </c:pt>
                <c:pt idx="126">
                  <c:v>1.35</c:v>
                </c:pt>
                <c:pt idx="127">
                  <c:v>1.35</c:v>
                </c:pt>
                <c:pt idx="128">
                  <c:v>1.25</c:v>
                </c:pt>
                <c:pt idx="129">
                  <c:v>1</c:v>
                </c:pt>
                <c:pt idx="130">
                  <c:v>1.05</c:v>
                </c:pt>
                <c:pt idx="131">
                  <c:v>1.05</c:v>
                </c:pt>
                <c:pt idx="132">
                  <c:v>1</c:v>
                </c:pt>
                <c:pt idx="133">
                  <c:v>0.85</c:v>
                </c:pt>
                <c:pt idx="134">
                  <c:v>0.75</c:v>
                </c:pt>
                <c:pt idx="135">
                  <c:v>0.75</c:v>
                </c:pt>
                <c:pt idx="136">
                  <c:v>1</c:v>
                </c:pt>
                <c:pt idx="137">
                  <c:v>1.05</c:v>
                </c:pt>
                <c:pt idx="138">
                  <c:v>1.25</c:v>
                </c:pt>
                <c:pt idx="139">
                  <c:v>1.3</c:v>
                </c:pt>
                <c:pt idx="140">
                  <c:v>1.2</c:v>
                </c:pt>
                <c:pt idx="141">
                  <c:v>1.2</c:v>
                </c:pt>
                <c:pt idx="142">
                  <c:v>1.2</c:v>
                </c:pt>
                <c:pt idx="143">
                  <c:v>1.3</c:v>
                </c:pt>
                <c:pt idx="144">
                  <c:v>1.25</c:v>
                </c:pt>
              </c:numCache>
            </c:numRef>
          </c:val>
          <c:smooth val="0"/>
          <c:extLst>
            <c:ext xmlns:c16="http://schemas.microsoft.com/office/drawing/2014/chart" uri="{C3380CC4-5D6E-409C-BE32-E72D297353CC}">
              <c16:uniqueId val="{00000002-1CDD-4B9E-A05F-3D0DE7C055B6}"/>
            </c:ext>
          </c:extLst>
        </c:ser>
        <c:ser>
          <c:idx val="3"/>
          <c:order val="3"/>
          <c:tx>
            <c:strRef>
              <c:f>'Base Oil Trends'!$A$7</c:f>
              <c:strCache>
                <c:ptCount val="1"/>
                <c:pt idx="0">
                  <c:v>85% of posted G2 price</c:v>
                </c:pt>
              </c:strCache>
            </c:strRef>
          </c:tx>
          <c:marker>
            <c:symbol val="none"/>
          </c:marker>
          <c:cat>
            <c:numRef>
              <c:f>'Base Oil Trends'!$B$3:$EQ$3</c:f>
              <c:numCache>
                <c:formatCode>mmm\-yy</c:formatCode>
                <c:ptCount val="146"/>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numCache>
            </c:numRef>
          </c:cat>
          <c:val>
            <c:numRef>
              <c:f>'Base Oil Trends'!$B$7:$EQ$7</c:f>
              <c:numCache>
                <c:formatCode>_("$"* #,##0.00_);_("$"* \(#,##0.00\);_("$"* "-"??_);_(@_)</c:formatCode>
                <c:ptCount val="146"/>
                <c:pt idx="0">
                  <c:v>1.5725</c:v>
                </c:pt>
                <c:pt idx="1">
                  <c:v>1.5725</c:v>
                </c:pt>
                <c:pt idx="2">
                  <c:v>1.5725</c:v>
                </c:pt>
                <c:pt idx="3">
                  <c:v>1.5725</c:v>
                </c:pt>
                <c:pt idx="4">
                  <c:v>1.5469999999999999</c:v>
                </c:pt>
                <c:pt idx="5">
                  <c:v>1.7424999999999997</c:v>
                </c:pt>
                <c:pt idx="6">
                  <c:v>1.7424999999999997</c:v>
                </c:pt>
                <c:pt idx="7">
                  <c:v>1.7594999999999998</c:v>
                </c:pt>
                <c:pt idx="8">
                  <c:v>1.87</c:v>
                </c:pt>
                <c:pt idx="9">
                  <c:v>1.9379999999999997</c:v>
                </c:pt>
                <c:pt idx="10">
                  <c:v>2.04</c:v>
                </c:pt>
                <c:pt idx="11">
                  <c:v>2.1080000000000001</c:v>
                </c:pt>
                <c:pt idx="12">
                  <c:v>2.1675</c:v>
                </c:pt>
                <c:pt idx="13">
                  <c:v>2.1675</c:v>
                </c:pt>
                <c:pt idx="14">
                  <c:v>2.1675</c:v>
                </c:pt>
                <c:pt idx="15">
                  <c:v>2.2949999999999999</c:v>
                </c:pt>
                <c:pt idx="16">
                  <c:v>2.3459999999999996</c:v>
                </c:pt>
                <c:pt idx="17">
                  <c:v>2.3969999999999998</c:v>
                </c:pt>
                <c:pt idx="18">
                  <c:v>2.4649999999999999</c:v>
                </c:pt>
                <c:pt idx="19">
                  <c:v>2.5499999999999998</c:v>
                </c:pt>
                <c:pt idx="20">
                  <c:v>2.6774999999999998</c:v>
                </c:pt>
                <c:pt idx="21">
                  <c:v>2.6774999999999998</c:v>
                </c:pt>
                <c:pt idx="22">
                  <c:v>2.6774999999999998</c:v>
                </c:pt>
                <c:pt idx="23">
                  <c:v>2.6774999999999998</c:v>
                </c:pt>
                <c:pt idx="24">
                  <c:v>2.5499999999999998</c:v>
                </c:pt>
                <c:pt idx="25">
                  <c:v>2.5499999999999998</c:v>
                </c:pt>
                <c:pt idx="26">
                  <c:v>2.5499999999999998</c:v>
                </c:pt>
                <c:pt idx="27">
                  <c:v>2.5499999999999998</c:v>
                </c:pt>
                <c:pt idx="28">
                  <c:v>2.5499999999999998</c:v>
                </c:pt>
                <c:pt idx="29">
                  <c:v>2.5499999999999998</c:v>
                </c:pt>
                <c:pt idx="30">
                  <c:v>2.5499999999999998</c:v>
                </c:pt>
                <c:pt idx="31">
                  <c:v>2.6520000000000001</c:v>
                </c:pt>
                <c:pt idx="32">
                  <c:v>2.7454999999999998</c:v>
                </c:pt>
                <c:pt idx="33">
                  <c:v>2.7454999999999998</c:v>
                </c:pt>
                <c:pt idx="34">
                  <c:v>2.7454999999999998</c:v>
                </c:pt>
                <c:pt idx="35">
                  <c:v>2.7454999999999998</c:v>
                </c:pt>
                <c:pt idx="36">
                  <c:v>2.7454999999999998</c:v>
                </c:pt>
                <c:pt idx="37">
                  <c:v>2.8049999999999997</c:v>
                </c:pt>
                <c:pt idx="38">
                  <c:v>2.8304999999999998</c:v>
                </c:pt>
                <c:pt idx="39">
                  <c:v>2.8304999999999998</c:v>
                </c:pt>
                <c:pt idx="40">
                  <c:v>3.06</c:v>
                </c:pt>
                <c:pt idx="41">
                  <c:v>3.23</c:v>
                </c:pt>
                <c:pt idx="42">
                  <c:v>3.3574999999999999</c:v>
                </c:pt>
                <c:pt idx="43">
                  <c:v>3.57</c:v>
                </c:pt>
                <c:pt idx="44">
                  <c:v>4.165</c:v>
                </c:pt>
                <c:pt idx="45">
                  <c:v>4.2924999999999995</c:v>
                </c:pt>
                <c:pt idx="46">
                  <c:v>4.2924999999999995</c:v>
                </c:pt>
                <c:pt idx="47">
                  <c:v>4.2075000000000005</c:v>
                </c:pt>
                <c:pt idx="48">
                  <c:v>4.1224999999999996</c:v>
                </c:pt>
                <c:pt idx="49">
                  <c:v>3.1875</c:v>
                </c:pt>
                <c:pt idx="50">
                  <c:v>2.72</c:v>
                </c:pt>
                <c:pt idx="51">
                  <c:v>2.4224999999999999</c:v>
                </c:pt>
                <c:pt idx="52">
                  <c:v>2.04</c:v>
                </c:pt>
                <c:pt idx="53">
                  <c:v>1.9124999999999999</c:v>
                </c:pt>
                <c:pt idx="54">
                  <c:v>1.9124999999999999</c:v>
                </c:pt>
                <c:pt idx="55">
                  <c:v>1.9124999999999999</c:v>
                </c:pt>
                <c:pt idx="56">
                  <c:v>1.9975000000000001</c:v>
                </c:pt>
                <c:pt idx="57">
                  <c:v>2.2949999999999999</c:v>
                </c:pt>
                <c:pt idx="58">
                  <c:v>2.2949999999999999</c:v>
                </c:pt>
                <c:pt idx="59">
                  <c:v>2.2949999999999999</c:v>
                </c:pt>
                <c:pt idx="60">
                  <c:v>2.2949999999999999</c:v>
                </c:pt>
                <c:pt idx="61">
                  <c:v>2.2949999999999999</c:v>
                </c:pt>
                <c:pt idx="62">
                  <c:v>2.2949999999999999</c:v>
                </c:pt>
                <c:pt idx="63">
                  <c:v>2.5075000000000003</c:v>
                </c:pt>
                <c:pt idx="64">
                  <c:v>2.5499999999999998</c:v>
                </c:pt>
                <c:pt idx="65">
                  <c:v>2.6349999999999998</c:v>
                </c:pt>
                <c:pt idx="66">
                  <c:v>2.72</c:v>
                </c:pt>
                <c:pt idx="67">
                  <c:v>2.9750000000000001</c:v>
                </c:pt>
                <c:pt idx="68">
                  <c:v>2.9750000000000001</c:v>
                </c:pt>
                <c:pt idx="69">
                  <c:v>2.9750000000000001</c:v>
                </c:pt>
                <c:pt idx="70">
                  <c:v>2.9750000000000001</c:v>
                </c:pt>
                <c:pt idx="71">
                  <c:v>2.9750000000000001</c:v>
                </c:pt>
                <c:pt idx="72">
                  <c:v>2.9750000000000001</c:v>
                </c:pt>
                <c:pt idx="73">
                  <c:v>3.2725</c:v>
                </c:pt>
                <c:pt idx="74">
                  <c:v>3.2725</c:v>
                </c:pt>
                <c:pt idx="75">
                  <c:v>3.2725</c:v>
                </c:pt>
                <c:pt idx="76">
                  <c:v>3.6124999999999998</c:v>
                </c:pt>
                <c:pt idx="77">
                  <c:v>3.6124999999999998</c:v>
                </c:pt>
                <c:pt idx="78">
                  <c:v>4.0374999999999996</c:v>
                </c:pt>
                <c:pt idx="79">
                  <c:v>4.0374999999999996</c:v>
                </c:pt>
                <c:pt idx="80">
                  <c:v>4.2075000000000005</c:v>
                </c:pt>
                <c:pt idx="81">
                  <c:v>4.2075000000000005</c:v>
                </c:pt>
                <c:pt idx="82">
                  <c:v>4.2075000000000005</c:v>
                </c:pt>
                <c:pt idx="83">
                  <c:v>4.2075000000000005</c:v>
                </c:pt>
                <c:pt idx="84">
                  <c:v>4.2075000000000005</c:v>
                </c:pt>
                <c:pt idx="85">
                  <c:v>4.0374999999999996</c:v>
                </c:pt>
                <c:pt idx="86">
                  <c:v>4.0374999999999996</c:v>
                </c:pt>
                <c:pt idx="87">
                  <c:v>4.0374999999999996</c:v>
                </c:pt>
                <c:pt idx="88">
                  <c:v>4.0374999999999996</c:v>
                </c:pt>
                <c:pt idx="89">
                  <c:v>4.0374999999999996</c:v>
                </c:pt>
                <c:pt idx="90">
                  <c:v>4.25</c:v>
                </c:pt>
                <c:pt idx="91">
                  <c:v>4.0374999999999996</c:v>
                </c:pt>
                <c:pt idx="92">
                  <c:v>3.6549999999999998</c:v>
                </c:pt>
                <c:pt idx="93">
                  <c:v>3.6549999999999998</c:v>
                </c:pt>
                <c:pt idx="94">
                  <c:v>3.6549999999999998</c:v>
                </c:pt>
                <c:pt idx="95">
                  <c:v>3.6549999999999998</c:v>
                </c:pt>
                <c:pt idx="96">
                  <c:v>3.4</c:v>
                </c:pt>
                <c:pt idx="97">
                  <c:v>3.4</c:v>
                </c:pt>
                <c:pt idx="98">
                  <c:v>3.1875</c:v>
                </c:pt>
                <c:pt idx="99">
                  <c:v>3.1875</c:v>
                </c:pt>
                <c:pt idx="100">
                  <c:v>3.1875</c:v>
                </c:pt>
                <c:pt idx="101">
                  <c:v>3.3149999999999999</c:v>
                </c:pt>
                <c:pt idx="102">
                  <c:v>3.3149999999999999</c:v>
                </c:pt>
                <c:pt idx="103">
                  <c:v>3.3149999999999999</c:v>
                </c:pt>
                <c:pt idx="104">
                  <c:v>3.3149999999999999</c:v>
                </c:pt>
                <c:pt idx="105">
                  <c:v>3.3149999999999999</c:v>
                </c:pt>
                <c:pt idx="106">
                  <c:v>3.4</c:v>
                </c:pt>
                <c:pt idx="107">
                  <c:v>3.4</c:v>
                </c:pt>
                <c:pt idx="108">
                  <c:v>3.3149999999999999</c:v>
                </c:pt>
                <c:pt idx="109">
                  <c:v>3.3149999999999999</c:v>
                </c:pt>
                <c:pt idx="110">
                  <c:v>3.3149999999999999</c:v>
                </c:pt>
                <c:pt idx="111">
                  <c:v>3.2725</c:v>
                </c:pt>
                <c:pt idx="112">
                  <c:v>3.2725</c:v>
                </c:pt>
                <c:pt idx="113">
                  <c:v>3.3149999999999999</c:v>
                </c:pt>
                <c:pt idx="114">
                  <c:v>3.3149999999999999</c:v>
                </c:pt>
                <c:pt idx="115">
                  <c:v>3.3149999999999999</c:v>
                </c:pt>
                <c:pt idx="116">
                  <c:v>3.3149999999999999</c:v>
                </c:pt>
                <c:pt idx="117">
                  <c:v>3.145</c:v>
                </c:pt>
                <c:pt idx="118">
                  <c:v>3.145</c:v>
                </c:pt>
                <c:pt idx="119">
                  <c:v>3.0174999999999996</c:v>
                </c:pt>
                <c:pt idx="120">
                  <c:v>2.8049999999999997</c:v>
                </c:pt>
                <c:pt idx="121">
                  <c:v>2.38</c:v>
                </c:pt>
                <c:pt idx="122">
                  <c:v>2.38</c:v>
                </c:pt>
                <c:pt idx="123">
                  <c:v>2.38</c:v>
                </c:pt>
                <c:pt idx="124">
                  <c:v>2.38</c:v>
                </c:pt>
                <c:pt idx="125">
                  <c:v>2.38</c:v>
                </c:pt>
                <c:pt idx="126">
                  <c:v>2.38</c:v>
                </c:pt>
                <c:pt idx="127">
                  <c:v>2.38</c:v>
                </c:pt>
                <c:pt idx="128">
                  <c:v>2.38</c:v>
                </c:pt>
                <c:pt idx="129">
                  <c:v>2.2949999999999999</c:v>
                </c:pt>
                <c:pt idx="130">
                  <c:v>2.125</c:v>
                </c:pt>
                <c:pt idx="131">
                  <c:v>2.04</c:v>
                </c:pt>
                <c:pt idx="132">
                  <c:v>2.04</c:v>
                </c:pt>
                <c:pt idx="133">
                  <c:v>1.9549999999999998</c:v>
                </c:pt>
                <c:pt idx="134">
                  <c:v>1.7849999999999999</c:v>
                </c:pt>
                <c:pt idx="135">
                  <c:v>1.53</c:v>
                </c:pt>
                <c:pt idx="136">
                  <c:v>1.53</c:v>
                </c:pt>
                <c:pt idx="137">
                  <c:v>1.53</c:v>
                </c:pt>
                <c:pt idx="138">
                  <c:v>1.6575</c:v>
                </c:pt>
                <c:pt idx="139">
                  <c:v>1.87</c:v>
                </c:pt>
                <c:pt idx="140">
                  <c:v>1.9549999999999998</c:v>
                </c:pt>
                <c:pt idx="141">
                  <c:v>1.9549999999999998</c:v>
                </c:pt>
                <c:pt idx="142">
                  <c:v>1.9549999999999998</c:v>
                </c:pt>
                <c:pt idx="143">
                  <c:v>1.87</c:v>
                </c:pt>
                <c:pt idx="144">
                  <c:v>1.87</c:v>
                </c:pt>
                <c:pt idx="145">
                  <c:v>1.87</c:v>
                </c:pt>
              </c:numCache>
            </c:numRef>
          </c:val>
          <c:smooth val="0"/>
          <c:extLst>
            <c:ext xmlns:c16="http://schemas.microsoft.com/office/drawing/2014/chart" uri="{C3380CC4-5D6E-409C-BE32-E72D297353CC}">
              <c16:uniqueId val="{00000003-1CDD-4B9E-A05F-3D0DE7C055B6}"/>
            </c:ext>
          </c:extLst>
        </c:ser>
        <c:dLbls>
          <c:showLegendKey val="0"/>
          <c:showVal val="0"/>
          <c:showCatName val="0"/>
          <c:showSerName val="0"/>
          <c:showPercent val="0"/>
          <c:showBubbleSize val="0"/>
        </c:dLbls>
        <c:smooth val="0"/>
        <c:axId val="100933512"/>
        <c:axId val="100933904"/>
      </c:lineChart>
      <c:dateAx>
        <c:axId val="100933512"/>
        <c:scaling>
          <c:orientation val="minMax"/>
        </c:scaling>
        <c:delete val="0"/>
        <c:axPos val="b"/>
        <c:numFmt formatCode="mmm\-yy" sourceLinked="1"/>
        <c:majorTickMark val="none"/>
        <c:minorTickMark val="none"/>
        <c:tickLblPos val="nextTo"/>
        <c:crossAx val="100933904"/>
        <c:crosses val="autoZero"/>
        <c:auto val="1"/>
        <c:lblOffset val="100"/>
        <c:baseTimeUnit val="months"/>
      </c:dateAx>
      <c:valAx>
        <c:axId val="100933904"/>
        <c:scaling>
          <c:orientation val="minMax"/>
        </c:scaling>
        <c:delete val="0"/>
        <c:axPos val="l"/>
        <c:numFmt formatCode="_(&quot;$&quot;* #,##0.00_);_(&quot;$&quot;* \(#,##0.00\);_(&quot;$&quot;* &quot;-&quot;??_);_(@_)" sourceLinked="1"/>
        <c:majorTickMark val="none"/>
        <c:minorTickMark val="none"/>
        <c:tickLblPos val="nextTo"/>
        <c:crossAx val="10093351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'Base Oil Trends'!$A$4</c:f>
              <c:strCache>
                <c:ptCount val="1"/>
                <c:pt idx="0">
                  <c:v>Base Oil G1 Cost/Gal</c:v>
                </c:pt>
              </c:strCache>
            </c:strRef>
          </c:tx>
          <c:marker>
            <c:symbol val="none"/>
          </c:marker>
          <c:cat>
            <c:numRef>
              <c:f>'Base Oil Trends'!$B$3:$HF$3</c:f>
              <c:numCache>
                <c:formatCode>mmm\-yy</c:formatCode>
                <c:ptCount val="213"/>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pt idx="146">
                  <c:v>42736</c:v>
                </c:pt>
                <c:pt idx="147">
                  <c:v>42767</c:v>
                </c:pt>
                <c:pt idx="148">
                  <c:v>42795</c:v>
                </c:pt>
                <c:pt idx="149">
                  <c:v>42826</c:v>
                </c:pt>
                <c:pt idx="150">
                  <c:v>42856</c:v>
                </c:pt>
                <c:pt idx="151">
                  <c:v>42887</c:v>
                </c:pt>
                <c:pt idx="152">
                  <c:v>42917</c:v>
                </c:pt>
                <c:pt idx="153">
                  <c:v>42948</c:v>
                </c:pt>
                <c:pt idx="154">
                  <c:v>42979</c:v>
                </c:pt>
                <c:pt idx="155">
                  <c:v>43009</c:v>
                </c:pt>
                <c:pt idx="156">
                  <c:v>43040</c:v>
                </c:pt>
                <c:pt idx="157">
                  <c:v>43070</c:v>
                </c:pt>
                <c:pt idx="158">
                  <c:v>43101</c:v>
                </c:pt>
                <c:pt idx="159">
                  <c:v>43132</c:v>
                </c:pt>
                <c:pt idx="160">
                  <c:v>43160</c:v>
                </c:pt>
                <c:pt idx="161">
                  <c:v>43191</c:v>
                </c:pt>
                <c:pt idx="162">
                  <c:v>43221</c:v>
                </c:pt>
                <c:pt idx="163">
                  <c:v>43252</c:v>
                </c:pt>
                <c:pt idx="164">
                  <c:v>43282</c:v>
                </c:pt>
                <c:pt idx="165">
                  <c:v>43313</c:v>
                </c:pt>
                <c:pt idx="166">
                  <c:v>43344</c:v>
                </c:pt>
                <c:pt idx="167">
                  <c:v>43374</c:v>
                </c:pt>
                <c:pt idx="168">
                  <c:v>43405</c:v>
                </c:pt>
                <c:pt idx="169">
                  <c:v>43435</c:v>
                </c:pt>
                <c:pt idx="170">
                  <c:v>43466</c:v>
                </c:pt>
                <c:pt idx="171">
                  <c:v>43497</c:v>
                </c:pt>
                <c:pt idx="172">
                  <c:v>43525</c:v>
                </c:pt>
                <c:pt idx="173">
                  <c:v>43556</c:v>
                </c:pt>
                <c:pt idx="174">
                  <c:v>43586</c:v>
                </c:pt>
                <c:pt idx="175">
                  <c:v>43617</c:v>
                </c:pt>
                <c:pt idx="176">
                  <c:v>43647</c:v>
                </c:pt>
                <c:pt idx="177">
                  <c:v>43678</c:v>
                </c:pt>
                <c:pt idx="178">
                  <c:v>43709</c:v>
                </c:pt>
                <c:pt idx="179">
                  <c:v>43739</c:v>
                </c:pt>
                <c:pt idx="180">
                  <c:v>43770</c:v>
                </c:pt>
                <c:pt idx="181">
                  <c:v>43800</c:v>
                </c:pt>
                <c:pt idx="182">
                  <c:v>43831</c:v>
                </c:pt>
                <c:pt idx="183">
                  <c:v>43862</c:v>
                </c:pt>
                <c:pt idx="184">
                  <c:v>43891</c:v>
                </c:pt>
                <c:pt idx="185">
                  <c:v>43922</c:v>
                </c:pt>
                <c:pt idx="186">
                  <c:v>43952</c:v>
                </c:pt>
                <c:pt idx="187">
                  <c:v>43983</c:v>
                </c:pt>
                <c:pt idx="188">
                  <c:v>44013</c:v>
                </c:pt>
                <c:pt idx="189">
                  <c:v>44044</c:v>
                </c:pt>
                <c:pt idx="190">
                  <c:v>44075</c:v>
                </c:pt>
                <c:pt idx="191">
                  <c:v>44105</c:v>
                </c:pt>
                <c:pt idx="192">
                  <c:v>44136</c:v>
                </c:pt>
                <c:pt idx="193">
                  <c:v>44166</c:v>
                </c:pt>
                <c:pt idx="194">
                  <c:v>44197</c:v>
                </c:pt>
                <c:pt idx="195">
                  <c:v>44228</c:v>
                </c:pt>
                <c:pt idx="196">
                  <c:v>44256</c:v>
                </c:pt>
                <c:pt idx="197">
                  <c:v>44287</c:v>
                </c:pt>
                <c:pt idx="198">
                  <c:v>44317</c:v>
                </c:pt>
                <c:pt idx="199">
                  <c:v>44348</c:v>
                </c:pt>
                <c:pt idx="200">
                  <c:v>44378</c:v>
                </c:pt>
                <c:pt idx="201">
                  <c:v>44409</c:v>
                </c:pt>
                <c:pt idx="202">
                  <c:v>44440</c:v>
                </c:pt>
                <c:pt idx="203">
                  <c:v>44470</c:v>
                </c:pt>
                <c:pt idx="204">
                  <c:v>44501</c:v>
                </c:pt>
                <c:pt idx="205">
                  <c:v>44531</c:v>
                </c:pt>
                <c:pt idx="206">
                  <c:v>44562</c:v>
                </c:pt>
                <c:pt idx="207">
                  <c:v>44593</c:v>
                </c:pt>
                <c:pt idx="208">
                  <c:v>44621</c:v>
                </c:pt>
                <c:pt idx="209">
                  <c:v>44652</c:v>
                </c:pt>
                <c:pt idx="210">
                  <c:v>44682</c:v>
                </c:pt>
                <c:pt idx="211">
                  <c:v>44713</c:v>
                </c:pt>
                <c:pt idx="212">
                  <c:v>44743</c:v>
                </c:pt>
              </c:numCache>
            </c:numRef>
          </c:cat>
          <c:val>
            <c:numRef>
              <c:f>'Base Oil Trends'!$B$4:$HF$4</c:f>
              <c:numCache>
                <c:formatCode>_("$"* #,##0.00_);_("$"* \(#,##0.00\);_("$"* "-"??_);_(@_)</c:formatCode>
                <c:ptCount val="213"/>
                <c:pt idx="0">
                  <c:v>1.78</c:v>
                </c:pt>
                <c:pt idx="1">
                  <c:v>1.78</c:v>
                </c:pt>
                <c:pt idx="2">
                  <c:v>1.78</c:v>
                </c:pt>
                <c:pt idx="3">
                  <c:v>1.78</c:v>
                </c:pt>
                <c:pt idx="4">
                  <c:v>1.8</c:v>
                </c:pt>
                <c:pt idx="5">
                  <c:v>1.9</c:v>
                </c:pt>
                <c:pt idx="6">
                  <c:v>1.9</c:v>
                </c:pt>
                <c:pt idx="7">
                  <c:v>2</c:v>
                </c:pt>
                <c:pt idx="8">
                  <c:v>2.0499999999999998</c:v>
                </c:pt>
                <c:pt idx="9">
                  <c:v>2.23</c:v>
                </c:pt>
                <c:pt idx="10">
                  <c:v>2.37</c:v>
                </c:pt>
                <c:pt idx="11">
                  <c:v>2.42</c:v>
                </c:pt>
                <c:pt idx="12">
                  <c:v>2.46</c:v>
                </c:pt>
                <c:pt idx="13">
                  <c:v>2.46</c:v>
                </c:pt>
                <c:pt idx="14">
                  <c:v>2.46</c:v>
                </c:pt>
                <c:pt idx="15">
                  <c:v>2.63</c:v>
                </c:pt>
                <c:pt idx="16">
                  <c:v>2.73</c:v>
                </c:pt>
                <c:pt idx="17">
                  <c:v>2.73</c:v>
                </c:pt>
                <c:pt idx="18">
                  <c:v>2.82</c:v>
                </c:pt>
                <c:pt idx="19">
                  <c:v>3</c:v>
                </c:pt>
                <c:pt idx="20">
                  <c:v>3</c:v>
                </c:pt>
                <c:pt idx="21">
                  <c:v>3.15</c:v>
                </c:pt>
                <c:pt idx="22">
                  <c:v>3.15</c:v>
                </c:pt>
                <c:pt idx="23">
                  <c:v>3.15</c:v>
                </c:pt>
                <c:pt idx="24">
                  <c:v>3.05</c:v>
                </c:pt>
                <c:pt idx="25">
                  <c:v>3.05</c:v>
                </c:pt>
                <c:pt idx="26">
                  <c:v>3</c:v>
                </c:pt>
                <c:pt idx="27">
                  <c:v>2.87</c:v>
                </c:pt>
                <c:pt idx="28">
                  <c:v>2.87</c:v>
                </c:pt>
                <c:pt idx="29">
                  <c:v>2.87</c:v>
                </c:pt>
                <c:pt idx="30">
                  <c:v>2.87</c:v>
                </c:pt>
                <c:pt idx="31">
                  <c:v>3</c:v>
                </c:pt>
                <c:pt idx="32">
                  <c:v>3.05</c:v>
                </c:pt>
                <c:pt idx="33">
                  <c:v>3.1</c:v>
                </c:pt>
                <c:pt idx="34">
                  <c:v>3.1</c:v>
                </c:pt>
                <c:pt idx="35">
                  <c:v>3.1</c:v>
                </c:pt>
                <c:pt idx="36">
                  <c:v>3.13</c:v>
                </c:pt>
                <c:pt idx="37">
                  <c:v>3.33</c:v>
                </c:pt>
                <c:pt idx="38">
                  <c:v>3.33</c:v>
                </c:pt>
                <c:pt idx="39">
                  <c:v>3.33</c:v>
                </c:pt>
                <c:pt idx="40">
                  <c:v>3.6</c:v>
                </c:pt>
                <c:pt idx="41">
                  <c:v>3.8</c:v>
                </c:pt>
                <c:pt idx="42">
                  <c:v>3.95</c:v>
                </c:pt>
                <c:pt idx="43">
                  <c:v>4.25</c:v>
                </c:pt>
                <c:pt idx="44">
                  <c:v>5.05</c:v>
                </c:pt>
                <c:pt idx="45">
                  <c:v>5.05</c:v>
                </c:pt>
                <c:pt idx="46">
                  <c:v>5.15</c:v>
                </c:pt>
                <c:pt idx="47">
                  <c:v>5.15</c:v>
                </c:pt>
                <c:pt idx="48">
                  <c:v>4.95</c:v>
                </c:pt>
                <c:pt idx="49">
                  <c:v>3.75</c:v>
                </c:pt>
                <c:pt idx="50">
                  <c:v>3.25</c:v>
                </c:pt>
                <c:pt idx="51">
                  <c:v>2.85</c:v>
                </c:pt>
                <c:pt idx="52">
                  <c:v>2.35</c:v>
                </c:pt>
                <c:pt idx="53">
                  <c:v>2.25</c:v>
                </c:pt>
                <c:pt idx="54">
                  <c:v>2.25</c:v>
                </c:pt>
                <c:pt idx="55">
                  <c:v>2.25</c:v>
                </c:pt>
                <c:pt idx="56">
                  <c:v>2.35</c:v>
                </c:pt>
                <c:pt idx="57">
                  <c:v>2.6</c:v>
                </c:pt>
                <c:pt idx="58">
                  <c:v>2.6</c:v>
                </c:pt>
                <c:pt idx="59">
                  <c:v>2.6</c:v>
                </c:pt>
                <c:pt idx="60">
                  <c:v>2.6</c:v>
                </c:pt>
                <c:pt idx="61">
                  <c:v>2.6</c:v>
                </c:pt>
                <c:pt idx="62">
                  <c:v>2.6</c:v>
                </c:pt>
                <c:pt idx="63">
                  <c:v>2.95</c:v>
                </c:pt>
                <c:pt idx="64">
                  <c:v>2.95</c:v>
                </c:pt>
                <c:pt idx="65">
                  <c:v>3</c:v>
                </c:pt>
                <c:pt idx="66">
                  <c:v>3.15</c:v>
                </c:pt>
                <c:pt idx="67">
                  <c:v>3.45</c:v>
                </c:pt>
                <c:pt idx="68">
                  <c:v>3.5</c:v>
                </c:pt>
                <c:pt idx="69">
                  <c:v>3.3</c:v>
                </c:pt>
                <c:pt idx="70">
                  <c:v>3.3</c:v>
                </c:pt>
                <c:pt idx="71">
                  <c:v>3.3</c:v>
                </c:pt>
                <c:pt idx="72">
                  <c:v>3.3</c:v>
                </c:pt>
                <c:pt idx="73">
                  <c:v>3.5</c:v>
                </c:pt>
                <c:pt idx="74">
                  <c:v>3.5</c:v>
                </c:pt>
                <c:pt idx="75">
                  <c:v>3.5</c:v>
                </c:pt>
                <c:pt idx="76">
                  <c:v>4</c:v>
                </c:pt>
                <c:pt idx="77">
                  <c:v>4</c:v>
                </c:pt>
                <c:pt idx="78">
                  <c:v>4.3</c:v>
                </c:pt>
                <c:pt idx="79">
                  <c:v>4.75</c:v>
                </c:pt>
                <c:pt idx="80">
                  <c:v>4.75</c:v>
                </c:pt>
                <c:pt idx="81">
                  <c:v>4.75</c:v>
                </c:pt>
                <c:pt idx="82">
                  <c:v>4.5999999999999996</c:v>
                </c:pt>
                <c:pt idx="83">
                  <c:v>4.3499999999999996</c:v>
                </c:pt>
                <c:pt idx="84">
                  <c:v>4.3499999999999996</c:v>
                </c:pt>
                <c:pt idx="85">
                  <c:v>4.1500000000000004</c:v>
                </c:pt>
                <c:pt idx="86">
                  <c:v>4.1500000000000004</c:v>
                </c:pt>
                <c:pt idx="87">
                  <c:v>4.1500000000000004</c:v>
                </c:pt>
                <c:pt idx="88">
                  <c:v>4.1500000000000004</c:v>
                </c:pt>
                <c:pt idx="89">
                  <c:v>4.45</c:v>
                </c:pt>
                <c:pt idx="90">
                  <c:v>4.45</c:v>
                </c:pt>
                <c:pt idx="91">
                  <c:v>4.3</c:v>
                </c:pt>
                <c:pt idx="92">
                  <c:v>4</c:v>
                </c:pt>
                <c:pt idx="93">
                  <c:v>4</c:v>
                </c:pt>
                <c:pt idx="94">
                  <c:v>4</c:v>
                </c:pt>
                <c:pt idx="95">
                  <c:v>4</c:v>
                </c:pt>
                <c:pt idx="96">
                  <c:v>3.9</c:v>
                </c:pt>
                <c:pt idx="97">
                  <c:v>3.85</c:v>
                </c:pt>
                <c:pt idx="98">
                  <c:v>3.75</c:v>
                </c:pt>
                <c:pt idx="99">
                  <c:v>3.75</c:v>
                </c:pt>
                <c:pt idx="100">
                  <c:v>3.75</c:v>
                </c:pt>
                <c:pt idx="101">
                  <c:v>3.8</c:v>
                </c:pt>
                <c:pt idx="102">
                  <c:v>3.8</c:v>
                </c:pt>
                <c:pt idx="103">
                  <c:v>3.8</c:v>
                </c:pt>
                <c:pt idx="104">
                  <c:v>3.8</c:v>
                </c:pt>
                <c:pt idx="105">
                  <c:v>3.8</c:v>
                </c:pt>
                <c:pt idx="106">
                  <c:v>3.9</c:v>
                </c:pt>
                <c:pt idx="107">
                  <c:v>3.9</c:v>
                </c:pt>
                <c:pt idx="108">
                  <c:v>4</c:v>
                </c:pt>
                <c:pt idx="109">
                  <c:v>4</c:v>
                </c:pt>
                <c:pt idx="110">
                  <c:v>4</c:v>
                </c:pt>
                <c:pt idx="111">
                  <c:v>3.85</c:v>
                </c:pt>
                <c:pt idx="112">
                  <c:v>3.85</c:v>
                </c:pt>
                <c:pt idx="113">
                  <c:v>3.9</c:v>
                </c:pt>
                <c:pt idx="114">
                  <c:v>3.9</c:v>
                </c:pt>
                <c:pt idx="115">
                  <c:v>4</c:v>
                </c:pt>
                <c:pt idx="116">
                  <c:v>4</c:v>
                </c:pt>
                <c:pt idx="117">
                  <c:v>3.8</c:v>
                </c:pt>
                <c:pt idx="118">
                  <c:v>3.8</c:v>
                </c:pt>
                <c:pt idx="119">
                  <c:v>3.65</c:v>
                </c:pt>
                <c:pt idx="120">
                  <c:v>3.3</c:v>
                </c:pt>
                <c:pt idx="121">
                  <c:v>2.8</c:v>
                </c:pt>
                <c:pt idx="122">
                  <c:v>2.8</c:v>
                </c:pt>
                <c:pt idx="123">
                  <c:v>2.8</c:v>
                </c:pt>
                <c:pt idx="124">
                  <c:v>2.8</c:v>
                </c:pt>
                <c:pt idx="125">
                  <c:v>2.8</c:v>
                </c:pt>
                <c:pt idx="126">
                  <c:v>2.8</c:v>
                </c:pt>
                <c:pt idx="127">
                  <c:v>2.8</c:v>
                </c:pt>
                <c:pt idx="128">
                  <c:v>2.8</c:v>
                </c:pt>
                <c:pt idx="129">
                  <c:v>2.7</c:v>
                </c:pt>
                <c:pt idx="130">
                  <c:v>2.5</c:v>
                </c:pt>
                <c:pt idx="131">
                  <c:v>2.4</c:v>
                </c:pt>
                <c:pt idx="132">
                  <c:v>2.4</c:v>
                </c:pt>
                <c:pt idx="133">
                  <c:v>2.2999999999999998</c:v>
                </c:pt>
                <c:pt idx="134">
                  <c:v>2.1</c:v>
                </c:pt>
                <c:pt idx="135">
                  <c:v>1.8</c:v>
                </c:pt>
                <c:pt idx="136">
                  <c:v>1.8</c:v>
                </c:pt>
                <c:pt idx="137">
                  <c:v>1.9</c:v>
                </c:pt>
                <c:pt idx="138">
                  <c:v>2</c:v>
                </c:pt>
                <c:pt idx="139">
                  <c:v>2.25</c:v>
                </c:pt>
                <c:pt idx="140">
                  <c:v>2.4</c:v>
                </c:pt>
                <c:pt idx="141">
                  <c:v>2.4</c:v>
                </c:pt>
                <c:pt idx="142">
                  <c:v>2.4</c:v>
                </c:pt>
                <c:pt idx="143" formatCode="General">
                  <c:v>2.4</c:v>
                </c:pt>
                <c:pt idx="144">
                  <c:v>2.4</c:v>
                </c:pt>
                <c:pt idx="145">
                  <c:v>2.4</c:v>
                </c:pt>
              </c:numCache>
            </c:numRef>
          </c:val>
          <c:smooth val="0"/>
          <c:extLst>
            <c:ext xmlns:c16="http://schemas.microsoft.com/office/drawing/2014/chart" uri="{C3380CC4-5D6E-409C-BE32-E72D297353CC}">
              <c16:uniqueId val="{00000000-F8DC-43FA-894D-F556686A3DA1}"/>
            </c:ext>
          </c:extLst>
        </c:ser>
        <c:ser>
          <c:idx val="1"/>
          <c:order val="1"/>
          <c:tx>
            <c:strRef>
              <c:f>'Base Oil Trends'!$A$5</c:f>
              <c:strCache>
                <c:ptCount val="1"/>
                <c:pt idx="0">
                  <c:v>Base Oil G2 Cost/Gal</c:v>
                </c:pt>
              </c:strCache>
            </c:strRef>
          </c:tx>
          <c:marker>
            <c:symbol val="none"/>
          </c:marker>
          <c:cat>
            <c:numRef>
              <c:f>'Base Oil Trends'!$B$3:$HF$3</c:f>
              <c:numCache>
                <c:formatCode>mmm\-yy</c:formatCode>
                <c:ptCount val="213"/>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pt idx="146">
                  <c:v>42736</c:v>
                </c:pt>
                <c:pt idx="147">
                  <c:v>42767</c:v>
                </c:pt>
                <c:pt idx="148">
                  <c:v>42795</c:v>
                </c:pt>
                <c:pt idx="149">
                  <c:v>42826</c:v>
                </c:pt>
                <c:pt idx="150">
                  <c:v>42856</c:v>
                </c:pt>
                <c:pt idx="151">
                  <c:v>42887</c:v>
                </c:pt>
                <c:pt idx="152">
                  <c:v>42917</c:v>
                </c:pt>
                <c:pt idx="153">
                  <c:v>42948</c:v>
                </c:pt>
                <c:pt idx="154">
                  <c:v>42979</c:v>
                </c:pt>
                <c:pt idx="155">
                  <c:v>43009</c:v>
                </c:pt>
                <c:pt idx="156">
                  <c:v>43040</c:v>
                </c:pt>
                <c:pt idx="157">
                  <c:v>43070</c:v>
                </c:pt>
                <c:pt idx="158">
                  <c:v>43101</c:v>
                </c:pt>
                <c:pt idx="159">
                  <c:v>43132</c:v>
                </c:pt>
                <c:pt idx="160">
                  <c:v>43160</c:v>
                </c:pt>
                <c:pt idx="161">
                  <c:v>43191</c:v>
                </c:pt>
                <c:pt idx="162">
                  <c:v>43221</c:v>
                </c:pt>
                <c:pt idx="163">
                  <c:v>43252</c:v>
                </c:pt>
                <c:pt idx="164">
                  <c:v>43282</c:v>
                </c:pt>
                <c:pt idx="165">
                  <c:v>43313</c:v>
                </c:pt>
                <c:pt idx="166">
                  <c:v>43344</c:v>
                </c:pt>
                <c:pt idx="167">
                  <c:v>43374</c:v>
                </c:pt>
                <c:pt idx="168">
                  <c:v>43405</c:v>
                </c:pt>
                <c:pt idx="169">
                  <c:v>43435</c:v>
                </c:pt>
                <c:pt idx="170">
                  <c:v>43466</c:v>
                </c:pt>
                <c:pt idx="171">
                  <c:v>43497</c:v>
                </c:pt>
                <c:pt idx="172">
                  <c:v>43525</c:v>
                </c:pt>
                <c:pt idx="173">
                  <c:v>43556</c:v>
                </c:pt>
                <c:pt idx="174">
                  <c:v>43586</c:v>
                </c:pt>
                <c:pt idx="175">
                  <c:v>43617</c:v>
                </c:pt>
                <c:pt idx="176">
                  <c:v>43647</c:v>
                </c:pt>
                <c:pt idx="177">
                  <c:v>43678</c:v>
                </c:pt>
                <c:pt idx="178">
                  <c:v>43709</c:v>
                </c:pt>
                <c:pt idx="179">
                  <c:v>43739</c:v>
                </c:pt>
                <c:pt idx="180">
                  <c:v>43770</c:v>
                </c:pt>
                <c:pt idx="181">
                  <c:v>43800</c:v>
                </c:pt>
                <c:pt idx="182">
                  <c:v>43831</c:v>
                </c:pt>
                <c:pt idx="183">
                  <c:v>43862</c:v>
                </c:pt>
                <c:pt idx="184">
                  <c:v>43891</c:v>
                </c:pt>
                <c:pt idx="185">
                  <c:v>43922</c:v>
                </c:pt>
                <c:pt idx="186">
                  <c:v>43952</c:v>
                </c:pt>
                <c:pt idx="187">
                  <c:v>43983</c:v>
                </c:pt>
                <c:pt idx="188">
                  <c:v>44013</c:v>
                </c:pt>
                <c:pt idx="189">
                  <c:v>44044</c:v>
                </c:pt>
                <c:pt idx="190">
                  <c:v>44075</c:v>
                </c:pt>
                <c:pt idx="191">
                  <c:v>44105</c:v>
                </c:pt>
                <c:pt idx="192">
                  <c:v>44136</c:v>
                </c:pt>
                <c:pt idx="193">
                  <c:v>44166</c:v>
                </c:pt>
                <c:pt idx="194">
                  <c:v>44197</c:v>
                </c:pt>
                <c:pt idx="195">
                  <c:v>44228</c:v>
                </c:pt>
                <c:pt idx="196">
                  <c:v>44256</c:v>
                </c:pt>
                <c:pt idx="197">
                  <c:v>44287</c:v>
                </c:pt>
                <c:pt idx="198">
                  <c:v>44317</c:v>
                </c:pt>
                <c:pt idx="199">
                  <c:v>44348</c:v>
                </c:pt>
                <c:pt idx="200">
                  <c:v>44378</c:v>
                </c:pt>
                <c:pt idx="201">
                  <c:v>44409</c:v>
                </c:pt>
                <c:pt idx="202">
                  <c:v>44440</c:v>
                </c:pt>
                <c:pt idx="203">
                  <c:v>44470</c:v>
                </c:pt>
                <c:pt idx="204">
                  <c:v>44501</c:v>
                </c:pt>
                <c:pt idx="205">
                  <c:v>44531</c:v>
                </c:pt>
                <c:pt idx="206">
                  <c:v>44562</c:v>
                </c:pt>
                <c:pt idx="207">
                  <c:v>44593</c:v>
                </c:pt>
                <c:pt idx="208">
                  <c:v>44621</c:v>
                </c:pt>
                <c:pt idx="209">
                  <c:v>44652</c:v>
                </c:pt>
                <c:pt idx="210">
                  <c:v>44682</c:v>
                </c:pt>
                <c:pt idx="211">
                  <c:v>44713</c:v>
                </c:pt>
                <c:pt idx="212">
                  <c:v>44743</c:v>
                </c:pt>
              </c:numCache>
            </c:numRef>
          </c:cat>
          <c:val>
            <c:numRef>
              <c:f>'Base Oil Trends'!$B$5:$HF$5</c:f>
              <c:numCache>
                <c:formatCode>_("$"* #,##0.00_);_("$"* \(#,##0.00\);_("$"* "-"??_);_(@_)</c:formatCode>
                <c:ptCount val="213"/>
                <c:pt idx="0">
                  <c:v>1.85</c:v>
                </c:pt>
                <c:pt idx="1">
                  <c:v>1.85</c:v>
                </c:pt>
                <c:pt idx="2">
                  <c:v>1.85</c:v>
                </c:pt>
                <c:pt idx="3">
                  <c:v>1.85</c:v>
                </c:pt>
                <c:pt idx="4">
                  <c:v>1.82</c:v>
                </c:pt>
                <c:pt idx="5">
                  <c:v>2.0499999999999998</c:v>
                </c:pt>
                <c:pt idx="6">
                  <c:v>2.0499999999999998</c:v>
                </c:pt>
                <c:pt idx="7">
                  <c:v>2.0699999999999998</c:v>
                </c:pt>
                <c:pt idx="8">
                  <c:v>2.2000000000000002</c:v>
                </c:pt>
                <c:pt idx="9">
                  <c:v>2.2799999999999998</c:v>
                </c:pt>
                <c:pt idx="10">
                  <c:v>2.4</c:v>
                </c:pt>
                <c:pt idx="11">
                  <c:v>2.48</c:v>
                </c:pt>
                <c:pt idx="12">
                  <c:v>2.5499999999999998</c:v>
                </c:pt>
                <c:pt idx="13">
                  <c:v>2.5499999999999998</c:v>
                </c:pt>
                <c:pt idx="14">
                  <c:v>2.5499999999999998</c:v>
                </c:pt>
                <c:pt idx="15">
                  <c:v>2.7</c:v>
                </c:pt>
                <c:pt idx="16">
                  <c:v>2.76</c:v>
                </c:pt>
                <c:pt idx="17">
                  <c:v>2.82</c:v>
                </c:pt>
                <c:pt idx="18">
                  <c:v>2.9</c:v>
                </c:pt>
                <c:pt idx="19">
                  <c:v>3</c:v>
                </c:pt>
                <c:pt idx="20">
                  <c:v>3.15</c:v>
                </c:pt>
                <c:pt idx="21">
                  <c:v>3.15</c:v>
                </c:pt>
                <c:pt idx="22">
                  <c:v>3.15</c:v>
                </c:pt>
                <c:pt idx="23">
                  <c:v>3.15</c:v>
                </c:pt>
                <c:pt idx="24">
                  <c:v>3</c:v>
                </c:pt>
                <c:pt idx="25">
                  <c:v>3</c:v>
                </c:pt>
                <c:pt idx="26">
                  <c:v>3</c:v>
                </c:pt>
                <c:pt idx="27">
                  <c:v>3</c:v>
                </c:pt>
                <c:pt idx="28">
                  <c:v>3</c:v>
                </c:pt>
                <c:pt idx="29">
                  <c:v>3</c:v>
                </c:pt>
                <c:pt idx="30">
                  <c:v>3</c:v>
                </c:pt>
                <c:pt idx="31">
                  <c:v>3.12</c:v>
                </c:pt>
                <c:pt idx="32">
                  <c:v>3.23</c:v>
                </c:pt>
                <c:pt idx="33">
                  <c:v>3.23</c:v>
                </c:pt>
                <c:pt idx="34">
                  <c:v>3.23</c:v>
                </c:pt>
                <c:pt idx="35">
                  <c:v>3.23</c:v>
                </c:pt>
                <c:pt idx="36">
                  <c:v>3.23</c:v>
                </c:pt>
                <c:pt idx="37">
                  <c:v>3.3</c:v>
                </c:pt>
                <c:pt idx="38">
                  <c:v>3.33</c:v>
                </c:pt>
                <c:pt idx="39">
                  <c:v>3.33</c:v>
                </c:pt>
                <c:pt idx="40">
                  <c:v>3.6</c:v>
                </c:pt>
                <c:pt idx="41">
                  <c:v>3.8</c:v>
                </c:pt>
                <c:pt idx="42">
                  <c:v>3.95</c:v>
                </c:pt>
                <c:pt idx="43">
                  <c:v>4.2</c:v>
                </c:pt>
                <c:pt idx="44">
                  <c:v>4.9000000000000004</c:v>
                </c:pt>
                <c:pt idx="45">
                  <c:v>5.05</c:v>
                </c:pt>
                <c:pt idx="46">
                  <c:v>5.05</c:v>
                </c:pt>
                <c:pt idx="47">
                  <c:v>4.95</c:v>
                </c:pt>
                <c:pt idx="48">
                  <c:v>4.8499999999999996</c:v>
                </c:pt>
                <c:pt idx="49">
                  <c:v>3.75</c:v>
                </c:pt>
                <c:pt idx="50">
                  <c:v>3.2</c:v>
                </c:pt>
                <c:pt idx="51">
                  <c:v>2.85</c:v>
                </c:pt>
                <c:pt idx="52">
                  <c:v>2.4</c:v>
                </c:pt>
                <c:pt idx="53">
                  <c:v>2.25</c:v>
                </c:pt>
                <c:pt idx="54">
                  <c:v>2.25</c:v>
                </c:pt>
                <c:pt idx="55">
                  <c:v>2.25</c:v>
                </c:pt>
                <c:pt idx="56">
                  <c:v>2.35</c:v>
                </c:pt>
                <c:pt idx="57">
                  <c:v>2.7</c:v>
                </c:pt>
                <c:pt idx="58">
                  <c:v>2.7</c:v>
                </c:pt>
                <c:pt idx="59">
                  <c:v>2.7</c:v>
                </c:pt>
                <c:pt idx="60">
                  <c:v>2.7</c:v>
                </c:pt>
                <c:pt idx="61">
                  <c:v>2.7</c:v>
                </c:pt>
                <c:pt idx="62">
                  <c:v>2.7</c:v>
                </c:pt>
                <c:pt idx="63">
                  <c:v>2.95</c:v>
                </c:pt>
                <c:pt idx="64">
                  <c:v>3</c:v>
                </c:pt>
                <c:pt idx="65">
                  <c:v>3.1</c:v>
                </c:pt>
                <c:pt idx="66">
                  <c:v>3.2</c:v>
                </c:pt>
                <c:pt idx="67">
                  <c:v>3.5</c:v>
                </c:pt>
                <c:pt idx="68">
                  <c:v>3.5</c:v>
                </c:pt>
                <c:pt idx="69">
                  <c:v>3.5</c:v>
                </c:pt>
                <c:pt idx="70">
                  <c:v>3.5</c:v>
                </c:pt>
                <c:pt idx="71">
                  <c:v>3.5</c:v>
                </c:pt>
                <c:pt idx="72">
                  <c:v>3.5</c:v>
                </c:pt>
                <c:pt idx="73">
                  <c:v>3.85</c:v>
                </c:pt>
                <c:pt idx="74">
                  <c:v>3.85</c:v>
                </c:pt>
                <c:pt idx="75">
                  <c:v>3.85</c:v>
                </c:pt>
                <c:pt idx="76">
                  <c:v>4.25</c:v>
                </c:pt>
                <c:pt idx="77">
                  <c:v>4.25</c:v>
                </c:pt>
                <c:pt idx="78">
                  <c:v>4.75</c:v>
                </c:pt>
                <c:pt idx="79">
                  <c:v>4.75</c:v>
                </c:pt>
                <c:pt idx="80">
                  <c:v>4.95</c:v>
                </c:pt>
                <c:pt idx="81">
                  <c:v>4.95</c:v>
                </c:pt>
                <c:pt idx="82">
                  <c:v>4.95</c:v>
                </c:pt>
                <c:pt idx="83">
                  <c:v>4.95</c:v>
                </c:pt>
                <c:pt idx="84">
                  <c:v>4.95</c:v>
                </c:pt>
                <c:pt idx="85">
                  <c:v>4.75</c:v>
                </c:pt>
                <c:pt idx="86">
                  <c:v>4.75</c:v>
                </c:pt>
                <c:pt idx="87">
                  <c:v>4.75</c:v>
                </c:pt>
                <c:pt idx="88">
                  <c:v>4.75</c:v>
                </c:pt>
                <c:pt idx="89">
                  <c:v>4.75</c:v>
                </c:pt>
                <c:pt idx="90">
                  <c:v>5</c:v>
                </c:pt>
                <c:pt idx="91">
                  <c:v>4.75</c:v>
                </c:pt>
                <c:pt idx="92">
                  <c:v>4.3</c:v>
                </c:pt>
                <c:pt idx="93">
                  <c:v>4.3</c:v>
                </c:pt>
                <c:pt idx="94">
                  <c:v>4.3</c:v>
                </c:pt>
                <c:pt idx="95">
                  <c:v>4.3</c:v>
                </c:pt>
                <c:pt idx="96">
                  <c:v>4</c:v>
                </c:pt>
                <c:pt idx="97">
                  <c:v>4</c:v>
                </c:pt>
                <c:pt idx="98">
                  <c:v>3.75</c:v>
                </c:pt>
                <c:pt idx="99">
                  <c:v>3.75</c:v>
                </c:pt>
                <c:pt idx="100">
                  <c:v>3.75</c:v>
                </c:pt>
                <c:pt idx="101">
                  <c:v>3.9</c:v>
                </c:pt>
                <c:pt idx="102">
                  <c:v>3.9</c:v>
                </c:pt>
                <c:pt idx="103">
                  <c:v>3.9</c:v>
                </c:pt>
                <c:pt idx="104">
                  <c:v>3.9</c:v>
                </c:pt>
                <c:pt idx="105">
                  <c:v>3.9</c:v>
                </c:pt>
                <c:pt idx="106">
                  <c:v>4</c:v>
                </c:pt>
                <c:pt idx="107">
                  <c:v>4</c:v>
                </c:pt>
                <c:pt idx="108">
                  <c:v>3.9</c:v>
                </c:pt>
                <c:pt idx="109">
                  <c:v>3.9</c:v>
                </c:pt>
                <c:pt idx="110">
                  <c:v>3.9</c:v>
                </c:pt>
                <c:pt idx="111">
                  <c:v>3.85</c:v>
                </c:pt>
                <c:pt idx="112">
                  <c:v>3.85</c:v>
                </c:pt>
                <c:pt idx="113">
                  <c:v>3.9</c:v>
                </c:pt>
                <c:pt idx="114">
                  <c:v>3.9</c:v>
                </c:pt>
                <c:pt idx="115">
                  <c:v>3.9</c:v>
                </c:pt>
                <c:pt idx="116">
                  <c:v>3.9</c:v>
                </c:pt>
                <c:pt idx="117">
                  <c:v>3.7</c:v>
                </c:pt>
                <c:pt idx="118">
                  <c:v>3.7</c:v>
                </c:pt>
                <c:pt idx="119">
                  <c:v>3.55</c:v>
                </c:pt>
                <c:pt idx="120">
                  <c:v>3.3</c:v>
                </c:pt>
                <c:pt idx="121">
                  <c:v>2.8</c:v>
                </c:pt>
                <c:pt idx="122">
                  <c:v>2.8</c:v>
                </c:pt>
                <c:pt idx="123">
                  <c:v>2.8</c:v>
                </c:pt>
                <c:pt idx="124">
                  <c:v>2.8</c:v>
                </c:pt>
                <c:pt idx="125">
                  <c:v>2.8</c:v>
                </c:pt>
                <c:pt idx="126">
                  <c:v>2.8</c:v>
                </c:pt>
                <c:pt idx="127">
                  <c:v>2.8</c:v>
                </c:pt>
                <c:pt idx="128">
                  <c:v>2.8</c:v>
                </c:pt>
                <c:pt idx="129">
                  <c:v>2.7</c:v>
                </c:pt>
                <c:pt idx="130">
                  <c:v>2.5</c:v>
                </c:pt>
                <c:pt idx="131">
                  <c:v>2.4</c:v>
                </c:pt>
                <c:pt idx="132">
                  <c:v>2.4</c:v>
                </c:pt>
                <c:pt idx="133">
                  <c:v>2.2999999999999998</c:v>
                </c:pt>
                <c:pt idx="134">
                  <c:v>2.1</c:v>
                </c:pt>
                <c:pt idx="135">
                  <c:v>1.8</c:v>
                </c:pt>
                <c:pt idx="136">
                  <c:v>1.8</c:v>
                </c:pt>
                <c:pt idx="137">
                  <c:v>1.8</c:v>
                </c:pt>
                <c:pt idx="138">
                  <c:v>1.95</c:v>
                </c:pt>
                <c:pt idx="139">
                  <c:v>2.2000000000000002</c:v>
                </c:pt>
                <c:pt idx="140">
                  <c:v>2.2999999999999998</c:v>
                </c:pt>
                <c:pt idx="141">
                  <c:v>2.2999999999999998</c:v>
                </c:pt>
                <c:pt idx="142">
                  <c:v>2.2999999999999998</c:v>
                </c:pt>
                <c:pt idx="143">
                  <c:v>2.2000000000000002</c:v>
                </c:pt>
                <c:pt idx="144">
                  <c:v>2.2000000000000002</c:v>
                </c:pt>
                <c:pt idx="145">
                  <c:v>2.2000000000000002</c:v>
                </c:pt>
              </c:numCache>
            </c:numRef>
          </c:val>
          <c:smooth val="0"/>
          <c:extLst>
            <c:ext xmlns:c16="http://schemas.microsoft.com/office/drawing/2014/chart" uri="{C3380CC4-5D6E-409C-BE32-E72D297353CC}">
              <c16:uniqueId val="{00000001-F8DC-43FA-894D-F556686A3DA1}"/>
            </c:ext>
          </c:extLst>
        </c:ser>
        <c:ser>
          <c:idx val="2"/>
          <c:order val="2"/>
          <c:tx>
            <c:strRef>
              <c:f>'Base Oil Trends'!$A$6</c:f>
              <c:strCache>
                <c:ptCount val="1"/>
                <c:pt idx="0">
                  <c:v>Crude West Texas Cost/Gal</c:v>
                </c:pt>
              </c:strCache>
            </c:strRef>
          </c:tx>
          <c:marker>
            <c:symbol val="none"/>
          </c:marker>
          <c:cat>
            <c:numRef>
              <c:f>'Base Oil Trends'!$B$3:$HF$3</c:f>
              <c:numCache>
                <c:formatCode>mmm\-yy</c:formatCode>
                <c:ptCount val="213"/>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pt idx="146">
                  <c:v>42736</c:v>
                </c:pt>
                <c:pt idx="147">
                  <c:v>42767</c:v>
                </c:pt>
                <c:pt idx="148">
                  <c:v>42795</c:v>
                </c:pt>
                <c:pt idx="149">
                  <c:v>42826</c:v>
                </c:pt>
                <c:pt idx="150">
                  <c:v>42856</c:v>
                </c:pt>
                <c:pt idx="151">
                  <c:v>42887</c:v>
                </c:pt>
                <c:pt idx="152">
                  <c:v>42917</c:v>
                </c:pt>
                <c:pt idx="153">
                  <c:v>42948</c:v>
                </c:pt>
                <c:pt idx="154">
                  <c:v>42979</c:v>
                </c:pt>
                <c:pt idx="155">
                  <c:v>43009</c:v>
                </c:pt>
                <c:pt idx="156">
                  <c:v>43040</c:v>
                </c:pt>
                <c:pt idx="157">
                  <c:v>43070</c:v>
                </c:pt>
                <c:pt idx="158">
                  <c:v>43101</c:v>
                </c:pt>
                <c:pt idx="159">
                  <c:v>43132</c:v>
                </c:pt>
                <c:pt idx="160">
                  <c:v>43160</c:v>
                </c:pt>
                <c:pt idx="161">
                  <c:v>43191</c:v>
                </c:pt>
                <c:pt idx="162">
                  <c:v>43221</c:v>
                </c:pt>
                <c:pt idx="163">
                  <c:v>43252</c:v>
                </c:pt>
                <c:pt idx="164">
                  <c:v>43282</c:v>
                </c:pt>
                <c:pt idx="165">
                  <c:v>43313</c:v>
                </c:pt>
                <c:pt idx="166">
                  <c:v>43344</c:v>
                </c:pt>
                <c:pt idx="167">
                  <c:v>43374</c:v>
                </c:pt>
                <c:pt idx="168">
                  <c:v>43405</c:v>
                </c:pt>
                <c:pt idx="169">
                  <c:v>43435</c:v>
                </c:pt>
                <c:pt idx="170">
                  <c:v>43466</c:v>
                </c:pt>
                <c:pt idx="171">
                  <c:v>43497</c:v>
                </c:pt>
                <c:pt idx="172">
                  <c:v>43525</c:v>
                </c:pt>
                <c:pt idx="173">
                  <c:v>43556</c:v>
                </c:pt>
                <c:pt idx="174">
                  <c:v>43586</c:v>
                </c:pt>
                <c:pt idx="175">
                  <c:v>43617</c:v>
                </c:pt>
                <c:pt idx="176">
                  <c:v>43647</c:v>
                </c:pt>
                <c:pt idx="177">
                  <c:v>43678</c:v>
                </c:pt>
                <c:pt idx="178">
                  <c:v>43709</c:v>
                </c:pt>
                <c:pt idx="179">
                  <c:v>43739</c:v>
                </c:pt>
                <c:pt idx="180">
                  <c:v>43770</c:v>
                </c:pt>
                <c:pt idx="181">
                  <c:v>43800</c:v>
                </c:pt>
                <c:pt idx="182">
                  <c:v>43831</c:v>
                </c:pt>
                <c:pt idx="183">
                  <c:v>43862</c:v>
                </c:pt>
                <c:pt idx="184">
                  <c:v>43891</c:v>
                </c:pt>
                <c:pt idx="185">
                  <c:v>43922</c:v>
                </c:pt>
                <c:pt idx="186">
                  <c:v>43952</c:v>
                </c:pt>
                <c:pt idx="187">
                  <c:v>43983</c:v>
                </c:pt>
                <c:pt idx="188">
                  <c:v>44013</c:v>
                </c:pt>
                <c:pt idx="189">
                  <c:v>44044</c:v>
                </c:pt>
                <c:pt idx="190">
                  <c:v>44075</c:v>
                </c:pt>
                <c:pt idx="191">
                  <c:v>44105</c:v>
                </c:pt>
                <c:pt idx="192">
                  <c:v>44136</c:v>
                </c:pt>
                <c:pt idx="193">
                  <c:v>44166</c:v>
                </c:pt>
                <c:pt idx="194">
                  <c:v>44197</c:v>
                </c:pt>
                <c:pt idx="195">
                  <c:v>44228</c:v>
                </c:pt>
                <c:pt idx="196">
                  <c:v>44256</c:v>
                </c:pt>
                <c:pt idx="197">
                  <c:v>44287</c:v>
                </c:pt>
                <c:pt idx="198">
                  <c:v>44317</c:v>
                </c:pt>
                <c:pt idx="199">
                  <c:v>44348</c:v>
                </c:pt>
                <c:pt idx="200">
                  <c:v>44378</c:v>
                </c:pt>
                <c:pt idx="201">
                  <c:v>44409</c:v>
                </c:pt>
                <c:pt idx="202">
                  <c:v>44440</c:v>
                </c:pt>
                <c:pt idx="203">
                  <c:v>44470</c:v>
                </c:pt>
                <c:pt idx="204">
                  <c:v>44501</c:v>
                </c:pt>
                <c:pt idx="205">
                  <c:v>44531</c:v>
                </c:pt>
                <c:pt idx="206">
                  <c:v>44562</c:v>
                </c:pt>
                <c:pt idx="207">
                  <c:v>44593</c:v>
                </c:pt>
                <c:pt idx="208">
                  <c:v>44621</c:v>
                </c:pt>
                <c:pt idx="209">
                  <c:v>44652</c:v>
                </c:pt>
                <c:pt idx="210">
                  <c:v>44682</c:v>
                </c:pt>
                <c:pt idx="211">
                  <c:v>44713</c:v>
                </c:pt>
                <c:pt idx="212">
                  <c:v>44743</c:v>
                </c:pt>
              </c:numCache>
            </c:numRef>
          </c:cat>
          <c:val>
            <c:numRef>
              <c:f>'Base Oil Trends'!$B$6:$HF$6</c:f>
              <c:numCache>
                <c:formatCode>_("$"* #,##0.00_);_("$"* \(#,##0.00\);_("$"* "-"??_);_(@_)</c:formatCode>
                <c:ptCount val="213"/>
                <c:pt idx="0">
                  <c:v>1.1499999999999999</c:v>
                </c:pt>
                <c:pt idx="1">
                  <c:v>1</c:v>
                </c:pt>
                <c:pt idx="2">
                  <c:v>1.1000000000000001</c:v>
                </c:pt>
                <c:pt idx="3">
                  <c:v>1.1499999999999999</c:v>
                </c:pt>
                <c:pt idx="4">
                  <c:v>1.28</c:v>
                </c:pt>
                <c:pt idx="5">
                  <c:v>1.26</c:v>
                </c:pt>
                <c:pt idx="6">
                  <c:v>1.18</c:v>
                </c:pt>
                <c:pt idx="7">
                  <c:v>1.3</c:v>
                </c:pt>
                <c:pt idx="8">
                  <c:v>1.4</c:v>
                </c:pt>
                <c:pt idx="9">
                  <c:v>1.53</c:v>
                </c:pt>
                <c:pt idx="10">
                  <c:v>1.53</c:v>
                </c:pt>
                <c:pt idx="11">
                  <c:v>1.5</c:v>
                </c:pt>
                <c:pt idx="12">
                  <c:v>1.4</c:v>
                </c:pt>
                <c:pt idx="13">
                  <c:v>1.43</c:v>
                </c:pt>
                <c:pt idx="14">
                  <c:v>1.53</c:v>
                </c:pt>
                <c:pt idx="15">
                  <c:v>1.48</c:v>
                </c:pt>
                <c:pt idx="16">
                  <c:v>1.5</c:v>
                </c:pt>
                <c:pt idx="17">
                  <c:v>1.65</c:v>
                </c:pt>
                <c:pt idx="18">
                  <c:v>1.7</c:v>
                </c:pt>
                <c:pt idx="19">
                  <c:v>1.7</c:v>
                </c:pt>
                <c:pt idx="20">
                  <c:v>1.75</c:v>
                </c:pt>
                <c:pt idx="21">
                  <c:v>1.72</c:v>
                </c:pt>
                <c:pt idx="22">
                  <c:v>1.5</c:v>
                </c:pt>
                <c:pt idx="23">
                  <c:v>1.45</c:v>
                </c:pt>
                <c:pt idx="24">
                  <c:v>1.45</c:v>
                </c:pt>
                <c:pt idx="25">
                  <c:v>1.5</c:v>
                </c:pt>
                <c:pt idx="26">
                  <c:v>1.3</c:v>
                </c:pt>
                <c:pt idx="27">
                  <c:v>1.4</c:v>
                </c:pt>
                <c:pt idx="28">
                  <c:v>1.44</c:v>
                </c:pt>
                <c:pt idx="29">
                  <c:v>1.5</c:v>
                </c:pt>
                <c:pt idx="30">
                  <c:v>1.5</c:v>
                </c:pt>
                <c:pt idx="31">
                  <c:v>1.6</c:v>
                </c:pt>
                <c:pt idx="32">
                  <c:v>1.75</c:v>
                </c:pt>
                <c:pt idx="33">
                  <c:v>1.7</c:v>
                </c:pt>
                <c:pt idx="34">
                  <c:v>1.92</c:v>
                </c:pt>
                <c:pt idx="35">
                  <c:v>2.0499999999999998</c:v>
                </c:pt>
                <c:pt idx="36">
                  <c:v>2.2000000000000002</c:v>
                </c:pt>
                <c:pt idx="37">
                  <c:v>2.16</c:v>
                </c:pt>
                <c:pt idx="38">
                  <c:v>2.1800000000000002</c:v>
                </c:pt>
                <c:pt idx="39">
                  <c:v>2.2000000000000002</c:v>
                </c:pt>
                <c:pt idx="40">
                  <c:v>2.5</c:v>
                </c:pt>
                <c:pt idx="41">
                  <c:v>2.75</c:v>
                </c:pt>
                <c:pt idx="42">
                  <c:v>3</c:v>
                </c:pt>
                <c:pt idx="43">
                  <c:v>3.15</c:v>
                </c:pt>
                <c:pt idx="44">
                  <c:v>3.15</c:v>
                </c:pt>
                <c:pt idx="45">
                  <c:v>2.85</c:v>
                </c:pt>
                <c:pt idx="46">
                  <c:v>2.5</c:v>
                </c:pt>
                <c:pt idx="47">
                  <c:v>1.9</c:v>
                </c:pt>
                <c:pt idx="48">
                  <c:v>1.3</c:v>
                </c:pt>
                <c:pt idx="49">
                  <c:v>1</c:v>
                </c:pt>
                <c:pt idx="50">
                  <c:v>1</c:v>
                </c:pt>
                <c:pt idx="51">
                  <c:v>0.9</c:v>
                </c:pt>
                <c:pt idx="52">
                  <c:v>1.1000000000000001</c:v>
                </c:pt>
                <c:pt idx="53">
                  <c:v>1.1200000000000001</c:v>
                </c:pt>
                <c:pt idx="54">
                  <c:v>1.4</c:v>
                </c:pt>
                <c:pt idx="55">
                  <c:v>1.75</c:v>
                </c:pt>
                <c:pt idx="56">
                  <c:v>1.7</c:v>
                </c:pt>
                <c:pt idx="57">
                  <c:v>1.85</c:v>
                </c:pt>
                <c:pt idx="58">
                  <c:v>1.8</c:v>
                </c:pt>
                <c:pt idx="59">
                  <c:v>1.88</c:v>
                </c:pt>
                <c:pt idx="60">
                  <c:v>1.9</c:v>
                </c:pt>
                <c:pt idx="61">
                  <c:v>1.85</c:v>
                </c:pt>
                <c:pt idx="62">
                  <c:v>1.9</c:v>
                </c:pt>
                <c:pt idx="63">
                  <c:v>1.85</c:v>
                </c:pt>
                <c:pt idx="64">
                  <c:v>1.95</c:v>
                </c:pt>
                <c:pt idx="65">
                  <c:v>2</c:v>
                </c:pt>
                <c:pt idx="66">
                  <c:v>1.85</c:v>
                </c:pt>
                <c:pt idx="67">
                  <c:v>1.9</c:v>
                </c:pt>
                <c:pt idx="68">
                  <c:v>1.95</c:v>
                </c:pt>
                <c:pt idx="69">
                  <c:v>1.95</c:v>
                </c:pt>
                <c:pt idx="70">
                  <c:v>1.9</c:v>
                </c:pt>
                <c:pt idx="71">
                  <c:v>2</c:v>
                </c:pt>
                <c:pt idx="72">
                  <c:v>2</c:v>
                </c:pt>
                <c:pt idx="73">
                  <c:v>2.1</c:v>
                </c:pt>
                <c:pt idx="74">
                  <c:v>2.1</c:v>
                </c:pt>
                <c:pt idx="75">
                  <c:v>2.1</c:v>
                </c:pt>
                <c:pt idx="76">
                  <c:v>2.4</c:v>
                </c:pt>
                <c:pt idx="77">
                  <c:v>2.65</c:v>
                </c:pt>
                <c:pt idx="78">
                  <c:v>2.35</c:v>
                </c:pt>
                <c:pt idx="79">
                  <c:v>2.2000000000000002</c:v>
                </c:pt>
                <c:pt idx="80">
                  <c:v>2.2000000000000002</c:v>
                </c:pt>
                <c:pt idx="81">
                  <c:v>2</c:v>
                </c:pt>
                <c:pt idx="82">
                  <c:v>2</c:v>
                </c:pt>
                <c:pt idx="83">
                  <c:v>2</c:v>
                </c:pt>
                <c:pt idx="84">
                  <c:v>2.2000000000000002</c:v>
                </c:pt>
                <c:pt idx="85">
                  <c:v>2.2999999999999998</c:v>
                </c:pt>
                <c:pt idx="86">
                  <c:v>2.35</c:v>
                </c:pt>
                <c:pt idx="87">
                  <c:v>2.4500000000000002</c:v>
                </c:pt>
                <c:pt idx="88">
                  <c:v>2.5499999999999998</c:v>
                </c:pt>
                <c:pt idx="89">
                  <c:v>2.5</c:v>
                </c:pt>
                <c:pt idx="90">
                  <c:v>2.2000000000000002</c:v>
                </c:pt>
                <c:pt idx="91">
                  <c:v>2</c:v>
                </c:pt>
                <c:pt idx="92">
                  <c:v>2.1</c:v>
                </c:pt>
                <c:pt idx="93">
                  <c:v>2.2000000000000002</c:v>
                </c:pt>
                <c:pt idx="94">
                  <c:v>2.2000000000000002</c:v>
                </c:pt>
                <c:pt idx="95">
                  <c:v>2.1</c:v>
                </c:pt>
                <c:pt idx="96">
                  <c:v>2.1</c:v>
                </c:pt>
                <c:pt idx="97">
                  <c:v>2.15</c:v>
                </c:pt>
                <c:pt idx="98">
                  <c:v>2.25</c:v>
                </c:pt>
                <c:pt idx="99">
                  <c:v>2.25</c:v>
                </c:pt>
                <c:pt idx="100">
                  <c:v>2.25</c:v>
                </c:pt>
                <c:pt idx="101">
                  <c:v>2.2000000000000002</c:v>
                </c:pt>
                <c:pt idx="102">
                  <c:v>2.2000000000000002</c:v>
                </c:pt>
                <c:pt idx="103">
                  <c:v>2.2000000000000002</c:v>
                </c:pt>
                <c:pt idx="104">
                  <c:v>2.5</c:v>
                </c:pt>
                <c:pt idx="105">
                  <c:v>2.6</c:v>
                </c:pt>
                <c:pt idx="106">
                  <c:v>2.6</c:v>
                </c:pt>
                <c:pt idx="107">
                  <c:v>2.4500000000000002</c:v>
                </c:pt>
                <c:pt idx="108">
                  <c:v>2.2999999999999998</c:v>
                </c:pt>
                <c:pt idx="109">
                  <c:v>2.35</c:v>
                </c:pt>
                <c:pt idx="110">
                  <c:v>2.2999999999999998</c:v>
                </c:pt>
                <c:pt idx="111">
                  <c:v>2.35</c:v>
                </c:pt>
                <c:pt idx="112">
                  <c:v>2.35</c:v>
                </c:pt>
                <c:pt idx="113">
                  <c:v>2.35</c:v>
                </c:pt>
                <c:pt idx="114">
                  <c:v>2.35</c:v>
                </c:pt>
                <c:pt idx="115">
                  <c:v>2.4</c:v>
                </c:pt>
                <c:pt idx="116">
                  <c:v>2.2999999999999998</c:v>
                </c:pt>
                <c:pt idx="117">
                  <c:v>2.25</c:v>
                </c:pt>
                <c:pt idx="118">
                  <c:v>2.15</c:v>
                </c:pt>
                <c:pt idx="119">
                  <c:v>2</c:v>
                </c:pt>
                <c:pt idx="120">
                  <c:v>1.85</c:v>
                </c:pt>
                <c:pt idx="121">
                  <c:v>1.35</c:v>
                </c:pt>
                <c:pt idx="122">
                  <c:v>1.1000000000000001</c:v>
                </c:pt>
                <c:pt idx="123">
                  <c:v>1.1499999999999999</c:v>
                </c:pt>
                <c:pt idx="124">
                  <c:v>1.05</c:v>
                </c:pt>
                <c:pt idx="125">
                  <c:v>1.2</c:v>
                </c:pt>
                <c:pt idx="126">
                  <c:v>1.35</c:v>
                </c:pt>
                <c:pt idx="127">
                  <c:v>1.35</c:v>
                </c:pt>
                <c:pt idx="128">
                  <c:v>1.25</c:v>
                </c:pt>
                <c:pt idx="129">
                  <c:v>1</c:v>
                </c:pt>
                <c:pt idx="130">
                  <c:v>1.05</c:v>
                </c:pt>
                <c:pt idx="131">
                  <c:v>1.05</c:v>
                </c:pt>
                <c:pt idx="132">
                  <c:v>1</c:v>
                </c:pt>
                <c:pt idx="133">
                  <c:v>0.85</c:v>
                </c:pt>
                <c:pt idx="134">
                  <c:v>0.75</c:v>
                </c:pt>
                <c:pt idx="135">
                  <c:v>0.75</c:v>
                </c:pt>
                <c:pt idx="136">
                  <c:v>1</c:v>
                </c:pt>
                <c:pt idx="137">
                  <c:v>1.05</c:v>
                </c:pt>
                <c:pt idx="138">
                  <c:v>1.25</c:v>
                </c:pt>
                <c:pt idx="139">
                  <c:v>1.3</c:v>
                </c:pt>
                <c:pt idx="140">
                  <c:v>1.2</c:v>
                </c:pt>
                <c:pt idx="141">
                  <c:v>1.2</c:v>
                </c:pt>
                <c:pt idx="142">
                  <c:v>1.2</c:v>
                </c:pt>
                <c:pt idx="143">
                  <c:v>1.3</c:v>
                </c:pt>
                <c:pt idx="144">
                  <c:v>1.25</c:v>
                </c:pt>
              </c:numCache>
            </c:numRef>
          </c:val>
          <c:smooth val="0"/>
          <c:extLst>
            <c:ext xmlns:c16="http://schemas.microsoft.com/office/drawing/2014/chart" uri="{C3380CC4-5D6E-409C-BE32-E72D297353CC}">
              <c16:uniqueId val="{00000002-F8DC-43FA-894D-F556686A3DA1}"/>
            </c:ext>
          </c:extLst>
        </c:ser>
        <c:ser>
          <c:idx val="3"/>
          <c:order val="3"/>
          <c:tx>
            <c:strRef>
              <c:f>'Base Oil Trends'!$A$8</c:f>
              <c:strCache>
                <c:ptCount val="1"/>
                <c:pt idx="0">
                  <c:v>GVT Base Oil G2 Price</c:v>
                </c:pt>
              </c:strCache>
            </c:strRef>
          </c:tx>
          <c:spPr>
            <a:ln w="38100"/>
          </c:spPr>
          <c:marker>
            <c:symbol val="none"/>
          </c:marker>
          <c:cat>
            <c:numRef>
              <c:f>'Base Oil Trends'!$B$3:$HF$3</c:f>
              <c:numCache>
                <c:formatCode>mmm\-yy</c:formatCode>
                <c:ptCount val="213"/>
                <c:pt idx="0">
                  <c:v>38292</c:v>
                </c:pt>
                <c:pt idx="1">
                  <c:v>38322</c:v>
                </c:pt>
                <c:pt idx="2">
                  <c:v>38353</c:v>
                </c:pt>
                <c:pt idx="3">
                  <c:v>38384</c:v>
                </c:pt>
                <c:pt idx="4">
                  <c:v>38412</c:v>
                </c:pt>
                <c:pt idx="5">
                  <c:v>38443</c:v>
                </c:pt>
                <c:pt idx="6">
                  <c:v>38473</c:v>
                </c:pt>
                <c:pt idx="7">
                  <c:v>38504</c:v>
                </c:pt>
                <c:pt idx="8">
                  <c:v>38534</c:v>
                </c:pt>
                <c:pt idx="9">
                  <c:v>38565</c:v>
                </c:pt>
                <c:pt idx="10">
                  <c:v>38596</c:v>
                </c:pt>
                <c:pt idx="11">
                  <c:v>38626</c:v>
                </c:pt>
                <c:pt idx="12">
                  <c:v>38657</c:v>
                </c:pt>
                <c:pt idx="13">
                  <c:v>38687</c:v>
                </c:pt>
                <c:pt idx="14">
                  <c:v>38718</c:v>
                </c:pt>
                <c:pt idx="15">
                  <c:v>38749</c:v>
                </c:pt>
                <c:pt idx="16">
                  <c:v>38777</c:v>
                </c:pt>
                <c:pt idx="17">
                  <c:v>38808</c:v>
                </c:pt>
                <c:pt idx="18">
                  <c:v>38838</c:v>
                </c:pt>
                <c:pt idx="19">
                  <c:v>38869</c:v>
                </c:pt>
                <c:pt idx="20">
                  <c:v>38899</c:v>
                </c:pt>
                <c:pt idx="21">
                  <c:v>38930</c:v>
                </c:pt>
                <c:pt idx="22">
                  <c:v>38961</c:v>
                </c:pt>
                <c:pt idx="23">
                  <c:v>38991</c:v>
                </c:pt>
                <c:pt idx="24">
                  <c:v>39022</c:v>
                </c:pt>
                <c:pt idx="25">
                  <c:v>39052</c:v>
                </c:pt>
                <c:pt idx="26">
                  <c:v>39083</c:v>
                </c:pt>
                <c:pt idx="27">
                  <c:v>39114</c:v>
                </c:pt>
                <c:pt idx="28">
                  <c:v>39142</c:v>
                </c:pt>
                <c:pt idx="29">
                  <c:v>39173</c:v>
                </c:pt>
                <c:pt idx="30">
                  <c:v>39203</c:v>
                </c:pt>
                <c:pt idx="31">
                  <c:v>39234</c:v>
                </c:pt>
                <c:pt idx="32">
                  <c:v>39264</c:v>
                </c:pt>
                <c:pt idx="33">
                  <c:v>39295</c:v>
                </c:pt>
                <c:pt idx="34">
                  <c:v>39326</c:v>
                </c:pt>
                <c:pt idx="35">
                  <c:v>39356</c:v>
                </c:pt>
                <c:pt idx="36">
                  <c:v>39387</c:v>
                </c:pt>
                <c:pt idx="37">
                  <c:v>39417</c:v>
                </c:pt>
                <c:pt idx="38">
                  <c:v>39448</c:v>
                </c:pt>
                <c:pt idx="39">
                  <c:v>39479</c:v>
                </c:pt>
                <c:pt idx="40">
                  <c:v>39508</c:v>
                </c:pt>
                <c:pt idx="41">
                  <c:v>39539</c:v>
                </c:pt>
                <c:pt idx="42">
                  <c:v>39569</c:v>
                </c:pt>
                <c:pt idx="43">
                  <c:v>39600</c:v>
                </c:pt>
                <c:pt idx="44">
                  <c:v>39630</c:v>
                </c:pt>
                <c:pt idx="45">
                  <c:v>39661</c:v>
                </c:pt>
                <c:pt idx="46">
                  <c:v>39692</c:v>
                </c:pt>
                <c:pt idx="47">
                  <c:v>39722</c:v>
                </c:pt>
                <c:pt idx="48">
                  <c:v>39753</c:v>
                </c:pt>
                <c:pt idx="49">
                  <c:v>39783</c:v>
                </c:pt>
                <c:pt idx="50">
                  <c:v>39814</c:v>
                </c:pt>
                <c:pt idx="51">
                  <c:v>39845</c:v>
                </c:pt>
                <c:pt idx="52">
                  <c:v>39873</c:v>
                </c:pt>
                <c:pt idx="53">
                  <c:v>39904</c:v>
                </c:pt>
                <c:pt idx="54">
                  <c:v>39934</c:v>
                </c:pt>
                <c:pt idx="55">
                  <c:v>39965</c:v>
                </c:pt>
                <c:pt idx="56">
                  <c:v>39995</c:v>
                </c:pt>
                <c:pt idx="57">
                  <c:v>40026</c:v>
                </c:pt>
                <c:pt idx="58">
                  <c:v>40057</c:v>
                </c:pt>
                <c:pt idx="59">
                  <c:v>40087</c:v>
                </c:pt>
                <c:pt idx="60">
                  <c:v>40118</c:v>
                </c:pt>
                <c:pt idx="61">
                  <c:v>40148</c:v>
                </c:pt>
                <c:pt idx="62">
                  <c:v>40179</c:v>
                </c:pt>
                <c:pt idx="63">
                  <c:v>40210</c:v>
                </c:pt>
                <c:pt idx="64">
                  <c:v>40238</c:v>
                </c:pt>
                <c:pt idx="65">
                  <c:v>40269</c:v>
                </c:pt>
                <c:pt idx="66">
                  <c:v>40299</c:v>
                </c:pt>
                <c:pt idx="67">
                  <c:v>40330</c:v>
                </c:pt>
                <c:pt idx="68">
                  <c:v>40360</c:v>
                </c:pt>
                <c:pt idx="69">
                  <c:v>40391</c:v>
                </c:pt>
                <c:pt idx="70">
                  <c:v>40422</c:v>
                </c:pt>
                <c:pt idx="71">
                  <c:v>40452</c:v>
                </c:pt>
                <c:pt idx="72">
                  <c:v>40483</c:v>
                </c:pt>
                <c:pt idx="73">
                  <c:v>40513</c:v>
                </c:pt>
                <c:pt idx="74">
                  <c:v>40544</c:v>
                </c:pt>
                <c:pt idx="75">
                  <c:v>40575</c:v>
                </c:pt>
                <c:pt idx="76">
                  <c:v>40603</c:v>
                </c:pt>
                <c:pt idx="77">
                  <c:v>40634</c:v>
                </c:pt>
                <c:pt idx="78">
                  <c:v>40664</c:v>
                </c:pt>
                <c:pt idx="79">
                  <c:v>40695</c:v>
                </c:pt>
                <c:pt idx="80">
                  <c:v>40725</c:v>
                </c:pt>
                <c:pt idx="81">
                  <c:v>40756</c:v>
                </c:pt>
                <c:pt idx="82">
                  <c:v>40787</c:v>
                </c:pt>
                <c:pt idx="83">
                  <c:v>40817</c:v>
                </c:pt>
                <c:pt idx="84">
                  <c:v>40848</c:v>
                </c:pt>
                <c:pt idx="85">
                  <c:v>40878</c:v>
                </c:pt>
                <c:pt idx="86">
                  <c:v>40909</c:v>
                </c:pt>
                <c:pt idx="87">
                  <c:v>40940</c:v>
                </c:pt>
                <c:pt idx="88">
                  <c:v>40969</c:v>
                </c:pt>
                <c:pt idx="89">
                  <c:v>41000</c:v>
                </c:pt>
                <c:pt idx="90">
                  <c:v>41030</c:v>
                </c:pt>
                <c:pt idx="91">
                  <c:v>41061</c:v>
                </c:pt>
                <c:pt idx="92">
                  <c:v>41091</c:v>
                </c:pt>
                <c:pt idx="93">
                  <c:v>41122</c:v>
                </c:pt>
                <c:pt idx="94">
                  <c:v>41153</c:v>
                </c:pt>
                <c:pt idx="95">
                  <c:v>41183</c:v>
                </c:pt>
                <c:pt idx="96">
                  <c:v>41214</c:v>
                </c:pt>
                <c:pt idx="97">
                  <c:v>41244</c:v>
                </c:pt>
                <c:pt idx="98">
                  <c:v>41275</c:v>
                </c:pt>
                <c:pt idx="99">
                  <c:v>41306</c:v>
                </c:pt>
                <c:pt idx="100">
                  <c:v>41334</c:v>
                </c:pt>
                <c:pt idx="101">
                  <c:v>41365</c:v>
                </c:pt>
                <c:pt idx="102">
                  <c:v>41395</c:v>
                </c:pt>
                <c:pt idx="103">
                  <c:v>41426</c:v>
                </c:pt>
                <c:pt idx="104">
                  <c:v>41456</c:v>
                </c:pt>
                <c:pt idx="105">
                  <c:v>41487</c:v>
                </c:pt>
                <c:pt idx="106">
                  <c:v>41518</c:v>
                </c:pt>
                <c:pt idx="107">
                  <c:v>41548</c:v>
                </c:pt>
                <c:pt idx="108">
                  <c:v>41579</c:v>
                </c:pt>
                <c:pt idx="109">
                  <c:v>41609</c:v>
                </c:pt>
                <c:pt idx="110">
                  <c:v>41640</c:v>
                </c:pt>
                <c:pt idx="111">
                  <c:v>41671</c:v>
                </c:pt>
                <c:pt idx="112">
                  <c:v>41699</c:v>
                </c:pt>
                <c:pt idx="113">
                  <c:v>41730</c:v>
                </c:pt>
                <c:pt idx="114">
                  <c:v>41760</c:v>
                </c:pt>
                <c:pt idx="115">
                  <c:v>41791</c:v>
                </c:pt>
                <c:pt idx="116">
                  <c:v>41821</c:v>
                </c:pt>
                <c:pt idx="117">
                  <c:v>41852</c:v>
                </c:pt>
                <c:pt idx="118">
                  <c:v>41883</c:v>
                </c:pt>
                <c:pt idx="119">
                  <c:v>41913</c:v>
                </c:pt>
                <c:pt idx="120">
                  <c:v>41944</c:v>
                </c:pt>
                <c:pt idx="121">
                  <c:v>41974</c:v>
                </c:pt>
                <c:pt idx="122">
                  <c:v>42005</c:v>
                </c:pt>
                <c:pt idx="123">
                  <c:v>42036</c:v>
                </c:pt>
                <c:pt idx="124">
                  <c:v>42064</c:v>
                </c:pt>
                <c:pt idx="125">
                  <c:v>42095</c:v>
                </c:pt>
                <c:pt idx="126">
                  <c:v>42125</c:v>
                </c:pt>
                <c:pt idx="127">
                  <c:v>42156</c:v>
                </c:pt>
                <c:pt idx="128">
                  <c:v>42186</c:v>
                </c:pt>
                <c:pt idx="129">
                  <c:v>42217</c:v>
                </c:pt>
                <c:pt idx="130">
                  <c:v>42248</c:v>
                </c:pt>
                <c:pt idx="131">
                  <c:v>42278</c:v>
                </c:pt>
                <c:pt idx="132">
                  <c:v>42309</c:v>
                </c:pt>
                <c:pt idx="133">
                  <c:v>42339</c:v>
                </c:pt>
                <c:pt idx="134">
                  <c:v>42370</c:v>
                </c:pt>
                <c:pt idx="135">
                  <c:v>42401</c:v>
                </c:pt>
                <c:pt idx="136">
                  <c:v>42430</c:v>
                </c:pt>
                <c:pt idx="137">
                  <c:v>42461</c:v>
                </c:pt>
                <c:pt idx="138">
                  <c:v>42491</c:v>
                </c:pt>
                <c:pt idx="139">
                  <c:v>42522</c:v>
                </c:pt>
                <c:pt idx="140">
                  <c:v>42552</c:v>
                </c:pt>
                <c:pt idx="141">
                  <c:v>42583</c:v>
                </c:pt>
                <c:pt idx="142">
                  <c:v>42614</c:v>
                </c:pt>
                <c:pt idx="143">
                  <c:v>42644</c:v>
                </c:pt>
                <c:pt idx="144">
                  <c:v>42675</c:v>
                </c:pt>
                <c:pt idx="145">
                  <c:v>42705</c:v>
                </c:pt>
                <c:pt idx="146">
                  <c:v>42736</c:v>
                </c:pt>
                <c:pt idx="147">
                  <c:v>42767</c:v>
                </c:pt>
                <c:pt idx="148">
                  <c:v>42795</c:v>
                </c:pt>
                <c:pt idx="149">
                  <c:v>42826</c:v>
                </c:pt>
                <c:pt idx="150">
                  <c:v>42856</c:v>
                </c:pt>
                <c:pt idx="151">
                  <c:v>42887</c:v>
                </c:pt>
                <c:pt idx="152">
                  <c:v>42917</c:v>
                </c:pt>
                <c:pt idx="153">
                  <c:v>42948</c:v>
                </c:pt>
                <c:pt idx="154">
                  <c:v>42979</c:v>
                </c:pt>
                <c:pt idx="155">
                  <c:v>43009</c:v>
                </c:pt>
                <c:pt idx="156">
                  <c:v>43040</c:v>
                </c:pt>
                <c:pt idx="157">
                  <c:v>43070</c:v>
                </c:pt>
                <c:pt idx="158">
                  <c:v>43101</c:v>
                </c:pt>
                <c:pt idx="159">
                  <c:v>43132</c:v>
                </c:pt>
                <c:pt idx="160">
                  <c:v>43160</c:v>
                </c:pt>
                <c:pt idx="161">
                  <c:v>43191</c:v>
                </c:pt>
                <c:pt idx="162">
                  <c:v>43221</c:v>
                </c:pt>
                <c:pt idx="163">
                  <c:v>43252</c:v>
                </c:pt>
                <c:pt idx="164">
                  <c:v>43282</c:v>
                </c:pt>
                <c:pt idx="165">
                  <c:v>43313</c:v>
                </c:pt>
                <c:pt idx="166">
                  <c:v>43344</c:v>
                </c:pt>
                <c:pt idx="167">
                  <c:v>43374</c:v>
                </c:pt>
                <c:pt idx="168">
                  <c:v>43405</c:v>
                </c:pt>
                <c:pt idx="169">
                  <c:v>43435</c:v>
                </c:pt>
                <c:pt idx="170">
                  <c:v>43466</c:v>
                </c:pt>
                <c:pt idx="171">
                  <c:v>43497</c:v>
                </c:pt>
                <c:pt idx="172">
                  <c:v>43525</c:v>
                </c:pt>
                <c:pt idx="173">
                  <c:v>43556</c:v>
                </c:pt>
                <c:pt idx="174">
                  <c:v>43586</c:v>
                </c:pt>
                <c:pt idx="175">
                  <c:v>43617</c:v>
                </c:pt>
                <c:pt idx="176">
                  <c:v>43647</c:v>
                </c:pt>
                <c:pt idx="177">
                  <c:v>43678</c:v>
                </c:pt>
                <c:pt idx="178">
                  <c:v>43709</c:v>
                </c:pt>
                <c:pt idx="179">
                  <c:v>43739</c:v>
                </c:pt>
                <c:pt idx="180">
                  <c:v>43770</c:v>
                </c:pt>
                <c:pt idx="181">
                  <c:v>43800</c:v>
                </c:pt>
                <c:pt idx="182">
                  <c:v>43831</c:v>
                </c:pt>
                <c:pt idx="183">
                  <c:v>43862</c:v>
                </c:pt>
                <c:pt idx="184">
                  <c:v>43891</c:v>
                </c:pt>
                <c:pt idx="185">
                  <c:v>43922</c:v>
                </c:pt>
                <c:pt idx="186">
                  <c:v>43952</c:v>
                </c:pt>
                <c:pt idx="187">
                  <c:v>43983</c:v>
                </c:pt>
                <c:pt idx="188">
                  <c:v>44013</c:v>
                </c:pt>
                <c:pt idx="189">
                  <c:v>44044</c:v>
                </c:pt>
                <c:pt idx="190">
                  <c:v>44075</c:v>
                </c:pt>
                <c:pt idx="191">
                  <c:v>44105</c:v>
                </c:pt>
                <c:pt idx="192">
                  <c:v>44136</c:v>
                </c:pt>
                <c:pt idx="193">
                  <c:v>44166</c:v>
                </c:pt>
                <c:pt idx="194">
                  <c:v>44197</c:v>
                </c:pt>
                <c:pt idx="195">
                  <c:v>44228</c:v>
                </c:pt>
                <c:pt idx="196">
                  <c:v>44256</c:v>
                </c:pt>
                <c:pt idx="197">
                  <c:v>44287</c:v>
                </c:pt>
                <c:pt idx="198">
                  <c:v>44317</c:v>
                </c:pt>
                <c:pt idx="199">
                  <c:v>44348</c:v>
                </c:pt>
                <c:pt idx="200">
                  <c:v>44378</c:v>
                </c:pt>
                <c:pt idx="201">
                  <c:v>44409</c:v>
                </c:pt>
                <c:pt idx="202">
                  <c:v>44440</c:v>
                </c:pt>
                <c:pt idx="203">
                  <c:v>44470</c:v>
                </c:pt>
                <c:pt idx="204">
                  <c:v>44501</c:v>
                </c:pt>
                <c:pt idx="205">
                  <c:v>44531</c:v>
                </c:pt>
                <c:pt idx="206">
                  <c:v>44562</c:v>
                </c:pt>
                <c:pt idx="207">
                  <c:v>44593</c:v>
                </c:pt>
                <c:pt idx="208">
                  <c:v>44621</c:v>
                </c:pt>
                <c:pt idx="209">
                  <c:v>44652</c:v>
                </c:pt>
                <c:pt idx="210">
                  <c:v>44682</c:v>
                </c:pt>
                <c:pt idx="211">
                  <c:v>44713</c:v>
                </c:pt>
                <c:pt idx="212">
                  <c:v>44743</c:v>
                </c:pt>
              </c:numCache>
            </c:numRef>
          </c:cat>
          <c:val>
            <c:numRef>
              <c:f>'Base Oil Trends'!$B$8:$IK$8</c:f>
              <c:numCache>
                <c:formatCode>_("$"* #,##0.00_);_("$"* \(#,##0.00\);_("$"* "-"??_);_(@_)</c:formatCode>
                <c:ptCount val="244"/>
                <c:pt idx="158" formatCode="&quot;$&quot;#,##0.00_);[Red]\(&quot;$&quot;#,##0.00\)">
                  <c:v>2.0491369047619048</c:v>
                </c:pt>
                <c:pt idx="159" formatCode="&quot;$&quot;#,##0.00_);[Red]\(&quot;$&quot;#,##0.00\)">
                  <c:v>2.0491369047619048</c:v>
                </c:pt>
                <c:pt idx="160" formatCode="&quot;$&quot;#,##0.00_);[Red]\(&quot;$&quot;#,##0.00\)">
                  <c:v>2.0491369047619048</c:v>
                </c:pt>
                <c:pt idx="161" formatCode="&quot;$&quot;#,##0.00_);[Red]\(&quot;$&quot;#,##0.00\)">
                  <c:v>2.0491369047619048</c:v>
                </c:pt>
                <c:pt idx="162" formatCode="&quot;$&quot;#,##0.00_);[Red]\(&quot;$&quot;#,##0.00\)">
                  <c:v>2.0491369047619048</c:v>
                </c:pt>
                <c:pt idx="163" formatCode="&quot;$&quot;#,##0.00_);[Red]\(&quot;$&quot;#,##0.00\)">
                  <c:v>2.0491369047619048</c:v>
                </c:pt>
                <c:pt idx="164" formatCode="&quot;$&quot;#,##0.00_);[Red]\(&quot;$&quot;#,##0.00\)">
                  <c:v>2.0491369047619048</c:v>
                </c:pt>
                <c:pt idx="165" formatCode="&quot;$&quot;#,##0.00_);[Red]\(&quot;$&quot;#,##0.00\)">
                  <c:v>2.0491369047619048</c:v>
                </c:pt>
                <c:pt idx="166" formatCode="&quot;$&quot;#,##0.00_);[Red]\(&quot;$&quot;#,##0.00\)">
                  <c:v>2.0491369047619048</c:v>
                </c:pt>
                <c:pt idx="167" formatCode="&quot;$&quot;#,##0.00_);[Red]\(&quot;$&quot;#,##0.00\)">
                  <c:v>2.0491369047619048</c:v>
                </c:pt>
                <c:pt idx="168" formatCode="&quot;$&quot;#,##0.00_);[Red]\(&quot;$&quot;#,##0.00\)">
                  <c:v>2.0491369047619048</c:v>
                </c:pt>
                <c:pt idx="169" formatCode="&quot;$&quot;#,##0.00_);[Red]\(&quot;$&quot;#,##0.00\)">
                  <c:v>2.0491369047619048</c:v>
                </c:pt>
                <c:pt idx="170" formatCode="&quot;$&quot;#,##0.00_);[Red]\(&quot;$&quot;#,##0.00\)">
                  <c:v>2.0386011904761903</c:v>
                </c:pt>
                <c:pt idx="171" formatCode="&quot;$&quot;#,##0.00_);[Red]\(&quot;$&quot;#,##0.00\)">
                  <c:v>2.0386011904761903</c:v>
                </c:pt>
                <c:pt idx="172" formatCode="&quot;$&quot;#,##0.00_);[Red]\(&quot;$&quot;#,##0.00\)">
                  <c:v>2.0386011904761903</c:v>
                </c:pt>
                <c:pt idx="173" formatCode="&quot;$&quot;#,##0.00_);[Red]\(&quot;$&quot;#,##0.00\)">
                  <c:v>2.0386011904761903</c:v>
                </c:pt>
                <c:pt idx="174" formatCode="&quot;$&quot;#,##0.00_);[Red]\(&quot;$&quot;#,##0.00\)">
                  <c:v>2.0386011904761903</c:v>
                </c:pt>
                <c:pt idx="175" formatCode="&quot;$&quot;#,##0.00_);[Red]\(&quot;$&quot;#,##0.00\)">
                  <c:v>2.0386011904761903</c:v>
                </c:pt>
                <c:pt idx="176" formatCode="&quot;$&quot;#,##0.00_);[Red]\(&quot;$&quot;#,##0.00\)">
                  <c:v>2.0386011904761903</c:v>
                </c:pt>
                <c:pt idx="177" formatCode="&quot;$&quot;#,##0.00_);[Red]\(&quot;$&quot;#,##0.00\)">
                  <c:v>2.0386011904761903</c:v>
                </c:pt>
                <c:pt idx="178" formatCode="&quot;$&quot;#,##0.00_);[Red]\(&quot;$&quot;#,##0.00\)">
                  <c:v>2.0386011904761903</c:v>
                </c:pt>
                <c:pt idx="179" formatCode="&quot;$&quot;#,##0.00_);[Red]\(&quot;$&quot;#,##0.00\)">
                  <c:v>2.0386011904761903</c:v>
                </c:pt>
                <c:pt idx="180" formatCode="&quot;$&quot;#,##0.00_);[Red]\(&quot;$&quot;#,##0.00\)">
                  <c:v>2.0386011904761903</c:v>
                </c:pt>
                <c:pt idx="181" formatCode="&quot;$&quot;#,##0.00_);[Red]\(&quot;$&quot;#,##0.00\)">
                  <c:v>2.0386011904761903</c:v>
                </c:pt>
                <c:pt idx="182" formatCode="&quot;$&quot;#,##0.00_);[Red]\(&quot;$&quot;#,##0.00\)">
                  <c:v>2.0408482142857141</c:v>
                </c:pt>
                <c:pt idx="183" formatCode="&quot;$&quot;#,##0.00_);[Red]\(&quot;$&quot;#,##0.00\)">
                  <c:v>2.0408482142857141</c:v>
                </c:pt>
                <c:pt idx="184" formatCode="&quot;$&quot;#,##0.00_);[Red]\(&quot;$&quot;#,##0.00\)">
                  <c:v>2.0408482142857141</c:v>
                </c:pt>
                <c:pt idx="185" formatCode="&quot;$&quot;#,##0.00_);[Red]\(&quot;$&quot;#,##0.00\)">
                  <c:v>2.0408482142857141</c:v>
                </c:pt>
                <c:pt idx="186" formatCode="&quot;$&quot;#,##0.00_);[Red]\(&quot;$&quot;#,##0.00\)">
                  <c:v>2.0408482142857141</c:v>
                </c:pt>
                <c:pt idx="187" formatCode="&quot;$&quot;#,##0.00_);[Red]\(&quot;$&quot;#,##0.00\)">
                  <c:v>2.0408482142857141</c:v>
                </c:pt>
                <c:pt idx="188" formatCode="&quot;$&quot;#,##0.00_);[Red]\(&quot;$&quot;#,##0.00\)">
                  <c:v>2.0408482142857141</c:v>
                </c:pt>
                <c:pt idx="189" formatCode="&quot;$&quot;#,##0.00_);[Red]\(&quot;$&quot;#,##0.00\)">
                  <c:v>2.0408482142857141</c:v>
                </c:pt>
                <c:pt idx="190" formatCode="&quot;$&quot;#,##0.00_);[Red]\(&quot;$&quot;#,##0.00\)">
                  <c:v>2.0408482142857141</c:v>
                </c:pt>
                <c:pt idx="191" formatCode="&quot;$&quot;#,##0.00_);[Red]\(&quot;$&quot;#,##0.00\)">
                  <c:v>2.0408482142857141</c:v>
                </c:pt>
                <c:pt idx="192" formatCode="&quot;$&quot;#,##0.00_);[Red]\(&quot;$&quot;#,##0.00\)">
                  <c:v>2.0408482142857141</c:v>
                </c:pt>
                <c:pt idx="193" formatCode="&quot;$&quot;#,##0.00_);[Red]\(&quot;$&quot;#,##0.00\)">
                  <c:v>2.0408482142857141</c:v>
                </c:pt>
                <c:pt idx="194" formatCode="&quot;$&quot;#,##0.00_);[Red]\(&quot;$&quot;#,##0.00\)">
                  <c:v>2.0544047619047618</c:v>
                </c:pt>
                <c:pt idx="195" formatCode="&quot;$&quot;#,##0.00_);[Red]\(&quot;$&quot;#,##0.00\)">
                  <c:v>2.0544047619047618</c:v>
                </c:pt>
                <c:pt idx="196" formatCode="&quot;$&quot;#,##0.00_);[Red]\(&quot;$&quot;#,##0.00\)">
                  <c:v>2.0544047619047618</c:v>
                </c:pt>
                <c:pt idx="197" formatCode="&quot;$&quot;#,##0.00_);[Red]\(&quot;$&quot;#,##0.00\)">
                  <c:v>2.0544047619047618</c:v>
                </c:pt>
                <c:pt idx="198" formatCode="&quot;$&quot;#,##0.00_);[Red]\(&quot;$&quot;#,##0.00\)">
                  <c:v>2.0544047619047618</c:v>
                </c:pt>
                <c:pt idx="199" formatCode="&quot;$&quot;#,##0.00_);[Red]\(&quot;$&quot;#,##0.00\)">
                  <c:v>2.0544047619047618</c:v>
                </c:pt>
                <c:pt idx="200" formatCode="&quot;$&quot;#,##0.00_);[Red]\(&quot;$&quot;#,##0.00\)">
                  <c:v>2.0544047619047618</c:v>
                </c:pt>
                <c:pt idx="201" formatCode="&quot;$&quot;#,##0.00_);[Red]\(&quot;$&quot;#,##0.00\)">
                  <c:v>2.0544047619047618</c:v>
                </c:pt>
                <c:pt idx="202" formatCode="&quot;$&quot;#,##0.00_);[Red]\(&quot;$&quot;#,##0.00\)">
                  <c:v>2.0544047619047618</c:v>
                </c:pt>
                <c:pt idx="203" formatCode="&quot;$&quot;#,##0.00_);[Red]\(&quot;$&quot;#,##0.00\)">
                  <c:v>2.0544047619047618</c:v>
                </c:pt>
                <c:pt idx="204" formatCode="&quot;$&quot;#,##0.00_);[Red]\(&quot;$&quot;#,##0.00\)">
                  <c:v>2.0544047619047618</c:v>
                </c:pt>
                <c:pt idx="205" formatCode="&quot;$&quot;#,##0.00_);[Red]\(&quot;$&quot;#,##0.00\)">
                  <c:v>2.0544047619047618</c:v>
                </c:pt>
                <c:pt idx="206" formatCode="&quot;$&quot;#,##0.00_);[Red]\(&quot;$&quot;#,##0.00\)">
                  <c:v>2.0744494047619049</c:v>
                </c:pt>
                <c:pt idx="207" formatCode="&quot;$&quot;#,##0.00_);[Red]\(&quot;$&quot;#,##0.00\)">
                  <c:v>2.0744494047619049</c:v>
                </c:pt>
                <c:pt idx="208" formatCode="&quot;$&quot;#,##0.00_);[Red]\(&quot;$&quot;#,##0.00\)">
                  <c:v>2.0744494047619049</c:v>
                </c:pt>
                <c:pt idx="209" formatCode="&quot;$&quot;#,##0.00_);[Red]\(&quot;$&quot;#,##0.00\)">
                  <c:v>2.0744494047619049</c:v>
                </c:pt>
                <c:pt idx="210" formatCode="&quot;$&quot;#,##0.00_);[Red]\(&quot;$&quot;#,##0.00\)">
                  <c:v>2.0744494047619049</c:v>
                </c:pt>
                <c:pt idx="211" formatCode="&quot;$&quot;#,##0.00_);[Red]\(&quot;$&quot;#,##0.00\)">
                  <c:v>2.0744494047619049</c:v>
                </c:pt>
                <c:pt idx="212" formatCode="&quot;$&quot;#,##0.00_);[Red]\(&quot;$&quot;#,##0.00\)">
                  <c:v>2.0744494047619049</c:v>
                </c:pt>
                <c:pt idx="213" formatCode="&quot;$&quot;#,##0.00_);[Red]\(&quot;$&quot;#,##0.00\)">
                  <c:v>2.0744494047619049</c:v>
                </c:pt>
                <c:pt idx="214" formatCode="&quot;$&quot;#,##0.00_);[Red]\(&quot;$&quot;#,##0.00\)">
                  <c:v>2.0744494047619049</c:v>
                </c:pt>
                <c:pt idx="215" formatCode="&quot;$&quot;#,##0.00_);[Red]\(&quot;$&quot;#,##0.00\)">
                  <c:v>2.0744494047619049</c:v>
                </c:pt>
                <c:pt idx="216" formatCode="&quot;$&quot;#,##0.00_);[Red]\(&quot;$&quot;#,##0.00\)">
                  <c:v>2.0744494047619049</c:v>
                </c:pt>
                <c:pt idx="217" formatCode="&quot;$&quot;#,##0.00_);[Red]\(&quot;$&quot;#,##0.00\)">
                  <c:v>2.0744494047619049</c:v>
                </c:pt>
                <c:pt idx="218" formatCode="&quot;$&quot;#,##0.00_);[Red]\(&quot;$&quot;#,##0.00\)">
                  <c:v>2.0744494047619049</c:v>
                </c:pt>
                <c:pt idx="219" formatCode="&quot;$&quot;#,##0.00_);[Red]\(&quot;$&quot;#,##0.00\)">
                  <c:v>2.099017857142857</c:v>
                </c:pt>
                <c:pt idx="220" formatCode="&quot;$&quot;#,##0.00_);[Red]\(&quot;$&quot;#,##0.00\)">
                  <c:v>2.099017857142857</c:v>
                </c:pt>
                <c:pt idx="221" formatCode="&quot;$&quot;#,##0.00_);[Red]\(&quot;$&quot;#,##0.00\)">
                  <c:v>2.099017857142857</c:v>
                </c:pt>
                <c:pt idx="222" formatCode="&quot;$&quot;#,##0.00_);[Red]\(&quot;$&quot;#,##0.00\)">
                  <c:v>2.099017857142857</c:v>
                </c:pt>
                <c:pt idx="223" formatCode="&quot;$&quot;#,##0.00_);[Red]\(&quot;$&quot;#,##0.00\)">
                  <c:v>2.099017857142857</c:v>
                </c:pt>
                <c:pt idx="224" formatCode="&quot;$&quot;#,##0.00_);[Red]\(&quot;$&quot;#,##0.00\)">
                  <c:v>2.099017857142857</c:v>
                </c:pt>
                <c:pt idx="225" formatCode="&quot;$&quot;#,##0.00_);[Red]\(&quot;$&quot;#,##0.00\)">
                  <c:v>2.099017857142857</c:v>
                </c:pt>
                <c:pt idx="226" formatCode="&quot;$&quot;#,##0.00_);[Red]\(&quot;$&quot;#,##0.00\)">
                  <c:v>2.099017857142857</c:v>
                </c:pt>
                <c:pt idx="227" formatCode="&quot;$&quot;#,##0.00_);[Red]\(&quot;$&quot;#,##0.00\)">
                  <c:v>2.099017857142857</c:v>
                </c:pt>
                <c:pt idx="228" formatCode="&quot;$&quot;#,##0.00_);[Red]\(&quot;$&quot;#,##0.00\)">
                  <c:v>2.099017857142857</c:v>
                </c:pt>
                <c:pt idx="229" formatCode="&quot;$&quot;#,##0.00_);[Red]\(&quot;$&quot;#,##0.00\)">
                  <c:v>2.099017857142857</c:v>
                </c:pt>
                <c:pt idx="230" formatCode="&quot;$&quot;#,##0.00_);[Red]\(&quot;$&quot;#,##0.00\)">
                  <c:v>2.1141071428571427</c:v>
                </c:pt>
                <c:pt idx="231" formatCode="&quot;$&quot;#,##0.00_);[Red]\(&quot;$&quot;#,##0.00\)">
                  <c:v>2.1141071428571427</c:v>
                </c:pt>
                <c:pt idx="232" formatCode="&quot;$&quot;#,##0.00_);[Red]\(&quot;$&quot;#,##0.00\)">
                  <c:v>2.1141071428571427</c:v>
                </c:pt>
                <c:pt idx="233" formatCode="&quot;$&quot;#,##0.00_);[Red]\(&quot;$&quot;#,##0.00\)">
                  <c:v>2.1141071428571427</c:v>
                </c:pt>
                <c:pt idx="234" formatCode="&quot;$&quot;#,##0.00_);[Red]\(&quot;$&quot;#,##0.00\)">
                  <c:v>2.1141071428571427</c:v>
                </c:pt>
                <c:pt idx="235" formatCode="&quot;$&quot;#,##0.00_);[Red]\(&quot;$&quot;#,##0.00\)">
                  <c:v>2.1141071428571427</c:v>
                </c:pt>
                <c:pt idx="236" formatCode="&quot;$&quot;#,##0.00_);[Red]\(&quot;$&quot;#,##0.00\)">
                  <c:v>2.1141071428571427</c:v>
                </c:pt>
                <c:pt idx="237" formatCode="&quot;$&quot;#,##0.00_);[Red]\(&quot;$&quot;#,##0.00\)">
                  <c:v>2.1141071428571427</c:v>
                </c:pt>
                <c:pt idx="238" formatCode="&quot;$&quot;#,##0.00_);[Red]\(&quot;$&quot;#,##0.00\)">
                  <c:v>2.1141071428571427</c:v>
                </c:pt>
                <c:pt idx="239" formatCode="&quot;$&quot;#,##0.00_);[Red]\(&quot;$&quot;#,##0.00\)">
                  <c:v>2.1141071428571427</c:v>
                </c:pt>
                <c:pt idx="240" formatCode="&quot;$&quot;#,##0.00_);[Red]\(&quot;$&quot;#,##0.00\)">
                  <c:v>2.1141071428571427</c:v>
                </c:pt>
                <c:pt idx="241" formatCode="&quot;$&quot;#,##0.00_);[Red]\(&quot;$&quot;#,##0.00\)">
                  <c:v>2.1141071428571427</c:v>
                </c:pt>
                <c:pt idx="242" formatCode="&quot;$&quot;#,##0.00_);[Red]\(&quot;$&quot;#,##0.00\)">
                  <c:v>2.1236607142857142</c:v>
                </c:pt>
                <c:pt idx="243" formatCode="&quot;$&quot;#,##0.00_);[Red]\(&quot;$&quot;#,##0.00\)">
                  <c:v>2.1236607142857142</c:v>
                </c:pt>
              </c:numCache>
            </c:numRef>
          </c:val>
          <c:smooth val="0"/>
          <c:extLst>
            <c:ext xmlns:c16="http://schemas.microsoft.com/office/drawing/2014/chart" uri="{C3380CC4-5D6E-409C-BE32-E72D297353CC}">
              <c16:uniqueId val="{00000003-F8DC-43FA-894D-F556686A3DA1}"/>
            </c:ext>
          </c:extLst>
        </c:ser>
        <c:ser>
          <c:idx val="4"/>
          <c:order val="4"/>
          <c:tx>
            <c:strRef>
              <c:f>'Base Oil Trends'!$A$7</c:f>
              <c:strCache>
                <c:ptCount val="1"/>
                <c:pt idx="0">
                  <c:v>85% of posted G2 price</c:v>
                </c:pt>
              </c:strCache>
            </c:strRef>
          </c:tx>
          <c:marker>
            <c:symbol val="none"/>
          </c:marker>
          <c:val>
            <c:numRef>
              <c:f>'Base Oil Trends'!$B$7:$EF$7</c:f>
              <c:numCache>
                <c:formatCode>_("$"* #,##0.00_);_("$"* \(#,##0.00\);_("$"* "-"??_);_(@_)</c:formatCode>
                <c:ptCount val="135"/>
                <c:pt idx="0">
                  <c:v>1.5725</c:v>
                </c:pt>
                <c:pt idx="1">
                  <c:v>1.5725</c:v>
                </c:pt>
                <c:pt idx="2">
                  <c:v>1.5725</c:v>
                </c:pt>
                <c:pt idx="3">
                  <c:v>1.5725</c:v>
                </c:pt>
                <c:pt idx="4">
                  <c:v>1.5469999999999999</c:v>
                </c:pt>
                <c:pt idx="5">
                  <c:v>1.7424999999999997</c:v>
                </c:pt>
                <c:pt idx="6">
                  <c:v>1.7424999999999997</c:v>
                </c:pt>
                <c:pt idx="7">
                  <c:v>1.7594999999999998</c:v>
                </c:pt>
                <c:pt idx="8">
                  <c:v>1.87</c:v>
                </c:pt>
                <c:pt idx="9">
                  <c:v>1.9379999999999997</c:v>
                </c:pt>
                <c:pt idx="10">
                  <c:v>2.04</c:v>
                </c:pt>
                <c:pt idx="11">
                  <c:v>2.1080000000000001</c:v>
                </c:pt>
                <c:pt idx="12">
                  <c:v>2.1675</c:v>
                </c:pt>
                <c:pt idx="13">
                  <c:v>2.1675</c:v>
                </c:pt>
                <c:pt idx="14">
                  <c:v>2.1675</c:v>
                </c:pt>
                <c:pt idx="15">
                  <c:v>2.2949999999999999</c:v>
                </c:pt>
                <c:pt idx="16">
                  <c:v>2.3459999999999996</c:v>
                </c:pt>
                <c:pt idx="17">
                  <c:v>2.3969999999999998</c:v>
                </c:pt>
                <c:pt idx="18">
                  <c:v>2.4649999999999999</c:v>
                </c:pt>
                <c:pt idx="19">
                  <c:v>2.5499999999999998</c:v>
                </c:pt>
                <c:pt idx="20">
                  <c:v>2.6774999999999998</c:v>
                </c:pt>
                <c:pt idx="21">
                  <c:v>2.6774999999999998</c:v>
                </c:pt>
                <c:pt idx="22">
                  <c:v>2.6774999999999998</c:v>
                </c:pt>
                <c:pt idx="23">
                  <c:v>2.6774999999999998</c:v>
                </c:pt>
                <c:pt idx="24">
                  <c:v>2.5499999999999998</c:v>
                </c:pt>
                <c:pt idx="25">
                  <c:v>2.5499999999999998</c:v>
                </c:pt>
                <c:pt idx="26">
                  <c:v>2.5499999999999998</c:v>
                </c:pt>
                <c:pt idx="27">
                  <c:v>2.5499999999999998</c:v>
                </c:pt>
                <c:pt idx="28">
                  <c:v>2.5499999999999998</c:v>
                </c:pt>
                <c:pt idx="29">
                  <c:v>2.5499999999999998</c:v>
                </c:pt>
                <c:pt idx="30">
                  <c:v>2.5499999999999998</c:v>
                </c:pt>
                <c:pt idx="31">
                  <c:v>2.6520000000000001</c:v>
                </c:pt>
                <c:pt idx="32">
                  <c:v>2.7454999999999998</c:v>
                </c:pt>
                <c:pt idx="33">
                  <c:v>2.7454999999999998</c:v>
                </c:pt>
                <c:pt idx="34">
                  <c:v>2.7454999999999998</c:v>
                </c:pt>
                <c:pt idx="35">
                  <c:v>2.7454999999999998</c:v>
                </c:pt>
                <c:pt idx="36">
                  <c:v>2.7454999999999998</c:v>
                </c:pt>
                <c:pt idx="37">
                  <c:v>2.8049999999999997</c:v>
                </c:pt>
                <c:pt idx="38">
                  <c:v>2.8304999999999998</c:v>
                </c:pt>
                <c:pt idx="39">
                  <c:v>2.8304999999999998</c:v>
                </c:pt>
                <c:pt idx="40">
                  <c:v>3.06</c:v>
                </c:pt>
                <c:pt idx="41">
                  <c:v>3.23</c:v>
                </c:pt>
                <c:pt idx="42">
                  <c:v>3.3574999999999999</c:v>
                </c:pt>
                <c:pt idx="43">
                  <c:v>3.57</c:v>
                </c:pt>
                <c:pt idx="44">
                  <c:v>4.165</c:v>
                </c:pt>
                <c:pt idx="45">
                  <c:v>4.2924999999999995</c:v>
                </c:pt>
                <c:pt idx="46">
                  <c:v>4.2924999999999995</c:v>
                </c:pt>
                <c:pt idx="47">
                  <c:v>4.2075000000000005</c:v>
                </c:pt>
                <c:pt idx="48">
                  <c:v>4.1224999999999996</c:v>
                </c:pt>
                <c:pt idx="49">
                  <c:v>3.1875</c:v>
                </c:pt>
                <c:pt idx="50">
                  <c:v>2.72</c:v>
                </c:pt>
                <c:pt idx="51">
                  <c:v>2.4224999999999999</c:v>
                </c:pt>
                <c:pt idx="52">
                  <c:v>2.04</c:v>
                </c:pt>
                <c:pt idx="53">
                  <c:v>1.9124999999999999</c:v>
                </c:pt>
                <c:pt idx="54">
                  <c:v>1.9124999999999999</c:v>
                </c:pt>
                <c:pt idx="55">
                  <c:v>1.9124999999999999</c:v>
                </c:pt>
                <c:pt idx="56">
                  <c:v>1.9975000000000001</c:v>
                </c:pt>
                <c:pt idx="57">
                  <c:v>2.2949999999999999</c:v>
                </c:pt>
                <c:pt idx="58">
                  <c:v>2.2949999999999999</c:v>
                </c:pt>
                <c:pt idx="59">
                  <c:v>2.2949999999999999</c:v>
                </c:pt>
                <c:pt idx="60">
                  <c:v>2.2949999999999999</c:v>
                </c:pt>
                <c:pt idx="61">
                  <c:v>2.2949999999999999</c:v>
                </c:pt>
                <c:pt idx="62">
                  <c:v>2.2949999999999999</c:v>
                </c:pt>
                <c:pt idx="63">
                  <c:v>2.5075000000000003</c:v>
                </c:pt>
                <c:pt idx="64">
                  <c:v>2.5499999999999998</c:v>
                </c:pt>
                <c:pt idx="65">
                  <c:v>2.6349999999999998</c:v>
                </c:pt>
                <c:pt idx="66">
                  <c:v>2.72</c:v>
                </c:pt>
                <c:pt idx="67">
                  <c:v>2.9750000000000001</c:v>
                </c:pt>
                <c:pt idx="68">
                  <c:v>2.9750000000000001</c:v>
                </c:pt>
                <c:pt idx="69">
                  <c:v>2.9750000000000001</c:v>
                </c:pt>
                <c:pt idx="70">
                  <c:v>2.9750000000000001</c:v>
                </c:pt>
                <c:pt idx="71">
                  <c:v>2.9750000000000001</c:v>
                </c:pt>
                <c:pt idx="72">
                  <c:v>2.9750000000000001</c:v>
                </c:pt>
                <c:pt idx="73">
                  <c:v>3.2725</c:v>
                </c:pt>
                <c:pt idx="74">
                  <c:v>3.2725</c:v>
                </c:pt>
                <c:pt idx="75">
                  <c:v>3.2725</c:v>
                </c:pt>
                <c:pt idx="76">
                  <c:v>3.6124999999999998</c:v>
                </c:pt>
                <c:pt idx="77">
                  <c:v>3.6124999999999998</c:v>
                </c:pt>
                <c:pt idx="78">
                  <c:v>4.0374999999999996</c:v>
                </c:pt>
                <c:pt idx="79">
                  <c:v>4.0374999999999996</c:v>
                </c:pt>
                <c:pt idx="80">
                  <c:v>4.2075000000000005</c:v>
                </c:pt>
                <c:pt idx="81">
                  <c:v>4.2075000000000005</c:v>
                </c:pt>
                <c:pt idx="82">
                  <c:v>4.2075000000000005</c:v>
                </c:pt>
                <c:pt idx="83">
                  <c:v>4.2075000000000005</c:v>
                </c:pt>
                <c:pt idx="84">
                  <c:v>4.2075000000000005</c:v>
                </c:pt>
                <c:pt idx="85">
                  <c:v>4.0374999999999996</c:v>
                </c:pt>
                <c:pt idx="86">
                  <c:v>4.0374999999999996</c:v>
                </c:pt>
                <c:pt idx="87">
                  <c:v>4.0374999999999996</c:v>
                </c:pt>
                <c:pt idx="88">
                  <c:v>4.0374999999999996</c:v>
                </c:pt>
                <c:pt idx="89">
                  <c:v>4.0374999999999996</c:v>
                </c:pt>
                <c:pt idx="90">
                  <c:v>4.25</c:v>
                </c:pt>
                <c:pt idx="91">
                  <c:v>4.0374999999999996</c:v>
                </c:pt>
                <c:pt idx="92">
                  <c:v>3.6549999999999998</c:v>
                </c:pt>
                <c:pt idx="93">
                  <c:v>3.6549999999999998</c:v>
                </c:pt>
                <c:pt idx="94">
                  <c:v>3.6549999999999998</c:v>
                </c:pt>
                <c:pt idx="95">
                  <c:v>3.6549999999999998</c:v>
                </c:pt>
                <c:pt idx="96">
                  <c:v>3.4</c:v>
                </c:pt>
                <c:pt idx="97">
                  <c:v>3.4</c:v>
                </c:pt>
                <c:pt idx="98">
                  <c:v>3.1875</c:v>
                </c:pt>
                <c:pt idx="99">
                  <c:v>3.1875</c:v>
                </c:pt>
                <c:pt idx="100">
                  <c:v>3.1875</c:v>
                </c:pt>
                <c:pt idx="101">
                  <c:v>3.3149999999999999</c:v>
                </c:pt>
                <c:pt idx="102">
                  <c:v>3.3149999999999999</c:v>
                </c:pt>
                <c:pt idx="103">
                  <c:v>3.3149999999999999</c:v>
                </c:pt>
                <c:pt idx="104">
                  <c:v>3.3149999999999999</c:v>
                </c:pt>
                <c:pt idx="105">
                  <c:v>3.3149999999999999</c:v>
                </c:pt>
                <c:pt idx="106">
                  <c:v>3.4</c:v>
                </c:pt>
                <c:pt idx="107">
                  <c:v>3.4</c:v>
                </c:pt>
                <c:pt idx="108">
                  <c:v>3.3149999999999999</c:v>
                </c:pt>
                <c:pt idx="109">
                  <c:v>3.3149999999999999</c:v>
                </c:pt>
                <c:pt idx="110">
                  <c:v>3.3149999999999999</c:v>
                </c:pt>
                <c:pt idx="111">
                  <c:v>3.2725</c:v>
                </c:pt>
                <c:pt idx="112">
                  <c:v>3.2725</c:v>
                </c:pt>
                <c:pt idx="113">
                  <c:v>3.3149999999999999</c:v>
                </c:pt>
                <c:pt idx="114">
                  <c:v>3.3149999999999999</c:v>
                </c:pt>
                <c:pt idx="115">
                  <c:v>3.3149999999999999</c:v>
                </c:pt>
                <c:pt idx="116">
                  <c:v>3.3149999999999999</c:v>
                </c:pt>
                <c:pt idx="117">
                  <c:v>3.145</c:v>
                </c:pt>
                <c:pt idx="118">
                  <c:v>3.145</c:v>
                </c:pt>
                <c:pt idx="119">
                  <c:v>3.0174999999999996</c:v>
                </c:pt>
                <c:pt idx="120">
                  <c:v>2.8049999999999997</c:v>
                </c:pt>
                <c:pt idx="121">
                  <c:v>2.38</c:v>
                </c:pt>
                <c:pt idx="122">
                  <c:v>2.38</c:v>
                </c:pt>
                <c:pt idx="123">
                  <c:v>2.38</c:v>
                </c:pt>
                <c:pt idx="124">
                  <c:v>2.38</c:v>
                </c:pt>
                <c:pt idx="125">
                  <c:v>2.38</c:v>
                </c:pt>
                <c:pt idx="126">
                  <c:v>2.38</c:v>
                </c:pt>
                <c:pt idx="127">
                  <c:v>2.38</c:v>
                </c:pt>
                <c:pt idx="128">
                  <c:v>2.38</c:v>
                </c:pt>
                <c:pt idx="129">
                  <c:v>2.2949999999999999</c:v>
                </c:pt>
                <c:pt idx="130">
                  <c:v>2.125</c:v>
                </c:pt>
                <c:pt idx="131">
                  <c:v>2.04</c:v>
                </c:pt>
                <c:pt idx="132">
                  <c:v>2.04</c:v>
                </c:pt>
                <c:pt idx="133">
                  <c:v>1.9549999999999998</c:v>
                </c:pt>
                <c:pt idx="134">
                  <c:v>1.7849999999999999</c:v>
                </c:pt>
              </c:numCache>
            </c:numRef>
          </c:val>
          <c:smooth val="0"/>
          <c:extLst>
            <c:ext xmlns:c16="http://schemas.microsoft.com/office/drawing/2014/chart" uri="{C3380CC4-5D6E-409C-BE32-E72D297353CC}">
              <c16:uniqueId val="{00000004-F8DC-43FA-894D-F556686A3DA1}"/>
            </c:ext>
          </c:extLst>
        </c:ser>
        <c:dLbls>
          <c:showLegendKey val="0"/>
          <c:showVal val="0"/>
          <c:showCatName val="0"/>
          <c:showSerName val="0"/>
          <c:showPercent val="0"/>
          <c:showBubbleSize val="0"/>
        </c:dLbls>
        <c:smooth val="0"/>
        <c:axId val="100934688"/>
        <c:axId val="100935080"/>
      </c:lineChart>
      <c:dateAx>
        <c:axId val="100934688"/>
        <c:scaling>
          <c:orientation val="minMax"/>
        </c:scaling>
        <c:delete val="0"/>
        <c:axPos val="b"/>
        <c:numFmt formatCode="mmm\-yy" sourceLinked="1"/>
        <c:majorTickMark val="out"/>
        <c:minorTickMark val="none"/>
        <c:tickLblPos val="nextTo"/>
        <c:crossAx val="100935080"/>
        <c:crosses val="autoZero"/>
        <c:auto val="1"/>
        <c:lblOffset val="100"/>
        <c:baseTimeUnit val="months"/>
      </c:dateAx>
      <c:valAx>
        <c:axId val="100935080"/>
        <c:scaling>
          <c:orientation val="minMax"/>
        </c:scaling>
        <c:delete val="0"/>
        <c:axPos val="l"/>
        <c:majorGridlines/>
        <c:numFmt formatCode="_(&quot;$&quot;* #,##0.00_);_(&quot;$&quot;* \(#,##0.00\);_(&quot;$&quot;* &quot;-&quot;??_);_(@_)" sourceLinked="1"/>
        <c:majorTickMark val="out"/>
        <c:minorTickMark val="none"/>
        <c:tickLblPos val="nextTo"/>
        <c:crossAx val="10093468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46262</xdr:colOff>
      <xdr:row>1</xdr:row>
      <xdr:rowOff>190499</xdr:rowOff>
    </xdr:from>
    <xdr:ext cx="1804308" cy="1000125"/>
    <xdr:sp macro="" textlink="">
      <xdr:nvSpPr>
        <xdr:cNvPr id="2" name="TextBox 1">
          <a:extLst>
            <a:ext uri="{FF2B5EF4-FFF2-40B4-BE49-F238E27FC236}">
              <a16:creationId xmlns:a16="http://schemas.microsoft.com/office/drawing/2014/main" id="{00000000-0008-0000-0000-000002000000}"/>
            </a:ext>
          </a:extLst>
        </xdr:cNvPr>
        <xdr:cNvSpPr txBox="1">
          <a:spLocks noChangeAspect="1"/>
        </xdr:cNvSpPr>
      </xdr:nvSpPr>
      <xdr:spPr>
        <a:xfrm>
          <a:off x="4910816" y="387803"/>
          <a:ext cx="1804308" cy="1000125"/>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lang="es-CR" sz="1000"/>
            <a:t>Equity Offer: </a:t>
          </a:r>
        </a:p>
        <a:p>
          <a:pPr algn="ctr"/>
          <a:r>
            <a:rPr lang="es-CR" sz="1000" baseline="0"/>
            <a:t>$24,581,400 Equity Investment</a:t>
          </a:r>
        </a:p>
        <a:p>
          <a:pPr algn="ctr"/>
          <a:r>
            <a:rPr lang="es-CR" sz="1000" baseline="0"/>
            <a:t>for 80% ownership of GVT</a:t>
          </a:r>
        </a:p>
        <a:p>
          <a:pPr algn="ctr"/>
          <a:r>
            <a:rPr lang="es-CR" sz="1000" baseline="0"/>
            <a:t>New Investor receives preferred $10,000,000 payback from new debt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202405</xdr:colOff>
      <xdr:row>17</xdr:row>
      <xdr:rowOff>66674</xdr:rowOff>
    </xdr:from>
    <xdr:to>
      <xdr:col>18</xdr:col>
      <xdr:colOff>23811</xdr:colOff>
      <xdr:row>50</xdr:row>
      <xdr:rowOff>154781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202406</xdr:colOff>
      <xdr:row>31</xdr:row>
      <xdr:rowOff>154781</xdr:rowOff>
    </xdr:from>
    <xdr:to>
      <xdr:col>16</xdr:col>
      <xdr:colOff>357187</xdr:colOff>
      <xdr:row>35</xdr:row>
      <xdr:rowOff>0</xdr:rowOff>
    </xdr:to>
    <xdr:cxnSp macro="">
      <xdr:nvCxnSpPr>
        <xdr:cNvPr id="3" name="Straight Arrow Connector 2">
          <a:extLst>
            <a:ext uri="{FF2B5EF4-FFF2-40B4-BE49-F238E27FC236}">
              <a16:creationId xmlns:a16="http://schemas.microsoft.com/office/drawing/2014/main" id="{00000000-0008-0000-0B00-000003000000}"/>
            </a:ext>
          </a:extLst>
        </xdr:cNvPr>
        <xdr:cNvCxnSpPr/>
      </xdr:nvCxnSpPr>
      <xdr:spPr>
        <a:xfrm flipV="1">
          <a:off x="2031206" y="6060281"/>
          <a:ext cx="8079581" cy="607219"/>
        </a:xfrm>
        <a:prstGeom prst="straightConnector1">
          <a:avLst/>
        </a:prstGeom>
        <a:ln w="31750">
          <a:tailEnd type="arrow"/>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3</xdr:col>
      <xdr:colOff>116680</xdr:colOff>
      <xdr:row>37</xdr:row>
      <xdr:rowOff>130969</xdr:rowOff>
    </xdr:from>
    <xdr:to>
      <xdr:col>16</xdr:col>
      <xdr:colOff>488156</xdr:colOff>
      <xdr:row>40</xdr:row>
      <xdr:rowOff>142876</xdr:rowOff>
    </xdr:to>
    <xdr:cxnSp macro="">
      <xdr:nvCxnSpPr>
        <xdr:cNvPr id="4" name="Straight Arrow Connector 3">
          <a:extLst>
            <a:ext uri="{FF2B5EF4-FFF2-40B4-BE49-F238E27FC236}">
              <a16:creationId xmlns:a16="http://schemas.microsoft.com/office/drawing/2014/main" id="{00000000-0008-0000-0B00-000004000000}"/>
            </a:ext>
          </a:extLst>
        </xdr:cNvPr>
        <xdr:cNvCxnSpPr/>
      </xdr:nvCxnSpPr>
      <xdr:spPr>
        <a:xfrm flipV="1">
          <a:off x="1945480" y="7179469"/>
          <a:ext cx="8296276" cy="583407"/>
        </a:xfrm>
        <a:prstGeom prst="straightConnector1">
          <a:avLst/>
        </a:prstGeom>
        <a:ln w="38100">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20</xdr:col>
      <xdr:colOff>130967</xdr:colOff>
      <xdr:row>15</xdr:row>
      <xdr:rowOff>171449</xdr:rowOff>
    </xdr:from>
    <xdr:to>
      <xdr:col>36</xdr:col>
      <xdr:colOff>583406</xdr:colOff>
      <xdr:row>45</xdr:row>
      <xdr:rowOff>130969</xdr:rowOff>
    </xdr:to>
    <xdr:graphicFrame macro="">
      <xdr:nvGraphicFramePr>
        <xdr:cNvPr id="6" name="Chart 5">
          <a:extLst>
            <a:ext uri="{FF2B5EF4-FFF2-40B4-BE49-F238E27FC236}">
              <a16:creationId xmlns:a16="http://schemas.microsoft.com/office/drawing/2014/main" id="{00000000-0008-0000-0B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92516</xdr:colOff>
      <xdr:row>58</xdr:row>
      <xdr:rowOff>83343</xdr:rowOff>
    </xdr:from>
    <xdr:ext cx="13192478" cy="7386638"/>
    <xdr:pic>
      <xdr:nvPicPr>
        <xdr:cNvPr id="10" name="Picture 9" descr="https://staticseekingalpha.a.ssl.fastly.net/uploads/2016/1/6915901_14541093716114_rId7.png">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1716" y="11132343"/>
          <a:ext cx="13192478" cy="7386638"/>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xdr:col>
      <xdr:colOff>73409</xdr:colOff>
      <xdr:row>101</xdr:row>
      <xdr:rowOff>142875</xdr:rowOff>
    </xdr:from>
    <xdr:ext cx="13580678" cy="7624761"/>
    <xdr:pic>
      <xdr:nvPicPr>
        <xdr:cNvPr id="11" name="Picture 10" descr="https://staticseekingalpha.a.ssl.fastly.net/uploads/2016/1/6915901_14541093716114_rId6.png">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92609" y="19383375"/>
          <a:ext cx="13580678" cy="7624761"/>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twoCellAnchor editAs="oneCell">
    <xdr:from>
      <xdr:col>142</xdr:col>
      <xdr:colOff>0</xdr:colOff>
      <xdr:row>13</xdr:row>
      <xdr:rowOff>0</xdr:rowOff>
    </xdr:from>
    <xdr:to>
      <xdr:col>156</xdr:col>
      <xdr:colOff>389434</xdr:colOff>
      <xdr:row>35</xdr:row>
      <xdr:rowOff>66143</xdr:rowOff>
    </xdr:to>
    <xdr:pic>
      <xdr:nvPicPr>
        <xdr:cNvPr id="9" name="Pictur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5"/>
        <a:stretch>
          <a:fillRect/>
        </a:stretch>
      </xdr:blipFill>
      <xdr:spPr>
        <a:xfrm>
          <a:off x="85617844" y="2476500"/>
          <a:ext cx="8723809" cy="42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yan/Library/Containers/com.apple.mail/Data/Library/Mail%20Downloads/Agctemp/AGC%20Shared/TEMP/c.notes.data/a%20b&#226;tons%20romp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rotta/Application%20Data/Microsoft/Excel/SCO%20-%20Operating%20Assump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ocuments%20and%20Settings/David/Local%20Settings/Temporary%20Internet%20Files/OLK4/Calcium_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varor/Desktop/Pro%20forma%20-%20Myrtle%20Grove%20model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onte.bell/AppData/Local/Microsoft/Windows/Temporary%20Internet%20Files/Content.Outlook/2I81HP7V/Pro%20forma%20-%20NexLube%20Expected%20Case%20provided%20HW%20modified%20ver%201%200627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vidf/Documents/BPM%20Toolbox/bpmToolbox%206.0-Forecast%20Business%20Planning%20Model%20Example%20(Basi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Documents%20and%20Settings/ahodgkin/My%20Documents/Financial%20Instruments/LBO%20Models/Standalone98_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nergy%20Industry/Wind%20Tex%20Energy/Pro%20Forma/Pro%20forma%20-%20Wind%20Tex%20-%20Petronilla%20-%20Full%20Working%20Mode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Bill%20Abraham/Google%20Drive/LNG/Vertex/Financial%20model/Myrtle%20Grove%2045M%20gallon%20VGO%20to%20base%20oil%20plant%20r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graph"/>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tions Inputs"/>
      <sheetName val="SCO - Operating Assumptions"/>
      <sheetName val="SCO - Operating Assumptions.xls"/>
    </sheetNames>
    <definedNames>
      <definedName name="AdjustValue" refersTo="#REF!"/>
      <definedName name="desk" refersTo="#REF!"/>
      <definedName name="glad" refersTo="#REF!"/>
      <definedName name="GoBack" refersTo="#REF!"/>
      <definedName name="GoBalanceSheet" refersTo="#REF!"/>
      <definedName name="GoCashFlow" refersTo="#REF!"/>
      <definedName name="GoData" refersTo="#REF!"/>
      <definedName name="GoIncomeChart" refersTo="#REF!"/>
      <definedName name="kkk" refersTo="#REF!"/>
      <definedName name="lamp" refersTo="#REF!"/>
      <definedName name="lisahuang" refersTo="#REF!"/>
      <definedName name="mynameis" refersTo="#REF!"/>
      <definedName name="Name1" refersTo="#REF!"/>
      <definedName name="NameNew" refersTo="#REF!"/>
      <definedName name="newstuff" refersTo="#REF!"/>
      <definedName name="oldstuff" refersTo="#REF!"/>
      <definedName name="phoneNew" refersTo="#REF!"/>
      <definedName name="Print_Cover_Tabs" refersTo="#REF!"/>
      <definedName name="Print_Document" refersTo="#REF!"/>
      <definedName name="sad" refersTo="#REF!"/>
      <definedName name="sName" refersTo="#REF!"/>
      <definedName name="sName1" refersTo="#REF!"/>
    </defined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Detail"/>
      <sheetName val="Transaction Assumptions"/>
      <sheetName val="Transaction  Adjustments"/>
      <sheetName val="Income Statement"/>
      <sheetName val="Operating Assumptions"/>
      <sheetName val="Balance Sheet"/>
      <sheetName val="Cash Flow"/>
      <sheetName val="IRR Analysis"/>
      <sheetName val="Credit Statistics"/>
      <sheetName val="Seller"/>
      <sheetName val="LandCo"/>
      <sheetName val="Debt Schedule"/>
      <sheetName val="Depreciation"/>
      <sheetName val="DCF"/>
      <sheetName val="Sensitiv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tructure"/>
      <sheetName val="Case Sensitivity"/>
      <sheetName val="Yields"/>
      <sheetName val="Assumptions"/>
      <sheetName val="WTI &amp; Commodity price"/>
      <sheetName val="Financials"/>
      <sheetName val="Capex"/>
      <sheetName val="Drawdown"/>
      <sheetName val="Revenue"/>
      <sheetName val="Oper Costs"/>
      <sheetName val="Labor"/>
      <sheetName val="Plant Payroll"/>
      <sheetName val="Corp SG&amp;A"/>
    </sheetNames>
    <sheetDataSet>
      <sheetData sheetId="0">
        <row r="1">
          <cell r="B1" t="str">
            <v>Myrtle Grove development</v>
          </cell>
        </row>
      </sheetData>
      <sheetData sheetId="1"/>
      <sheetData sheetId="2"/>
      <sheetData sheetId="3"/>
      <sheetData sheetId="4">
        <row r="193">
          <cell r="Q193">
            <v>5000</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d AFE"/>
      <sheetName val="Index"/>
      <sheetName val="Assumptions"/>
      <sheetName val="Summary Output"/>
      <sheetName val="Inputs"/>
      <sheetName val="P&amp;L"/>
      <sheetName val="Rev"/>
      <sheetName val="Operating model"/>
      <sheetName val="Summary Projections - Output"/>
      <sheetName val="Summary Projections - Quarterly"/>
      <sheetName val="3 Plant Summary"/>
      <sheetName val="IRR"/>
      <sheetName val="3 Plant Allocation"/>
      <sheetName val="Graphs"/>
      <sheetName val="PLATTS"/>
      <sheetName val="WTI effect"/>
      <sheetName val="Diesel"/>
      <sheetName val="Asphalt"/>
      <sheetName val="Plant Payroll"/>
      <sheetName val="Utilities"/>
      <sheetName val="LinkingMetadata"/>
      <sheetName val="Budget 2011-2013"/>
      <sheetName val="Approved Budget 2012-2013"/>
      <sheetName val="Invoices"/>
      <sheetName val="Investor 1-Plant"/>
      <sheetName val="Investor 2-Plant"/>
      <sheetName val="Investor 3-Plant"/>
      <sheetName val="Current 1-Plant"/>
      <sheetName val="Current 2-Plant"/>
      <sheetName val="PO Schedule"/>
      <sheetName val="FCB Loan"/>
      <sheetName val="Feedstock"/>
      <sheetName val="Bonus Plan"/>
    </sheetNames>
    <sheetDataSet>
      <sheetData sheetId="0"/>
      <sheetData sheetId="1"/>
      <sheetData sheetId="2"/>
      <sheetData sheetId="3"/>
      <sheetData sheetId="4">
        <row r="42">
          <cell r="C42">
            <v>2</v>
          </cell>
        </row>
      </sheetData>
      <sheetData sheetId="5"/>
      <sheetData sheetId="6"/>
      <sheetData sheetId="7"/>
      <sheetData sheetId="8"/>
      <sheetData sheetId="9"/>
      <sheetData sheetId="10"/>
      <sheetData sheetId="11"/>
      <sheetData sheetId="12"/>
      <sheetData sheetId="13"/>
      <sheetData sheetId="14">
        <row r="37">
          <cell r="E37">
            <v>1.8561860035414584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C3">
            <v>7500000</v>
          </cell>
          <cell r="E3">
            <v>0.01</v>
          </cell>
          <cell r="F3">
            <v>5000000</v>
          </cell>
        </row>
        <row r="4">
          <cell r="C4">
            <v>12500000</v>
          </cell>
          <cell r="E4">
            <v>2.5000000000000001E-2</v>
          </cell>
          <cell r="F4">
            <v>3750000</v>
          </cell>
        </row>
        <row r="5">
          <cell r="C5">
            <v>16250000</v>
          </cell>
          <cell r="E5">
            <v>0.04</v>
          </cell>
          <cell r="F5">
            <v>2500000</v>
          </cell>
        </row>
        <row r="6">
          <cell r="C6">
            <v>18750000</v>
          </cell>
          <cell r="E6">
            <v>0.05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Overview_SC"/>
      <sheetName val="Notes_SSC"/>
      <sheetName val="Notes_BO"/>
      <sheetName val="Keys_SSC"/>
      <sheetName val="Keys_BO"/>
      <sheetName val="Assumptions_SC"/>
      <sheetName val="TS_Ass_SSC"/>
      <sheetName val="TS_BA"/>
      <sheetName val="Fcast_Ass_SSC"/>
      <sheetName val="Fcast_TA"/>
      <sheetName val="Base_OP_SC"/>
      <sheetName val="Fcast_OP_SSC"/>
      <sheetName val="Fcast_TO"/>
      <sheetName val="FS_OP_SSC"/>
      <sheetName val="IS_TO"/>
      <sheetName val="BS_TO"/>
      <sheetName val="CFS_TO"/>
      <sheetName val="Dashboards_SSC"/>
      <sheetName val="BS_Sum_P_MS"/>
      <sheetName val="Appendices_SC"/>
      <sheetName val="Checks_SSC"/>
      <sheetName val="Checks_BO"/>
      <sheetName val="LU_SSC"/>
      <sheetName val="TS_LU"/>
      <sheetName val="Capital_LU"/>
      <sheetName val="Dashboards_LU"/>
    </sheetNames>
    <sheetDataSet>
      <sheetData sheetId="0">
        <row r="10">
          <cell r="C10" t="str">
            <v>Forecast Business Planning Model 6.0 (Basic)</v>
          </cell>
        </row>
      </sheetData>
      <sheetData sheetId="1"/>
      <sheetData sheetId="2"/>
      <sheetData sheetId="3"/>
      <sheetData sheetId="4"/>
      <sheetData sheetId="5"/>
      <sheetData sheetId="6"/>
      <sheetData sheetId="7"/>
      <sheetData sheetId="8"/>
      <sheetData sheetId="9">
        <row r="12">
          <cell r="J12" t="str">
            <v>Annual</v>
          </cell>
        </row>
        <row r="13">
          <cell r="K13">
            <v>12</v>
          </cell>
        </row>
        <row r="14">
          <cell r="J14">
            <v>40179</v>
          </cell>
        </row>
        <row r="16">
          <cell r="J16" t="str">
            <v>Year</v>
          </cell>
        </row>
        <row r="17">
          <cell r="J17" t="str">
            <v>Year</v>
          </cell>
        </row>
        <row r="18">
          <cell r="J18" t="b">
            <v>1</v>
          </cell>
        </row>
        <row r="19">
          <cell r="J19">
            <v>40179</v>
          </cell>
        </row>
        <row r="20">
          <cell r="J20">
            <v>40543</v>
          </cell>
        </row>
        <row r="21">
          <cell r="J21">
            <v>1</v>
          </cell>
        </row>
        <row r="22">
          <cell r="J22">
            <v>12</v>
          </cell>
        </row>
        <row r="23">
          <cell r="J23">
            <v>1</v>
          </cell>
        </row>
        <row r="25">
          <cell r="J25">
            <v>40543</v>
          </cell>
        </row>
        <row r="26">
          <cell r="J26">
            <v>2</v>
          </cell>
        </row>
        <row r="31">
          <cell r="J31" t="b">
            <v>1</v>
          </cell>
        </row>
        <row r="32">
          <cell r="J32">
            <v>0</v>
          </cell>
        </row>
        <row r="33">
          <cell r="J33">
            <v>0</v>
          </cell>
        </row>
        <row r="34">
          <cell r="J34" t="str">
            <v>(A)</v>
          </cell>
        </row>
        <row r="35">
          <cell r="J35" t="str">
            <v>(B)</v>
          </cell>
        </row>
        <row r="36">
          <cell r="J36" t="str">
            <v>(F)</v>
          </cell>
        </row>
      </sheetData>
      <sheetData sheetId="10"/>
      <sheetData sheetId="11">
        <row r="84">
          <cell r="J84">
            <v>1</v>
          </cell>
        </row>
        <row r="90">
          <cell r="E90" t="b">
            <v>0</v>
          </cell>
        </row>
        <row r="91">
          <cell r="E91" t="b">
            <v>0</v>
          </cell>
        </row>
      </sheetData>
      <sheetData sheetId="12"/>
      <sheetData sheetId="13"/>
      <sheetData sheetId="14">
        <row r="18">
          <cell r="C18" t="str">
            <v>Revenue</v>
          </cell>
        </row>
      </sheetData>
      <sheetData sheetId="15"/>
      <sheetData sheetId="16"/>
      <sheetData sheetId="17"/>
      <sheetData sheetId="18"/>
      <sheetData sheetId="19"/>
      <sheetData sheetId="20"/>
      <sheetData sheetId="21"/>
      <sheetData sheetId="22"/>
      <sheetData sheetId="23"/>
      <sheetData sheetId="24"/>
      <sheetData sheetId="25">
        <row r="47">
          <cell r="D47" t="str">
            <v>January</v>
          </cell>
        </row>
        <row r="48">
          <cell r="D48" t="str">
            <v>February</v>
          </cell>
        </row>
        <row r="49">
          <cell r="D49" t="str">
            <v>March</v>
          </cell>
        </row>
        <row r="50">
          <cell r="D50" t="str">
            <v>April</v>
          </cell>
        </row>
        <row r="51">
          <cell r="D51" t="str">
            <v>May</v>
          </cell>
        </row>
        <row r="52">
          <cell r="D52" t="str">
            <v>June</v>
          </cell>
        </row>
        <row r="53">
          <cell r="D53" t="str">
            <v>July</v>
          </cell>
        </row>
        <row r="54">
          <cell r="D54" t="str">
            <v>August</v>
          </cell>
        </row>
        <row r="55">
          <cell r="D55" t="str">
            <v>September</v>
          </cell>
        </row>
        <row r="56">
          <cell r="D56" t="str">
            <v>October</v>
          </cell>
        </row>
        <row r="57">
          <cell r="D57" t="str">
            <v>November</v>
          </cell>
        </row>
        <row r="58">
          <cell r="D58" t="str">
            <v>December</v>
          </cell>
        </row>
        <row r="63">
          <cell r="D63" t="str">
            <v>$Billions</v>
          </cell>
        </row>
        <row r="64">
          <cell r="D64" t="str">
            <v>$Millions</v>
          </cell>
        </row>
        <row r="65">
          <cell r="D65" t="str">
            <v>$'000</v>
          </cell>
        </row>
        <row r="66">
          <cell r="D66" t="str">
            <v>$</v>
          </cell>
        </row>
        <row r="77">
          <cell r="D77" t="str">
            <v>Annual</v>
          </cell>
        </row>
        <row r="78">
          <cell r="D78" t="str">
            <v>Semi-Annual</v>
          </cell>
        </row>
        <row r="79">
          <cell r="D79" t="str">
            <v>Quarterly</v>
          </cell>
        </row>
        <row r="80">
          <cell r="D80" t="str">
            <v>Monthly</v>
          </cell>
        </row>
        <row r="85">
          <cell r="D85" t="str">
            <v>Year</v>
          </cell>
        </row>
        <row r="86">
          <cell r="D86" t="str">
            <v>Half Year</v>
          </cell>
        </row>
        <row r="87">
          <cell r="D87" t="str">
            <v>Quarter</v>
          </cell>
        </row>
        <row r="88">
          <cell r="D88" t="str">
            <v>Month</v>
          </cell>
        </row>
        <row r="93">
          <cell r="D93">
            <v>1</v>
          </cell>
        </row>
        <row r="94">
          <cell r="D94">
            <v>2</v>
          </cell>
        </row>
        <row r="95">
          <cell r="D95">
            <v>4</v>
          </cell>
        </row>
        <row r="96">
          <cell r="D96">
            <v>12</v>
          </cell>
        </row>
      </sheetData>
      <sheetData sheetId="26">
        <row r="12">
          <cell r="D12" t="str">
            <v>% of NPAT</v>
          </cell>
        </row>
        <row r="13">
          <cell r="D13" t="str">
            <v>Assume Dividend Amounts</v>
          </cell>
        </row>
      </sheetData>
      <sheetData sheetId="2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dex"/>
      <sheetName val="Sum"/>
      <sheetName val="LTM"/>
      <sheetName val="P&amp;L"/>
      <sheetName val="BS"/>
      <sheetName val="CFS"/>
      <sheetName val="Assump"/>
      <sheetName val="Depr"/>
      <sheetName val="Amort"/>
      <sheetName val="Debt"/>
      <sheetName val="Conv. Debt"/>
      <sheetName val="Preferred"/>
      <sheetName val="Conv. Pref."/>
      <sheetName val="Tax"/>
      <sheetName val="Options"/>
      <sheetName val="Shares Outstanding"/>
      <sheetName val="Firm Value"/>
      <sheetName val="Premium"/>
      <sheetName val="DCF_10"/>
      <sheetName val="DCF_5"/>
      <sheetName val="Comps"/>
      <sheetName val="LBO"/>
      <sheetName val="HighYield"/>
      <sheetName val="CitiFin"/>
      <sheetName val="EVA"/>
      <sheetName val="Check"/>
      <sheetName val="Print Controls"/>
      <sheetName val="Print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 1"/>
      <sheetName val="Assumptions"/>
      <sheetName val="Tab 2"/>
      <sheetName val="Project P&amp;L"/>
      <sheetName val="Tab 3"/>
      <sheetName val="Partnership Alloc."/>
      <sheetName val="Tab 4"/>
      <sheetName val="Rev and O&amp;M"/>
      <sheetName val="Download"/>
    </sheetNames>
    <sheetDataSet>
      <sheetData sheetId="0" refreshError="1"/>
      <sheetData sheetId="1" refreshError="1"/>
      <sheetData sheetId="2">
        <row r="54">
          <cell r="J54">
            <v>0.35</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er Summary"/>
      <sheetName val="Key Assumptions"/>
      <sheetName val="Master Trend Sheet"/>
      <sheetName val="Summary Cash Flows"/>
      <sheetName val="Investment Plan"/>
      <sheetName val="P&amp;L and Cash Flow"/>
      <sheetName val="Existing Vertex Assets and Cash"/>
      <sheetName val="Plant Ops Cost"/>
      <sheetName val="Sensitivity"/>
      <sheetName val=" CapEx forecast - Vertex "/>
      <sheetName val="MG OPEX - Vertex "/>
      <sheetName val="Vertex additional CapEx"/>
      <sheetName val="Plant OH"/>
      <sheetName val="Org-Salary Structure"/>
      <sheetName val="Debt Service"/>
      <sheetName val="Margins"/>
      <sheetName val="Lease costs"/>
      <sheetName val="WTI NYMEX Futures May 24 2017"/>
      <sheetName val="Vertex's WTI &amp; Commodity price"/>
      <sheetName val="Macrotrends-crude-oil-prices"/>
      <sheetName val="Base Oil Trends"/>
      <sheetName val="Naptha"/>
      <sheetName val="Kerosene"/>
      <sheetName val="MG Inside Tanks"/>
      <sheetName val="MG Outside Tanks"/>
      <sheetName val="Labor and Barge - vertex"/>
      <sheetName val="Paulsboro HT Equipment"/>
    </sheetNames>
    <sheetDataSet>
      <sheetData sheetId="0"/>
      <sheetData sheetId="1">
        <row r="27">
          <cell r="C27">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K20">
            <v>51.751666666666672</v>
          </cell>
        </row>
        <row r="32">
          <cell r="K32">
            <v>51.161666666666655</v>
          </cell>
        </row>
        <row r="44">
          <cell r="K44">
            <v>51.287500000000001</v>
          </cell>
        </row>
        <row r="56">
          <cell r="K56">
            <v>52.04666666666666</v>
          </cell>
        </row>
        <row r="68">
          <cell r="K68">
            <v>53.169166666666662</v>
          </cell>
        </row>
        <row r="70">
          <cell r="K70">
            <v>54.545000000000002</v>
          </cell>
        </row>
        <row r="72">
          <cell r="K72">
            <v>55.39</v>
          </cell>
        </row>
        <row r="74">
          <cell r="K74">
            <v>55.924999999999997</v>
          </cell>
        </row>
      </sheetData>
      <sheetData sheetId="18">
        <row r="18">
          <cell r="AH18">
            <v>2.7237966101694915</v>
          </cell>
          <cell r="AI18">
            <v>2.7265084745762711</v>
          </cell>
          <cell r="AJ18">
            <v>2.7400677966101692</v>
          </cell>
          <cell r="AK18">
            <v>2.7189152542372881</v>
          </cell>
          <cell r="AL18">
            <v>2.7227118644067798</v>
          </cell>
          <cell r="AM18">
            <v>2.738983050847458</v>
          </cell>
          <cell r="AN18">
            <v>2.8127457627118648</v>
          </cell>
          <cell r="AO18">
            <v>2.7042711864406783</v>
          </cell>
          <cell r="AP18">
            <v>2.865898305084746</v>
          </cell>
          <cell r="AQ18">
            <v>2.8257627118644066</v>
          </cell>
          <cell r="AR18">
            <v>2.7124067796610167</v>
          </cell>
        </row>
        <row r="19">
          <cell r="AH19">
            <v>2.7237966101694915</v>
          </cell>
          <cell r="AI19">
            <v>2.7265084745762711</v>
          </cell>
          <cell r="AJ19">
            <v>2.7400677966101692</v>
          </cell>
          <cell r="AK19">
            <v>2.7189152542372881</v>
          </cell>
          <cell r="AL19">
            <v>2.7227118644067798</v>
          </cell>
          <cell r="AM19">
            <v>2.738983050847458</v>
          </cell>
          <cell r="AN19">
            <v>2.8127457627118648</v>
          </cell>
          <cell r="AO19">
            <v>2.7042711864406783</v>
          </cell>
          <cell r="AP19">
            <v>2.865898305084746</v>
          </cell>
          <cell r="AQ19">
            <v>2.8257627118644066</v>
          </cell>
          <cell r="AR19">
            <v>2.7124067796610167</v>
          </cell>
        </row>
        <row r="20">
          <cell r="AH20">
            <v>2.8139222333000995</v>
          </cell>
          <cell r="AI20">
            <v>2.8167238285144567</v>
          </cell>
          <cell r="AJ20">
            <v>2.8307318045862409</v>
          </cell>
          <cell r="AK20">
            <v>2.8088793619142569</v>
          </cell>
          <cell r="AL20">
            <v>2.8128015952143568</v>
          </cell>
          <cell r="AM20">
            <v>2.8296111665004982</v>
          </cell>
          <cell r="AN20">
            <v>2.9058145563310065</v>
          </cell>
          <cell r="AO20">
            <v>2.7937507477567292</v>
          </cell>
          <cell r="AP20">
            <v>2.9607258225324022</v>
          </cell>
          <cell r="AQ20">
            <v>2.9192622133599193</v>
          </cell>
          <cell r="AR20">
            <v>2.8021555333997998</v>
          </cell>
        </row>
        <row r="22">
          <cell r="AH22">
            <v>429.93700000000001</v>
          </cell>
          <cell r="AI22">
            <v>428.142</v>
          </cell>
          <cell r="AJ22">
            <v>425.55599999999998</v>
          </cell>
          <cell r="AK22">
            <v>423.447</v>
          </cell>
          <cell r="AL22">
            <v>422.745</v>
          </cell>
          <cell r="AM22">
            <v>422.09699999999998</v>
          </cell>
          <cell r="AN22">
            <v>421.57900000000001</v>
          </cell>
          <cell r="AO22">
            <v>421.12799999999999</v>
          </cell>
          <cell r="AP22">
            <v>420.23099999999999</v>
          </cell>
          <cell r="AQ22">
            <v>419.815</v>
          </cell>
          <cell r="AR22">
            <v>419.279</v>
          </cell>
        </row>
      </sheetData>
      <sheetData sheetId="19">
        <row r="9">
          <cell r="AN9">
            <v>58.1</v>
          </cell>
          <cell r="AO9">
            <v>73</v>
          </cell>
          <cell r="AP9">
            <v>76</v>
          </cell>
          <cell r="AQ9">
            <v>78</v>
          </cell>
          <cell r="AR9">
            <v>81</v>
          </cell>
          <cell r="AS9">
            <v>82</v>
          </cell>
          <cell r="AT9">
            <v>83</v>
          </cell>
          <cell r="AU9">
            <v>85</v>
          </cell>
          <cell r="AV9">
            <v>85</v>
          </cell>
          <cell r="AW9">
            <v>86</v>
          </cell>
          <cell r="AX9">
            <v>88</v>
          </cell>
          <cell r="AY9">
            <v>90.5</v>
          </cell>
          <cell r="AZ9">
            <v>91</v>
          </cell>
          <cell r="BA9">
            <v>92</v>
          </cell>
          <cell r="BB9">
            <v>92.5</v>
          </cell>
          <cell r="BC9">
            <v>93</v>
          </cell>
        </row>
      </sheetData>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hyperlink" Target="https://www.mylubrizol.com/"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5"/>
  <sheetViews>
    <sheetView zoomScale="140" zoomScaleNormal="140" zoomScalePageLayoutView="140" workbookViewId="0">
      <selection activeCell="F16" sqref="F16"/>
    </sheetView>
  </sheetViews>
  <sheetFormatPr defaultColWidth="8.85546875" defaultRowHeight="15"/>
  <cols>
    <col min="1" max="1" width="2.85546875" customWidth="1"/>
    <col min="2" max="2" width="46.42578125" customWidth="1"/>
    <col min="3" max="3" width="12.85546875" customWidth="1"/>
    <col min="4" max="5" width="10.85546875" customWidth="1"/>
    <col min="6" max="6" width="18.85546875" customWidth="1"/>
  </cols>
  <sheetData>
    <row r="1" spans="1:6" ht="15.75">
      <c r="A1" s="213" t="s">
        <v>261</v>
      </c>
      <c r="B1" s="13"/>
      <c r="C1" s="13"/>
      <c r="D1" s="13"/>
      <c r="E1" s="13"/>
      <c r="F1" s="13"/>
    </row>
    <row r="2" spans="1:6" ht="15.75">
      <c r="A2" s="213"/>
      <c r="B2" s="13" t="s">
        <v>264</v>
      </c>
      <c r="C2" s="13"/>
      <c r="D2" s="13"/>
      <c r="E2" s="13"/>
      <c r="F2" s="13"/>
    </row>
    <row r="3" spans="1:6">
      <c r="A3" s="13"/>
      <c r="B3" s="13"/>
      <c r="C3" s="13"/>
      <c r="D3" s="13"/>
      <c r="E3" s="13"/>
      <c r="F3" s="13"/>
    </row>
    <row r="4" spans="1:6">
      <c r="A4" s="13"/>
      <c r="B4" s="224" t="s">
        <v>255</v>
      </c>
      <c r="C4" s="225" t="s">
        <v>195</v>
      </c>
      <c r="D4" s="13"/>
      <c r="E4" s="13"/>
      <c r="F4" s="13"/>
    </row>
    <row r="5" spans="1:6">
      <c r="A5" s="13"/>
      <c r="B5" s="10" t="s">
        <v>280</v>
      </c>
      <c r="C5" s="214">
        <v>5000000</v>
      </c>
      <c r="D5" s="13"/>
      <c r="E5" s="13"/>
      <c r="F5" s="13"/>
    </row>
    <row r="6" spans="1:6">
      <c r="A6" s="13"/>
      <c r="B6" s="13" t="s">
        <v>234</v>
      </c>
      <c r="C6" s="89">
        <v>5000000</v>
      </c>
      <c r="D6" s="13"/>
      <c r="E6" s="13"/>
      <c r="F6" s="13"/>
    </row>
    <row r="7" spans="1:6">
      <c r="A7" s="13"/>
      <c r="B7" s="12" t="s">
        <v>281</v>
      </c>
      <c r="C7" s="89">
        <f>'Investment Plan'!E12</f>
        <v>5000000</v>
      </c>
      <c r="D7" s="13"/>
      <c r="E7" s="13"/>
      <c r="F7" s="13"/>
    </row>
    <row r="8" spans="1:6">
      <c r="A8" s="13"/>
      <c r="B8" s="12" t="s">
        <v>354</v>
      </c>
      <c r="C8" s="89">
        <v>5000000</v>
      </c>
      <c r="D8" s="13"/>
      <c r="E8" s="13"/>
      <c r="F8" s="13"/>
    </row>
    <row r="9" spans="1:6">
      <c r="A9" s="13"/>
      <c r="B9" s="12" t="s">
        <v>282</v>
      </c>
      <c r="C9" s="89">
        <f>'Investment Plan'!E6+'Investment Plan'!E7+'Investment Plan'!E8+'Investment Plan'!E9+'Investment Plan'!E10+'Investment Plan'!E11</f>
        <v>1690000</v>
      </c>
      <c r="D9" s="13"/>
      <c r="E9" s="13"/>
      <c r="F9" s="13"/>
    </row>
    <row r="10" spans="1:6">
      <c r="A10" s="13"/>
      <c r="B10" s="12" t="s">
        <v>235</v>
      </c>
      <c r="C10" s="89">
        <f>'Investment Plan'!E17</f>
        <v>1500000</v>
      </c>
      <c r="D10" s="13"/>
      <c r="E10" s="13"/>
      <c r="F10" s="13"/>
    </row>
    <row r="11" spans="1:6">
      <c r="A11" s="13"/>
      <c r="B11" s="220" t="s">
        <v>283</v>
      </c>
      <c r="C11" s="90">
        <f>0.06*SUM(C5:C10)</f>
        <v>1391400</v>
      </c>
      <c r="D11" s="13"/>
      <c r="E11" s="13"/>
    </row>
    <row r="12" spans="1:6">
      <c r="A12" s="13"/>
      <c r="B12" s="88" t="s">
        <v>256</v>
      </c>
      <c r="C12" s="91">
        <f>SUM(C5:C11)</f>
        <v>24581400</v>
      </c>
      <c r="D12" s="13"/>
      <c r="E12" s="13"/>
      <c r="F12" s="13"/>
    </row>
    <row r="13" spans="1:6">
      <c r="A13" s="13"/>
      <c r="B13" s="13"/>
      <c r="C13" s="14"/>
      <c r="D13" s="13"/>
      <c r="E13" s="13"/>
      <c r="F13" s="13"/>
    </row>
    <row r="14" spans="1:6">
      <c r="A14" s="13"/>
      <c r="B14" s="224" t="s">
        <v>250</v>
      </c>
      <c r="C14" s="78" t="s">
        <v>195</v>
      </c>
      <c r="D14" s="13"/>
      <c r="E14" s="13"/>
      <c r="F14" s="13"/>
    </row>
    <row r="15" spans="1:6">
      <c r="A15" s="13"/>
      <c r="B15" s="13" t="s">
        <v>196</v>
      </c>
      <c r="C15" s="322">
        <v>10000000</v>
      </c>
      <c r="D15" s="13"/>
      <c r="E15" s="13"/>
      <c r="F15" s="13"/>
    </row>
    <row r="16" spans="1:6">
      <c r="A16" s="13"/>
      <c r="B16" s="13"/>
      <c r="C16" s="15"/>
      <c r="D16" s="13"/>
      <c r="E16" s="13"/>
      <c r="F16" s="13"/>
    </row>
    <row r="17" spans="1:6">
      <c r="A17" s="13"/>
      <c r="B17" s="92" t="s">
        <v>135</v>
      </c>
      <c r="C17" s="273">
        <f>C15/C12</f>
        <v>0.40681165434027355</v>
      </c>
      <c r="D17" s="13"/>
      <c r="E17" s="13"/>
      <c r="F17" s="13"/>
    </row>
    <row r="18" spans="1:6">
      <c r="A18" s="13"/>
      <c r="B18" s="13"/>
      <c r="C18" s="15"/>
      <c r="D18" s="216"/>
      <c r="E18" s="215"/>
      <c r="F18" s="13"/>
    </row>
    <row r="19" spans="1:6">
      <c r="A19" s="13"/>
      <c r="B19" s="13"/>
      <c r="C19" s="13"/>
      <c r="D19" s="13"/>
      <c r="E19" s="13"/>
      <c r="F19" s="15"/>
    </row>
    <row r="20" spans="1:6">
      <c r="A20" s="13"/>
      <c r="B20" s="274" t="s">
        <v>16</v>
      </c>
      <c r="C20" s="275">
        <v>0.04</v>
      </c>
      <c r="D20" s="13"/>
      <c r="E20" s="291" t="s">
        <v>271</v>
      </c>
      <c r="F20" s="288"/>
    </row>
    <row r="21" spans="1:6">
      <c r="A21" s="13"/>
      <c r="B21" s="276" t="s">
        <v>17</v>
      </c>
      <c r="C21" s="277">
        <v>12</v>
      </c>
      <c r="D21" s="13"/>
      <c r="E21" s="316">
        <f>'Summary Cash Flows'!C41</f>
        <v>0.37038461930035282</v>
      </c>
      <c r="F21" s="289" t="s">
        <v>226</v>
      </c>
    </row>
    <row r="22" spans="1:6">
      <c r="A22" s="13"/>
      <c r="B22" s="278" t="s">
        <v>18</v>
      </c>
      <c r="C22" s="279">
        <v>24</v>
      </c>
      <c r="D22" s="13"/>
      <c r="E22" s="317">
        <f>Sensitivity!C87</f>
        <v>0.20668425570298909</v>
      </c>
      <c r="F22" s="290" t="s">
        <v>227</v>
      </c>
    </row>
    <row r="23" spans="1:6" ht="15.75" thickBot="1">
      <c r="A23" s="13"/>
      <c r="B23" s="13"/>
      <c r="C23" s="13"/>
      <c r="D23" s="217"/>
      <c r="E23" s="13"/>
      <c r="F23" s="13"/>
    </row>
    <row r="24" spans="1:6" ht="15.75" thickBot="1">
      <c r="A24" s="13"/>
      <c r="B24" s="16" t="s">
        <v>350</v>
      </c>
      <c r="C24" s="318">
        <f>'Summary Cash Flows'!C28</f>
        <v>0.23865288214046254</v>
      </c>
      <c r="D24" s="218"/>
      <c r="E24" s="13"/>
      <c r="F24" s="13"/>
    </row>
    <row r="25" spans="1:6" ht="15.75" thickBot="1">
      <c r="A25" s="13"/>
      <c r="B25" s="16" t="s">
        <v>351</v>
      </c>
      <c r="C25" s="318">
        <f>'Summary Cash Flows'!C41</f>
        <v>0.37038461930035282</v>
      </c>
      <c r="D25" s="219"/>
      <c r="E25" s="13"/>
      <c r="F25" s="13"/>
    </row>
    <row r="26" spans="1:6">
      <c r="A26" s="13"/>
      <c r="B26" s="13"/>
      <c r="C26" s="13"/>
      <c r="D26" s="219"/>
      <c r="E26" s="13"/>
      <c r="F26" s="13"/>
    </row>
    <row r="27" spans="1:6">
      <c r="A27" s="13"/>
      <c r="B27" s="226" t="s">
        <v>284</v>
      </c>
      <c r="C27" s="226" t="s">
        <v>194</v>
      </c>
      <c r="D27" s="219"/>
      <c r="E27" s="13"/>
      <c r="F27" s="13"/>
    </row>
    <row r="28" spans="1:6">
      <c r="A28" s="13"/>
      <c r="B28" s="17" t="s">
        <v>285</v>
      </c>
      <c r="C28" s="324">
        <v>0.9</v>
      </c>
      <c r="D28" s="219"/>
      <c r="E28" s="13"/>
      <c r="F28" s="13"/>
    </row>
    <row r="29" spans="1:6">
      <c r="A29" s="13"/>
      <c r="B29" s="220" t="s">
        <v>286</v>
      </c>
      <c r="C29" s="304">
        <f>100%-C28</f>
        <v>9.9999999999999978E-2</v>
      </c>
      <c r="D29" s="219"/>
      <c r="E29" s="13"/>
      <c r="F29" s="13"/>
    </row>
    <row r="30" spans="1:6">
      <c r="A30" s="13"/>
      <c r="B30" s="13"/>
      <c r="C30" s="223">
        <f>SUM(C28:C29)</f>
        <v>1</v>
      </c>
      <c r="D30" s="93"/>
      <c r="E30" s="93"/>
      <c r="F30" s="221"/>
    </row>
    <row r="31" spans="1:6">
      <c r="A31" s="13"/>
      <c r="B31" s="13"/>
      <c r="C31" s="13"/>
      <c r="D31" s="13"/>
      <c r="E31" s="13"/>
      <c r="F31" s="13"/>
    </row>
    <row r="32" spans="1:6">
      <c r="A32" s="13"/>
      <c r="B32" s="226" t="s">
        <v>257</v>
      </c>
      <c r="C32" s="226" t="s">
        <v>194</v>
      </c>
      <c r="D32" s="13"/>
      <c r="E32" s="13"/>
    </row>
    <row r="33" spans="1:6">
      <c r="A33" s="13"/>
      <c r="B33" s="17" t="s">
        <v>89</v>
      </c>
      <c r="C33" s="324">
        <v>0.2</v>
      </c>
      <c r="D33" s="222"/>
      <c r="E33" s="13"/>
    </row>
    <row r="34" spans="1:6">
      <c r="A34" s="13"/>
      <c r="B34" s="220" t="s">
        <v>30</v>
      </c>
      <c r="C34" s="304">
        <f>100%-C33</f>
        <v>0.8</v>
      </c>
      <c r="D34" s="222"/>
      <c r="E34" s="13"/>
      <c r="F34" s="13"/>
    </row>
    <row r="35" spans="1:6">
      <c r="A35" s="13"/>
      <c r="B35" s="13"/>
      <c r="C35" s="223">
        <f>SUM(C33:C34)</f>
        <v>1</v>
      </c>
      <c r="D35" s="13"/>
      <c r="E35" s="13"/>
      <c r="F35" s="13"/>
    </row>
  </sheetData>
  <phoneticPr fontId="26" type="noConversion"/>
  <printOptions horizontalCentered="1"/>
  <pageMargins left="0.19685039370078741" right="0.19685039370078741" top="0.39370078740157483" bottom="0.19685039370078741" header="0.30000000000000004" footer="0.30000000000000004"/>
  <pageSetup scale="98" orientation="portrait" horizontalDpi="4294967293" verticalDpi="429496729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48"/>
  <sheetViews>
    <sheetView topLeftCell="A130" zoomScale="125" zoomScaleNormal="125" zoomScalePageLayoutView="125" workbookViewId="0">
      <selection activeCell="H90" sqref="H90"/>
    </sheetView>
  </sheetViews>
  <sheetFormatPr defaultColWidth="11.42578125" defaultRowHeight="15"/>
  <cols>
    <col min="3" max="3" width="11.85546875" bestFit="1" customWidth="1"/>
    <col min="4" max="4" width="1.85546875" customWidth="1"/>
    <col min="5" max="5" width="6.85546875" customWidth="1"/>
    <col min="7" max="7" width="13.85546875" bestFit="1" customWidth="1"/>
    <col min="8" max="8" width="8.28515625" bestFit="1" customWidth="1"/>
    <col min="9" max="9" width="9" bestFit="1" customWidth="1"/>
    <col min="10" max="10" width="11.85546875" bestFit="1" customWidth="1"/>
  </cols>
  <sheetData>
    <row r="1" spans="1:10" ht="15.75">
      <c r="A1" s="213" t="s">
        <v>198</v>
      </c>
      <c r="B1" s="13"/>
      <c r="C1" s="13"/>
      <c r="D1" s="13"/>
      <c r="E1" s="13"/>
      <c r="F1" s="13"/>
      <c r="G1" s="13"/>
      <c r="H1" s="13"/>
      <c r="I1" s="13"/>
      <c r="J1" s="13"/>
    </row>
    <row r="2" spans="1:10" ht="15.75">
      <c r="A2" s="213"/>
      <c r="B2" s="13"/>
      <c r="C2" s="13"/>
      <c r="D2" s="13"/>
      <c r="E2" s="13"/>
      <c r="F2" s="13"/>
      <c r="G2" s="13"/>
      <c r="H2" s="13"/>
      <c r="I2" s="13"/>
      <c r="J2" s="13"/>
    </row>
    <row r="3" spans="1:10" ht="16.5" thickBot="1">
      <c r="A3" s="213"/>
      <c r="B3" s="13"/>
      <c r="C3" s="13"/>
      <c r="D3" s="13"/>
      <c r="E3" s="13"/>
      <c r="F3" s="13"/>
      <c r="G3" s="13"/>
      <c r="H3" s="13"/>
      <c r="I3" s="13"/>
      <c r="J3" s="13"/>
    </row>
    <row r="4" spans="1:10" ht="15.75">
      <c r="A4" s="254" t="s">
        <v>132</v>
      </c>
      <c r="B4" s="255"/>
      <c r="C4" s="256">
        <f>Offering!C15</f>
        <v>10000000</v>
      </c>
      <c r="D4" s="13"/>
      <c r="E4" s="87" t="s">
        <v>139</v>
      </c>
      <c r="F4" s="87" t="s">
        <v>140</v>
      </c>
      <c r="G4" s="87" t="s">
        <v>142</v>
      </c>
      <c r="H4" s="87" t="s">
        <v>131</v>
      </c>
      <c r="I4" s="87" t="s">
        <v>141</v>
      </c>
      <c r="J4" s="87" t="s">
        <v>143</v>
      </c>
    </row>
    <row r="5" spans="1:10">
      <c r="A5" s="257" t="s">
        <v>136</v>
      </c>
      <c r="B5" s="17"/>
      <c r="C5" s="258">
        <f>Offering!C21*12</f>
        <v>144</v>
      </c>
      <c r="D5" s="13"/>
      <c r="E5" s="94">
        <v>1</v>
      </c>
      <c r="F5" s="95">
        <v>43159</v>
      </c>
      <c r="G5" s="366">
        <v>10000000</v>
      </c>
      <c r="H5" s="2"/>
      <c r="I5" s="359"/>
      <c r="J5" s="359"/>
    </row>
    <row r="6" spans="1:10" ht="15.75">
      <c r="A6" s="259" t="s">
        <v>137</v>
      </c>
      <c r="B6" s="17"/>
      <c r="C6" s="258">
        <v>24</v>
      </c>
      <c r="D6" s="13"/>
      <c r="E6" s="94">
        <v>2</v>
      </c>
      <c r="F6" s="95">
        <v>43190</v>
      </c>
      <c r="G6" s="366">
        <v>10000000</v>
      </c>
      <c r="H6" s="2">
        <f t="shared" ref="H6:H16" si="0">(G6*$C$9)*(F6-F5)/365</f>
        <v>50958.904109589042</v>
      </c>
      <c r="I6" s="359"/>
      <c r="J6" s="359"/>
    </row>
    <row r="7" spans="1:10" ht="15.75">
      <c r="A7" s="259" t="s">
        <v>138</v>
      </c>
      <c r="B7" s="17"/>
      <c r="C7" s="258">
        <f>C5-C6</f>
        <v>120</v>
      </c>
      <c r="D7" s="13"/>
      <c r="E7" s="94">
        <v>3</v>
      </c>
      <c r="F7" s="95">
        <v>43220</v>
      </c>
      <c r="G7" s="366">
        <v>10000000</v>
      </c>
      <c r="H7" s="2">
        <f t="shared" si="0"/>
        <v>49315.068493150684</v>
      </c>
      <c r="I7" s="359"/>
      <c r="J7" s="359"/>
    </row>
    <row r="8" spans="1:10" ht="15.75">
      <c r="A8" s="259" t="s">
        <v>133</v>
      </c>
      <c r="B8" s="17"/>
      <c r="C8" s="260">
        <f>PMT(C9/12,C7,-C4,0)</f>
        <v>111020.50194164945</v>
      </c>
      <c r="D8" s="13"/>
      <c r="E8" s="94">
        <v>4</v>
      </c>
      <c r="F8" s="95">
        <v>43251</v>
      </c>
      <c r="G8" s="366">
        <v>10000000</v>
      </c>
      <c r="H8" s="2">
        <f t="shared" si="0"/>
        <v>50958.904109589042</v>
      </c>
      <c r="I8" s="359"/>
      <c r="J8" s="359"/>
    </row>
    <row r="9" spans="1:10" ht="16.5" thickBot="1">
      <c r="A9" s="261" t="s">
        <v>134</v>
      </c>
      <c r="B9" s="18"/>
      <c r="C9" s="262">
        <v>0.06</v>
      </c>
      <c r="D9" s="13"/>
      <c r="E9" s="94">
        <v>5</v>
      </c>
      <c r="F9" s="95">
        <v>43281</v>
      </c>
      <c r="G9" s="366">
        <v>10000000</v>
      </c>
      <c r="H9" s="2">
        <f t="shared" si="0"/>
        <v>49315.068493150684</v>
      </c>
      <c r="I9" s="359"/>
      <c r="J9" s="359"/>
    </row>
    <row r="10" spans="1:10" ht="15.75">
      <c r="A10" s="213"/>
      <c r="B10" s="13"/>
      <c r="C10" s="13"/>
      <c r="D10" s="13"/>
      <c r="E10" s="94">
        <v>6</v>
      </c>
      <c r="F10" s="95">
        <v>43312</v>
      </c>
      <c r="G10" s="366">
        <v>10000000</v>
      </c>
      <c r="H10" s="2">
        <f t="shared" si="0"/>
        <v>50958.904109589042</v>
      </c>
      <c r="I10" s="359"/>
      <c r="J10" s="359"/>
    </row>
    <row r="11" spans="1:10" ht="15.75">
      <c r="A11" s="213"/>
      <c r="B11" s="13"/>
      <c r="C11" s="13"/>
      <c r="D11" s="13"/>
      <c r="E11" s="94">
        <v>7</v>
      </c>
      <c r="F11" s="95">
        <v>43343</v>
      </c>
      <c r="G11" s="366">
        <v>10000000</v>
      </c>
      <c r="H11" s="2">
        <f t="shared" si="0"/>
        <v>50958.904109589042</v>
      </c>
      <c r="I11" s="359"/>
      <c r="J11" s="359"/>
    </row>
    <row r="12" spans="1:10">
      <c r="A12" s="13"/>
      <c r="B12" s="13"/>
      <c r="C12" s="13"/>
      <c r="D12" s="13"/>
      <c r="E12" s="94">
        <v>8</v>
      </c>
      <c r="F12" s="95">
        <v>43373</v>
      </c>
      <c r="G12" s="366">
        <v>10000000</v>
      </c>
      <c r="H12" s="2">
        <f t="shared" si="0"/>
        <v>49315.068493150684</v>
      </c>
      <c r="I12" s="359"/>
      <c r="J12" s="359"/>
    </row>
    <row r="13" spans="1:10">
      <c r="A13" s="13"/>
      <c r="B13" s="13"/>
      <c r="C13" s="13"/>
      <c r="D13" s="13"/>
      <c r="E13" s="94">
        <v>9</v>
      </c>
      <c r="F13" s="95">
        <v>43404</v>
      </c>
      <c r="G13" s="366">
        <v>10000000</v>
      </c>
      <c r="H13" s="2">
        <f t="shared" si="0"/>
        <v>50958.904109589042</v>
      </c>
      <c r="I13" s="359"/>
      <c r="J13" s="359"/>
    </row>
    <row r="14" spans="1:10">
      <c r="A14" s="13"/>
      <c r="B14" s="13"/>
      <c r="C14" s="13"/>
      <c r="D14" s="13"/>
      <c r="E14" s="94">
        <v>10</v>
      </c>
      <c r="F14" s="95">
        <v>43434</v>
      </c>
      <c r="G14" s="366">
        <v>10000000</v>
      </c>
      <c r="H14" s="2">
        <f t="shared" si="0"/>
        <v>49315.068493150684</v>
      </c>
      <c r="I14" s="359"/>
      <c r="J14" s="359"/>
    </row>
    <row r="15" spans="1:10">
      <c r="A15" s="13"/>
      <c r="B15" s="13"/>
      <c r="C15" s="13"/>
      <c r="D15" s="13"/>
      <c r="E15" s="94">
        <v>11</v>
      </c>
      <c r="F15" s="95">
        <v>43465</v>
      </c>
      <c r="G15" s="366">
        <v>10000000</v>
      </c>
      <c r="H15" s="2">
        <f t="shared" si="0"/>
        <v>50958.904109589042</v>
      </c>
      <c r="I15" s="359"/>
      <c r="J15" s="359"/>
    </row>
    <row r="16" spans="1:10">
      <c r="A16" s="13"/>
      <c r="B16" s="13"/>
      <c r="C16" s="13"/>
      <c r="D16" s="13"/>
      <c r="E16" s="363">
        <v>12</v>
      </c>
      <c r="F16" s="364">
        <v>43496</v>
      </c>
      <c r="G16" s="367">
        <v>10000000</v>
      </c>
      <c r="H16" s="85">
        <f t="shared" si="0"/>
        <v>50958.904109589042</v>
      </c>
      <c r="I16" s="365"/>
      <c r="J16" s="365"/>
    </row>
    <row r="17" spans="1:10">
      <c r="A17" s="13"/>
      <c r="B17" s="13"/>
      <c r="C17" s="13"/>
      <c r="D17" s="13"/>
      <c r="E17" s="4">
        <v>13</v>
      </c>
      <c r="F17" s="368">
        <v>43524</v>
      </c>
      <c r="G17" s="2">
        <f>C4</f>
        <v>10000000</v>
      </c>
      <c r="H17" s="2">
        <f>(G17*$C$9)*(F17-F16)/365</f>
        <v>46027.397260273974</v>
      </c>
      <c r="I17" s="2">
        <v>0</v>
      </c>
      <c r="J17" s="2">
        <f>G17-I17</f>
        <v>10000000</v>
      </c>
    </row>
    <row r="18" spans="1:10">
      <c r="A18" s="13"/>
      <c r="B18" s="13"/>
      <c r="C18" s="13"/>
      <c r="D18" s="13"/>
      <c r="E18" s="4">
        <v>14</v>
      </c>
      <c r="F18" s="368">
        <v>43555</v>
      </c>
      <c r="G18" s="2">
        <f>J17</f>
        <v>10000000</v>
      </c>
      <c r="H18" s="2">
        <f t="shared" ref="H18:H81" si="1">(G18*$C$9)*(F18-F17)/365</f>
        <v>50958.904109589042</v>
      </c>
      <c r="I18" s="2">
        <v>0</v>
      </c>
      <c r="J18" s="2">
        <f t="shared" ref="J18:J81" si="2">G18-I18</f>
        <v>10000000</v>
      </c>
    </row>
    <row r="19" spans="1:10">
      <c r="A19" s="13"/>
      <c r="B19" s="13"/>
      <c r="C19" s="13"/>
      <c r="D19" s="13"/>
      <c r="E19" s="4">
        <v>15</v>
      </c>
      <c r="F19" s="368">
        <v>43585</v>
      </c>
      <c r="G19" s="2">
        <f t="shared" ref="G19:G82" si="3">J18</f>
        <v>10000000</v>
      </c>
      <c r="H19" s="2">
        <f t="shared" si="1"/>
        <v>49315.068493150684</v>
      </c>
      <c r="I19" s="2">
        <v>0</v>
      </c>
      <c r="J19" s="2">
        <f t="shared" si="2"/>
        <v>10000000</v>
      </c>
    </row>
    <row r="20" spans="1:10">
      <c r="A20" s="13"/>
      <c r="B20" s="13"/>
      <c r="C20" s="13"/>
      <c r="D20" s="13"/>
      <c r="E20" s="4">
        <v>16</v>
      </c>
      <c r="F20" s="368">
        <v>43616</v>
      </c>
      <c r="G20" s="2">
        <f t="shared" si="3"/>
        <v>10000000</v>
      </c>
      <c r="H20" s="2">
        <f t="shared" si="1"/>
        <v>50958.904109589042</v>
      </c>
      <c r="I20" s="2">
        <v>0</v>
      </c>
      <c r="J20" s="2">
        <f t="shared" si="2"/>
        <v>10000000</v>
      </c>
    </row>
    <row r="21" spans="1:10">
      <c r="A21" s="13"/>
      <c r="B21" s="13"/>
      <c r="C21" s="13"/>
      <c r="D21" s="13"/>
      <c r="E21" s="4">
        <v>17</v>
      </c>
      <c r="F21" s="368">
        <v>43646</v>
      </c>
      <c r="G21" s="2">
        <f t="shared" si="3"/>
        <v>10000000</v>
      </c>
      <c r="H21" s="2">
        <f t="shared" si="1"/>
        <v>49315.068493150684</v>
      </c>
      <c r="I21" s="2">
        <v>0</v>
      </c>
      <c r="J21" s="2">
        <f t="shared" si="2"/>
        <v>10000000</v>
      </c>
    </row>
    <row r="22" spans="1:10">
      <c r="A22" s="13"/>
      <c r="B22" s="13"/>
      <c r="C22" s="13"/>
      <c r="D22" s="13"/>
      <c r="E22" s="4">
        <v>18</v>
      </c>
      <c r="F22" s="368">
        <v>43677</v>
      </c>
      <c r="G22" s="2">
        <f t="shared" si="3"/>
        <v>10000000</v>
      </c>
      <c r="H22" s="2">
        <f t="shared" si="1"/>
        <v>50958.904109589042</v>
      </c>
      <c r="I22" s="2">
        <v>0</v>
      </c>
      <c r="J22" s="2">
        <f t="shared" si="2"/>
        <v>10000000</v>
      </c>
    </row>
    <row r="23" spans="1:10">
      <c r="A23" s="13"/>
      <c r="B23" s="13"/>
      <c r="C23" s="13"/>
      <c r="D23" s="13"/>
      <c r="E23" s="4">
        <v>19</v>
      </c>
      <c r="F23" s="368">
        <v>43708</v>
      </c>
      <c r="G23" s="2">
        <f t="shared" si="3"/>
        <v>10000000</v>
      </c>
      <c r="H23" s="2">
        <f t="shared" si="1"/>
        <v>50958.904109589042</v>
      </c>
      <c r="I23" s="2">
        <v>0</v>
      </c>
      <c r="J23" s="2">
        <f t="shared" si="2"/>
        <v>10000000</v>
      </c>
    </row>
    <row r="24" spans="1:10">
      <c r="A24" s="13"/>
      <c r="B24" s="13"/>
      <c r="C24" s="13"/>
      <c r="D24" s="13"/>
      <c r="E24" s="4">
        <v>20</v>
      </c>
      <c r="F24" s="368">
        <v>43738</v>
      </c>
      <c r="G24" s="2">
        <f t="shared" si="3"/>
        <v>10000000</v>
      </c>
      <c r="H24" s="2">
        <f t="shared" si="1"/>
        <v>49315.068493150684</v>
      </c>
      <c r="I24" s="2">
        <v>0</v>
      </c>
      <c r="J24" s="2">
        <f t="shared" si="2"/>
        <v>10000000</v>
      </c>
    </row>
    <row r="25" spans="1:10">
      <c r="A25" s="13"/>
      <c r="B25" s="13"/>
      <c r="C25" s="13"/>
      <c r="D25" s="13"/>
      <c r="E25" s="4">
        <v>21</v>
      </c>
      <c r="F25" s="368">
        <v>43769</v>
      </c>
      <c r="G25" s="2">
        <f t="shared" si="3"/>
        <v>10000000</v>
      </c>
      <c r="H25" s="2">
        <f t="shared" si="1"/>
        <v>50958.904109589042</v>
      </c>
      <c r="I25" s="2">
        <v>0</v>
      </c>
      <c r="J25" s="2">
        <f t="shared" si="2"/>
        <v>10000000</v>
      </c>
    </row>
    <row r="26" spans="1:10">
      <c r="A26" s="13"/>
      <c r="B26" s="13"/>
      <c r="C26" s="13"/>
      <c r="D26" s="13"/>
      <c r="E26" s="4">
        <v>22</v>
      </c>
      <c r="F26" s="368">
        <v>43799</v>
      </c>
      <c r="G26" s="2">
        <f t="shared" si="3"/>
        <v>10000000</v>
      </c>
      <c r="H26" s="2">
        <f t="shared" si="1"/>
        <v>49315.068493150684</v>
      </c>
      <c r="I26" s="2">
        <v>0</v>
      </c>
      <c r="J26" s="2">
        <f t="shared" si="2"/>
        <v>10000000</v>
      </c>
    </row>
    <row r="27" spans="1:10">
      <c r="A27" s="13"/>
      <c r="B27" s="13"/>
      <c r="C27" s="13"/>
      <c r="D27" s="13"/>
      <c r="E27" s="4">
        <v>23</v>
      </c>
      <c r="F27" s="368">
        <v>43830</v>
      </c>
      <c r="G27" s="2">
        <f t="shared" si="3"/>
        <v>10000000</v>
      </c>
      <c r="H27" s="2">
        <f t="shared" si="1"/>
        <v>50958.904109589042</v>
      </c>
      <c r="I27" s="2">
        <v>0</v>
      </c>
      <c r="J27" s="2">
        <f t="shared" si="2"/>
        <v>10000000</v>
      </c>
    </row>
    <row r="28" spans="1:10">
      <c r="A28" s="13"/>
      <c r="B28" s="13"/>
      <c r="C28" s="13"/>
      <c r="D28" s="13"/>
      <c r="E28" s="7">
        <v>24</v>
      </c>
      <c r="F28" s="369">
        <v>43861</v>
      </c>
      <c r="G28" s="85">
        <f t="shared" si="3"/>
        <v>10000000</v>
      </c>
      <c r="H28" s="85">
        <f t="shared" si="1"/>
        <v>50958.904109589042</v>
      </c>
      <c r="I28" s="85">
        <v>0</v>
      </c>
      <c r="J28" s="85">
        <f t="shared" si="2"/>
        <v>10000000</v>
      </c>
    </row>
    <row r="29" spans="1:10">
      <c r="A29" s="13"/>
      <c r="B29" s="13"/>
      <c r="C29" s="13"/>
      <c r="D29" s="13"/>
      <c r="E29" s="4">
        <v>25</v>
      </c>
      <c r="F29" s="368">
        <v>43890</v>
      </c>
      <c r="G29" s="2">
        <f t="shared" si="3"/>
        <v>10000000</v>
      </c>
      <c r="H29" s="2">
        <f t="shared" si="1"/>
        <v>47671.232876712325</v>
      </c>
      <c r="I29" s="2">
        <f t="shared" ref="I29:I81" si="4">$C$8-H29</f>
        <v>63349.269064937122</v>
      </c>
      <c r="J29" s="2">
        <f t="shared" si="2"/>
        <v>9936650.7309350632</v>
      </c>
    </row>
    <row r="30" spans="1:10">
      <c r="A30" s="13"/>
      <c r="B30" s="13"/>
      <c r="C30" s="13"/>
      <c r="D30" s="13"/>
      <c r="E30" s="4">
        <v>26</v>
      </c>
      <c r="F30" s="368">
        <v>43921</v>
      </c>
      <c r="G30" s="2">
        <f t="shared" si="3"/>
        <v>9936650.7309350632</v>
      </c>
      <c r="H30" s="2">
        <f t="shared" si="1"/>
        <v>50636.083176819775</v>
      </c>
      <c r="I30" s="2">
        <f t="shared" si="4"/>
        <v>60384.418764829672</v>
      </c>
      <c r="J30" s="2">
        <f t="shared" si="2"/>
        <v>9876266.3121702336</v>
      </c>
    </row>
    <row r="31" spans="1:10">
      <c r="A31" s="13"/>
      <c r="B31" s="13"/>
      <c r="C31" s="13"/>
      <c r="D31" s="13"/>
      <c r="E31" s="4">
        <v>27</v>
      </c>
      <c r="F31" s="368">
        <v>43951</v>
      </c>
      <c r="G31" s="2">
        <f t="shared" si="3"/>
        <v>9876266.3121702336</v>
      </c>
      <c r="H31" s="2">
        <f t="shared" si="1"/>
        <v>48704.874964127172</v>
      </c>
      <c r="I31" s="2">
        <f t="shared" si="4"/>
        <v>62315.626977522275</v>
      </c>
      <c r="J31" s="2">
        <f t="shared" si="2"/>
        <v>9813950.6851927117</v>
      </c>
    </row>
    <row r="32" spans="1:10">
      <c r="A32" s="13"/>
      <c r="B32" s="13"/>
      <c r="C32" s="13"/>
      <c r="D32" s="13"/>
      <c r="E32" s="4">
        <v>28</v>
      </c>
      <c r="F32" s="368">
        <v>43982</v>
      </c>
      <c r="G32" s="2">
        <f t="shared" si="3"/>
        <v>9813950.6851927117</v>
      </c>
      <c r="H32" s="2">
        <f t="shared" si="1"/>
        <v>50010.817190297101</v>
      </c>
      <c r="I32" s="2">
        <f t="shared" si="4"/>
        <v>61009.684751352346</v>
      </c>
      <c r="J32" s="2">
        <f t="shared" si="2"/>
        <v>9752941.0004413594</v>
      </c>
    </row>
    <row r="33" spans="1:10">
      <c r="A33" s="13"/>
      <c r="B33" s="13"/>
      <c r="C33" s="13"/>
      <c r="D33" s="13"/>
      <c r="E33" s="4">
        <v>29</v>
      </c>
      <c r="F33" s="368">
        <v>44012</v>
      </c>
      <c r="G33" s="2">
        <f t="shared" si="3"/>
        <v>9752941.0004413594</v>
      </c>
      <c r="H33" s="2">
        <f t="shared" si="1"/>
        <v>48096.695344642314</v>
      </c>
      <c r="I33" s="2">
        <f t="shared" si="4"/>
        <v>62923.806597007133</v>
      </c>
      <c r="J33" s="2">
        <f t="shared" si="2"/>
        <v>9690017.1938443519</v>
      </c>
    </row>
    <row r="34" spans="1:10">
      <c r="A34" s="13"/>
      <c r="B34" s="13"/>
      <c r="C34" s="13"/>
      <c r="D34" s="13"/>
      <c r="E34" s="4">
        <v>30</v>
      </c>
      <c r="F34" s="368">
        <v>44043</v>
      </c>
      <c r="G34" s="2">
        <f t="shared" si="3"/>
        <v>9690017.1938443519</v>
      </c>
      <c r="H34" s="2">
        <f t="shared" si="1"/>
        <v>49379.265700138341</v>
      </c>
      <c r="I34" s="2">
        <f t="shared" si="4"/>
        <v>61641.236241511106</v>
      </c>
      <c r="J34" s="2">
        <f t="shared" si="2"/>
        <v>9628375.9576028399</v>
      </c>
    </row>
    <row r="35" spans="1:10">
      <c r="A35" s="13"/>
      <c r="B35" s="13"/>
      <c r="C35" s="13"/>
      <c r="D35" s="13"/>
      <c r="E35" s="4">
        <v>31</v>
      </c>
      <c r="F35" s="368">
        <v>44074</v>
      </c>
      <c r="G35" s="2">
        <f t="shared" si="3"/>
        <v>9628375.9576028399</v>
      </c>
      <c r="H35" s="2">
        <f t="shared" si="1"/>
        <v>49065.148715455565</v>
      </c>
      <c r="I35" s="2">
        <f t="shared" si="4"/>
        <v>61955.353226193882</v>
      </c>
      <c r="J35" s="2">
        <f t="shared" si="2"/>
        <v>9566420.6043766458</v>
      </c>
    </row>
    <row r="36" spans="1:10">
      <c r="A36" s="13"/>
      <c r="B36" s="13"/>
      <c r="C36" s="13"/>
      <c r="D36" s="13"/>
      <c r="E36" s="4">
        <v>32</v>
      </c>
      <c r="F36" s="368">
        <v>44104</v>
      </c>
      <c r="G36" s="2">
        <f t="shared" si="3"/>
        <v>9566420.6043766458</v>
      </c>
      <c r="H36" s="2">
        <f t="shared" si="1"/>
        <v>47176.868733912226</v>
      </c>
      <c r="I36" s="2">
        <f t="shared" si="4"/>
        <v>63843.633207737221</v>
      </c>
      <c r="J36" s="2">
        <f t="shared" si="2"/>
        <v>9502576.9711689092</v>
      </c>
    </row>
    <row r="37" spans="1:10">
      <c r="A37" s="13"/>
      <c r="B37" s="13"/>
      <c r="C37" s="13"/>
      <c r="D37" s="13"/>
      <c r="E37" s="4">
        <v>33</v>
      </c>
      <c r="F37" s="368">
        <v>44135</v>
      </c>
      <c r="G37" s="2">
        <f t="shared" si="3"/>
        <v>9502576.9711689092</v>
      </c>
      <c r="H37" s="2">
        <f t="shared" si="1"/>
        <v>48424.090866778548</v>
      </c>
      <c r="I37" s="2">
        <f t="shared" si="4"/>
        <v>62596.411074870899</v>
      </c>
      <c r="J37" s="2">
        <f t="shared" si="2"/>
        <v>9439980.560094038</v>
      </c>
    </row>
    <row r="38" spans="1:10">
      <c r="A38" s="13"/>
      <c r="B38" s="13"/>
      <c r="C38" s="13"/>
      <c r="D38" s="13"/>
      <c r="E38" s="4">
        <v>34</v>
      </c>
      <c r="F38" s="368">
        <v>44165</v>
      </c>
      <c r="G38" s="2">
        <f t="shared" si="3"/>
        <v>9439980.560094038</v>
      </c>
      <c r="H38" s="2">
        <f t="shared" si="1"/>
        <v>46553.328789504849</v>
      </c>
      <c r="I38" s="2">
        <f t="shared" si="4"/>
        <v>64467.173152144598</v>
      </c>
      <c r="J38" s="2">
        <f t="shared" si="2"/>
        <v>9375513.386941893</v>
      </c>
    </row>
    <row r="39" spans="1:10">
      <c r="A39" s="13"/>
      <c r="B39" s="13"/>
      <c r="C39" s="13"/>
      <c r="D39" s="13"/>
      <c r="E39" s="4">
        <v>35</v>
      </c>
      <c r="F39" s="368">
        <v>44196</v>
      </c>
      <c r="G39" s="2">
        <f t="shared" si="3"/>
        <v>9375513.386941893</v>
      </c>
      <c r="H39" s="2">
        <f t="shared" si="1"/>
        <v>47776.588766334033</v>
      </c>
      <c r="I39" s="2">
        <f t="shared" si="4"/>
        <v>63243.913175315414</v>
      </c>
      <c r="J39" s="2">
        <f t="shared" si="2"/>
        <v>9312269.4737665784</v>
      </c>
    </row>
    <row r="40" spans="1:10">
      <c r="A40" s="13"/>
      <c r="B40" s="13"/>
      <c r="C40" s="13"/>
      <c r="D40" s="13"/>
      <c r="E40" s="7">
        <v>36</v>
      </c>
      <c r="F40" s="368">
        <v>44227</v>
      </c>
      <c r="G40" s="85">
        <f t="shared" si="3"/>
        <v>9312269.4737665784</v>
      </c>
      <c r="H40" s="85">
        <f t="shared" si="1"/>
        <v>47454.304715632425</v>
      </c>
      <c r="I40" s="85">
        <f t="shared" si="4"/>
        <v>63566.197226017022</v>
      </c>
      <c r="J40" s="85">
        <f t="shared" si="2"/>
        <v>9248703.2765405606</v>
      </c>
    </row>
    <row r="41" spans="1:10">
      <c r="A41" s="13"/>
      <c r="B41" s="13"/>
      <c r="C41" s="13"/>
      <c r="D41" s="13"/>
      <c r="E41" s="4">
        <v>37</v>
      </c>
      <c r="F41" s="368">
        <v>44255</v>
      </c>
      <c r="G41" s="2">
        <f t="shared" si="3"/>
        <v>9248703.2765405606</v>
      </c>
      <c r="H41" s="2">
        <f t="shared" si="1"/>
        <v>42569.373985172992</v>
      </c>
      <c r="I41" s="2">
        <f t="shared" si="4"/>
        <v>68451.127956476455</v>
      </c>
      <c r="J41" s="2">
        <f t="shared" si="2"/>
        <v>9180252.1485840846</v>
      </c>
    </row>
    <row r="42" spans="1:10">
      <c r="A42" s="13"/>
      <c r="B42" s="13"/>
      <c r="C42" s="13"/>
      <c r="D42" s="13"/>
      <c r="E42" s="4">
        <v>38</v>
      </c>
      <c r="F42" s="368">
        <v>44286</v>
      </c>
      <c r="G42" s="2">
        <f t="shared" si="3"/>
        <v>9180252.1485840846</v>
      </c>
      <c r="H42" s="2">
        <f t="shared" si="1"/>
        <v>46781.558894154514</v>
      </c>
      <c r="I42" s="2">
        <f t="shared" si="4"/>
        <v>64238.943047494933</v>
      </c>
      <c r="J42" s="2">
        <f t="shared" si="2"/>
        <v>9116013.205536589</v>
      </c>
    </row>
    <row r="43" spans="1:10">
      <c r="A43" s="13"/>
      <c r="B43" s="13"/>
      <c r="C43" s="13"/>
      <c r="D43" s="13"/>
      <c r="E43" s="4">
        <v>39</v>
      </c>
      <c r="F43" s="368">
        <v>44316</v>
      </c>
      <c r="G43" s="2">
        <f t="shared" si="3"/>
        <v>9116013.205536589</v>
      </c>
      <c r="H43" s="2">
        <f t="shared" si="1"/>
        <v>44955.6815615503</v>
      </c>
      <c r="I43" s="2">
        <f t="shared" si="4"/>
        <v>66064.820380099147</v>
      </c>
      <c r="J43" s="2">
        <f t="shared" si="2"/>
        <v>9049948.3851564899</v>
      </c>
    </row>
    <row r="44" spans="1:10">
      <c r="A44" s="13"/>
      <c r="B44" s="13"/>
      <c r="C44" s="13"/>
      <c r="D44" s="13"/>
      <c r="E44" s="4">
        <v>40</v>
      </c>
      <c r="F44" s="368">
        <v>44347</v>
      </c>
      <c r="G44" s="2">
        <f t="shared" si="3"/>
        <v>9049948.3851564899</v>
      </c>
      <c r="H44" s="2">
        <f t="shared" si="1"/>
        <v>46117.545195591971</v>
      </c>
      <c r="I44" s="2">
        <f t="shared" si="4"/>
        <v>64902.956746057476</v>
      </c>
      <c r="J44" s="2">
        <f t="shared" si="2"/>
        <v>8985045.4284104332</v>
      </c>
    </row>
    <row r="45" spans="1:10">
      <c r="A45" s="13"/>
      <c r="B45" s="13"/>
      <c r="C45" s="13"/>
      <c r="D45" s="13"/>
      <c r="E45" s="4">
        <v>41</v>
      </c>
      <c r="F45" s="368">
        <v>44377</v>
      </c>
      <c r="G45" s="2">
        <f t="shared" si="3"/>
        <v>8985045.4284104332</v>
      </c>
      <c r="H45" s="2">
        <f t="shared" si="1"/>
        <v>44309.813071613091</v>
      </c>
      <c r="I45" s="2">
        <f t="shared" si="4"/>
        <v>66710.688870036363</v>
      </c>
      <c r="J45" s="2">
        <f t="shared" si="2"/>
        <v>8918334.7395403963</v>
      </c>
    </row>
    <row r="46" spans="1:10">
      <c r="A46" s="13"/>
      <c r="B46" s="13"/>
      <c r="C46" s="13"/>
      <c r="D46" s="13"/>
      <c r="E46" s="4">
        <v>42</v>
      </c>
      <c r="F46" s="368">
        <v>44408</v>
      </c>
      <c r="G46" s="2">
        <f t="shared" si="3"/>
        <v>8918334.7395403963</v>
      </c>
      <c r="H46" s="2">
        <f t="shared" si="1"/>
        <v>45446.856480945578</v>
      </c>
      <c r="I46" s="2">
        <f t="shared" si="4"/>
        <v>65573.645460703876</v>
      </c>
      <c r="J46" s="2">
        <f t="shared" si="2"/>
        <v>8852761.0940796919</v>
      </c>
    </row>
    <row r="47" spans="1:10">
      <c r="A47" s="13"/>
      <c r="B47" s="13"/>
      <c r="C47" s="13"/>
      <c r="D47" s="13"/>
      <c r="E47" s="4">
        <v>43</v>
      </c>
      <c r="F47" s="368">
        <v>44439</v>
      </c>
      <c r="G47" s="2">
        <f t="shared" si="3"/>
        <v>8852761.0940796919</v>
      </c>
      <c r="H47" s="2">
        <f t="shared" si="1"/>
        <v>45112.70036983076</v>
      </c>
      <c r="I47" s="2">
        <f t="shared" si="4"/>
        <v>65907.80157181868</v>
      </c>
      <c r="J47" s="2">
        <f t="shared" si="2"/>
        <v>8786853.2925078738</v>
      </c>
    </row>
    <row r="48" spans="1:10">
      <c r="A48" s="13"/>
      <c r="B48" s="13"/>
      <c r="C48" s="13"/>
      <c r="D48" s="13"/>
      <c r="E48" s="4">
        <v>44</v>
      </c>
      <c r="F48" s="368">
        <v>44469</v>
      </c>
      <c r="G48" s="2">
        <f t="shared" si="3"/>
        <v>8786853.2925078738</v>
      </c>
      <c r="H48" s="2">
        <f t="shared" si="1"/>
        <v>43332.427195929238</v>
      </c>
      <c r="I48" s="2">
        <f t="shared" si="4"/>
        <v>67688.074745720209</v>
      </c>
      <c r="J48" s="2">
        <f t="shared" si="2"/>
        <v>8719165.2177621536</v>
      </c>
    </row>
    <row r="49" spans="1:10">
      <c r="A49" s="13"/>
      <c r="B49" s="13"/>
      <c r="C49" s="13"/>
      <c r="D49" s="13"/>
      <c r="E49" s="4">
        <v>45</v>
      </c>
      <c r="F49" s="368">
        <v>44500</v>
      </c>
      <c r="G49" s="2">
        <f t="shared" si="3"/>
        <v>8719165.2177621536</v>
      </c>
      <c r="H49" s="2">
        <f t="shared" si="1"/>
        <v>44431.910424760557</v>
      </c>
      <c r="I49" s="2">
        <f t="shared" si="4"/>
        <v>66588.59151688889</v>
      </c>
      <c r="J49" s="2">
        <f t="shared" si="2"/>
        <v>8652576.626245264</v>
      </c>
    </row>
    <row r="50" spans="1:10">
      <c r="A50" s="13"/>
      <c r="B50" s="13"/>
      <c r="C50" s="13"/>
      <c r="D50" s="13"/>
      <c r="E50" s="4">
        <v>46</v>
      </c>
      <c r="F50" s="368">
        <v>44530</v>
      </c>
      <c r="G50" s="2">
        <f t="shared" si="3"/>
        <v>8652576.626245264</v>
      </c>
      <c r="H50" s="2">
        <f t="shared" si="1"/>
        <v>42670.240896551986</v>
      </c>
      <c r="I50" s="2">
        <f t="shared" si="4"/>
        <v>68350.261045097461</v>
      </c>
      <c r="J50" s="2">
        <f t="shared" si="2"/>
        <v>8584226.3652001657</v>
      </c>
    </row>
    <row r="51" spans="1:10">
      <c r="A51" s="13"/>
      <c r="B51" s="13"/>
      <c r="C51" s="13"/>
      <c r="D51" s="13"/>
      <c r="E51" s="4">
        <v>47</v>
      </c>
      <c r="F51" s="368">
        <v>44561</v>
      </c>
      <c r="G51" s="2">
        <f t="shared" si="3"/>
        <v>8584226.3652001657</v>
      </c>
      <c r="H51" s="2">
        <f t="shared" si="1"/>
        <v>43744.276819924133</v>
      </c>
      <c r="I51" s="2">
        <f t="shared" si="4"/>
        <v>67276.225121725322</v>
      </c>
      <c r="J51" s="2">
        <f t="shared" si="2"/>
        <v>8516950.1400784403</v>
      </c>
    </row>
    <row r="52" spans="1:10">
      <c r="A52" s="13"/>
      <c r="B52" s="13"/>
      <c r="C52" s="13"/>
      <c r="D52" s="13"/>
      <c r="E52" s="7">
        <v>48</v>
      </c>
      <c r="F52" s="368">
        <v>44592</v>
      </c>
      <c r="G52" s="85">
        <f t="shared" si="3"/>
        <v>8516950.1400784403</v>
      </c>
      <c r="H52" s="85">
        <f t="shared" si="1"/>
        <v>43401.444549440814</v>
      </c>
      <c r="I52" s="85">
        <f t="shared" si="4"/>
        <v>67619.057392208633</v>
      </c>
      <c r="J52" s="85">
        <f t="shared" si="2"/>
        <v>8449331.0826862324</v>
      </c>
    </row>
    <row r="53" spans="1:10">
      <c r="A53" s="13"/>
      <c r="B53" s="13"/>
      <c r="C53" s="13"/>
      <c r="D53" s="13"/>
      <c r="E53" s="4">
        <v>49</v>
      </c>
      <c r="F53" s="368">
        <v>44620</v>
      </c>
      <c r="G53" s="2">
        <f t="shared" si="3"/>
        <v>8449331.0826862324</v>
      </c>
      <c r="H53" s="2">
        <f t="shared" si="1"/>
        <v>38890.071832638001</v>
      </c>
      <c r="I53" s="2">
        <f t="shared" si="4"/>
        <v>72130.430109011446</v>
      </c>
      <c r="J53" s="2">
        <f t="shared" si="2"/>
        <v>8377200.6525772214</v>
      </c>
    </row>
    <row r="54" spans="1:10">
      <c r="A54" s="13"/>
      <c r="B54" s="13"/>
      <c r="C54" s="13"/>
      <c r="D54" s="13"/>
      <c r="E54" s="4">
        <v>50</v>
      </c>
      <c r="F54" s="368">
        <v>44651</v>
      </c>
      <c r="G54" s="2">
        <f t="shared" si="3"/>
        <v>8377200.6525772214</v>
      </c>
      <c r="H54" s="2">
        <f t="shared" si="1"/>
        <v>42689.296476146934</v>
      </c>
      <c r="I54" s="2">
        <f t="shared" si="4"/>
        <v>68331.205465502513</v>
      </c>
      <c r="J54" s="2">
        <f t="shared" si="2"/>
        <v>8308869.4471117193</v>
      </c>
    </row>
    <row r="55" spans="1:10">
      <c r="A55" s="13"/>
      <c r="B55" s="13"/>
      <c r="C55" s="13"/>
      <c r="D55" s="13"/>
      <c r="E55" s="4">
        <v>51</v>
      </c>
      <c r="F55" s="368">
        <v>44681</v>
      </c>
      <c r="G55" s="2">
        <f t="shared" si="3"/>
        <v>8308869.4471117193</v>
      </c>
      <c r="H55" s="2">
        <f t="shared" si="1"/>
        <v>40975.246588496149</v>
      </c>
      <c r="I55" s="2">
        <f t="shared" si="4"/>
        <v>70045.255353153305</v>
      </c>
      <c r="J55" s="2">
        <f t="shared" si="2"/>
        <v>8238824.1917585656</v>
      </c>
    </row>
    <row r="56" spans="1:10">
      <c r="A56" s="13"/>
      <c r="B56" s="13"/>
      <c r="C56" s="13"/>
      <c r="D56" s="13"/>
      <c r="E56" s="4">
        <v>52</v>
      </c>
      <c r="F56" s="368">
        <v>44712</v>
      </c>
      <c r="G56" s="2">
        <f t="shared" si="3"/>
        <v>8238824.1917585656</v>
      </c>
      <c r="H56" s="2">
        <f t="shared" si="1"/>
        <v>41984.145196358717</v>
      </c>
      <c r="I56" s="2">
        <f t="shared" si="4"/>
        <v>69036.35674529073</v>
      </c>
      <c r="J56" s="2">
        <f t="shared" si="2"/>
        <v>8169787.835013275</v>
      </c>
    </row>
    <row r="57" spans="1:10">
      <c r="A57" s="13"/>
      <c r="B57" s="13"/>
      <c r="C57" s="13"/>
      <c r="D57" s="13"/>
      <c r="E57" s="4">
        <v>53</v>
      </c>
      <c r="F57" s="368">
        <v>44742</v>
      </c>
      <c r="G57" s="2">
        <f t="shared" si="3"/>
        <v>8169787.835013275</v>
      </c>
      <c r="H57" s="2">
        <f t="shared" si="1"/>
        <v>40289.364665818888</v>
      </c>
      <c r="I57" s="2">
        <f t="shared" si="4"/>
        <v>70731.137275830552</v>
      </c>
      <c r="J57" s="2">
        <f t="shared" si="2"/>
        <v>8099056.6977374442</v>
      </c>
    </row>
    <row r="58" spans="1:10">
      <c r="A58" s="13"/>
      <c r="B58" s="13"/>
      <c r="C58" s="13"/>
      <c r="D58" s="13"/>
      <c r="E58" s="4">
        <v>54</v>
      </c>
      <c r="F58" s="368">
        <v>44773</v>
      </c>
      <c r="G58" s="2">
        <f t="shared" si="3"/>
        <v>8099056.6977374442</v>
      </c>
      <c r="H58" s="2">
        <f t="shared" si="1"/>
        <v>41271.90536381273</v>
      </c>
      <c r="I58" s="2">
        <f t="shared" si="4"/>
        <v>69748.596577836724</v>
      </c>
      <c r="J58" s="2">
        <f t="shared" si="2"/>
        <v>8029308.1011596071</v>
      </c>
    </row>
    <row r="59" spans="1:10">
      <c r="A59" s="13"/>
      <c r="B59" s="13"/>
      <c r="C59" s="13"/>
      <c r="D59" s="13"/>
      <c r="E59" s="4">
        <v>55</v>
      </c>
      <c r="F59" s="368">
        <v>44804</v>
      </c>
      <c r="G59" s="2">
        <f t="shared" si="3"/>
        <v>8029308.1011596071</v>
      </c>
      <c r="H59" s="2">
        <f t="shared" si="1"/>
        <v>40916.474159333884</v>
      </c>
      <c r="I59" s="2">
        <f t="shared" si="4"/>
        <v>70104.027782315563</v>
      </c>
      <c r="J59" s="2">
        <f t="shared" si="2"/>
        <v>7959204.0733772917</v>
      </c>
    </row>
    <row r="60" spans="1:10">
      <c r="A60" s="13"/>
      <c r="B60" s="13"/>
      <c r="C60" s="13"/>
      <c r="D60" s="13"/>
      <c r="E60" s="4">
        <v>56</v>
      </c>
      <c r="F60" s="368">
        <v>44834</v>
      </c>
      <c r="G60" s="2">
        <f t="shared" si="3"/>
        <v>7959204.0733772917</v>
      </c>
      <c r="H60" s="2">
        <f t="shared" si="1"/>
        <v>39250.869402956501</v>
      </c>
      <c r="I60" s="2">
        <f t="shared" si="4"/>
        <v>71769.632538692938</v>
      </c>
      <c r="J60" s="2">
        <f t="shared" si="2"/>
        <v>7887434.4408385986</v>
      </c>
    </row>
    <row r="61" spans="1:10">
      <c r="A61" s="13"/>
      <c r="B61" s="13"/>
      <c r="C61" s="13"/>
      <c r="D61" s="13"/>
      <c r="E61" s="4">
        <v>57</v>
      </c>
      <c r="F61" s="368">
        <v>44865</v>
      </c>
      <c r="G61" s="2">
        <f t="shared" si="3"/>
        <v>7887434.4408385986</v>
      </c>
      <c r="H61" s="2">
        <f t="shared" si="1"/>
        <v>40193.501534136412</v>
      </c>
      <c r="I61" s="2">
        <f t="shared" si="4"/>
        <v>70827.000407513027</v>
      </c>
      <c r="J61" s="2">
        <f t="shared" si="2"/>
        <v>7816607.4404310854</v>
      </c>
    </row>
    <row r="62" spans="1:10">
      <c r="A62" s="13"/>
      <c r="B62" s="13"/>
      <c r="C62" s="13"/>
      <c r="D62" s="13"/>
      <c r="E62" s="4">
        <v>58</v>
      </c>
      <c r="F62" s="368">
        <v>44895</v>
      </c>
      <c r="G62" s="2">
        <f t="shared" si="3"/>
        <v>7816607.4404310854</v>
      </c>
      <c r="H62" s="2">
        <f t="shared" si="1"/>
        <v>38547.653130893021</v>
      </c>
      <c r="I62" s="2">
        <f t="shared" si="4"/>
        <v>72472.848810756434</v>
      </c>
      <c r="J62" s="2">
        <f t="shared" si="2"/>
        <v>7744134.5916203288</v>
      </c>
    </row>
    <row r="63" spans="1:10">
      <c r="A63" s="13"/>
      <c r="B63" s="13"/>
      <c r="C63" s="13"/>
      <c r="D63" s="13"/>
      <c r="E63" s="4">
        <v>59</v>
      </c>
      <c r="F63" s="368">
        <v>44926</v>
      </c>
      <c r="G63" s="2">
        <f t="shared" si="3"/>
        <v>7744134.5916203288</v>
      </c>
      <c r="H63" s="2">
        <f t="shared" si="1"/>
        <v>39463.261206613177</v>
      </c>
      <c r="I63" s="2">
        <f t="shared" si="4"/>
        <v>71557.240735036263</v>
      </c>
      <c r="J63" s="2">
        <f t="shared" si="2"/>
        <v>7672577.3508852925</v>
      </c>
    </row>
    <row r="64" spans="1:10">
      <c r="A64" s="13"/>
      <c r="B64" s="13"/>
      <c r="C64" s="13"/>
      <c r="D64" s="13"/>
      <c r="E64" s="7">
        <v>60</v>
      </c>
      <c r="F64" s="368">
        <v>44957</v>
      </c>
      <c r="G64" s="85">
        <f t="shared" si="3"/>
        <v>7672577.3508852925</v>
      </c>
      <c r="H64" s="85">
        <f t="shared" si="1"/>
        <v>39098.613349716827</v>
      </c>
      <c r="I64" s="85">
        <f t="shared" si="4"/>
        <v>71921.888591932628</v>
      </c>
      <c r="J64" s="85">
        <f t="shared" si="2"/>
        <v>7600655.4622933595</v>
      </c>
    </row>
    <row r="65" spans="1:10">
      <c r="A65" s="13"/>
      <c r="B65" s="13"/>
      <c r="C65" s="13"/>
      <c r="D65" s="13"/>
      <c r="E65" s="4">
        <v>61</v>
      </c>
      <c r="F65" s="368">
        <v>44985</v>
      </c>
      <c r="G65" s="2">
        <f t="shared" si="3"/>
        <v>7600655.4622933595</v>
      </c>
      <c r="H65" s="2">
        <f t="shared" si="1"/>
        <v>34983.838840144774</v>
      </c>
      <c r="I65" s="2">
        <f t="shared" si="4"/>
        <v>76036.663101504673</v>
      </c>
      <c r="J65" s="2">
        <f t="shared" si="2"/>
        <v>7524618.7991918549</v>
      </c>
    </row>
    <row r="66" spans="1:10">
      <c r="A66" s="13"/>
      <c r="B66" s="13"/>
      <c r="C66" s="13"/>
      <c r="D66" s="13"/>
      <c r="E66" s="4">
        <v>62</v>
      </c>
      <c r="F66" s="368">
        <v>45016</v>
      </c>
      <c r="G66" s="2">
        <f t="shared" si="3"/>
        <v>7524618.7991918549</v>
      </c>
      <c r="H66" s="2">
        <f t="shared" si="1"/>
        <v>38344.632784922876</v>
      </c>
      <c r="I66" s="2">
        <f t="shared" si="4"/>
        <v>72675.869156726578</v>
      </c>
      <c r="J66" s="2">
        <f t="shared" si="2"/>
        <v>7451942.9300351283</v>
      </c>
    </row>
    <row r="67" spans="1:10">
      <c r="A67" s="13"/>
      <c r="B67" s="13"/>
      <c r="C67" s="13"/>
      <c r="D67" s="13"/>
      <c r="E67" s="4">
        <v>63</v>
      </c>
      <c r="F67" s="368">
        <v>45046</v>
      </c>
      <c r="G67" s="2">
        <f t="shared" si="3"/>
        <v>7451942.9300351283</v>
      </c>
      <c r="H67" s="2">
        <f t="shared" si="1"/>
        <v>36749.307600173233</v>
      </c>
      <c r="I67" s="2">
        <f t="shared" si="4"/>
        <v>74271.194341476221</v>
      </c>
      <c r="J67" s="2">
        <f t="shared" si="2"/>
        <v>7377671.7356936522</v>
      </c>
    </row>
    <row r="68" spans="1:10">
      <c r="A68" s="13"/>
      <c r="B68" s="13"/>
      <c r="C68" s="13"/>
      <c r="D68" s="13"/>
      <c r="E68" s="4">
        <v>64</v>
      </c>
      <c r="F68" s="368">
        <v>45077</v>
      </c>
      <c r="G68" s="2">
        <f t="shared" si="3"/>
        <v>7377671.7356936522</v>
      </c>
      <c r="H68" s="2">
        <f t="shared" si="1"/>
        <v>37595.806653123822</v>
      </c>
      <c r="I68" s="2">
        <f t="shared" si="4"/>
        <v>73424.695288525632</v>
      </c>
      <c r="J68" s="2">
        <f t="shared" si="2"/>
        <v>7304247.0404051263</v>
      </c>
    </row>
    <row r="69" spans="1:10">
      <c r="A69" s="13"/>
      <c r="B69" s="13"/>
      <c r="C69" s="13"/>
      <c r="D69" s="13"/>
      <c r="E69" s="4">
        <v>65</v>
      </c>
      <c r="F69" s="368">
        <v>45107</v>
      </c>
      <c r="G69" s="2">
        <f t="shared" si="3"/>
        <v>7304247.0404051263</v>
      </c>
      <c r="H69" s="2">
        <f t="shared" si="1"/>
        <v>36020.944308847196</v>
      </c>
      <c r="I69" s="2">
        <f t="shared" si="4"/>
        <v>74999.557632802258</v>
      </c>
      <c r="J69" s="2">
        <f t="shared" si="2"/>
        <v>7229247.4827723242</v>
      </c>
    </row>
    <row r="70" spans="1:10">
      <c r="A70" s="13"/>
      <c r="B70" s="13"/>
      <c r="C70" s="13"/>
      <c r="D70" s="13"/>
      <c r="E70" s="4">
        <v>66</v>
      </c>
      <c r="F70" s="368">
        <v>45138</v>
      </c>
      <c r="G70" s="2">
        <f t="shared" si="3"/>
        <v>7229247.4827723242</v>
      </c>
      <c r="H70" s="2">
        <f t="shared" si="1"/>
        <v>36839.452925908277</v>
      </c>
      <c r="I70" s="2">
        <f t="shared" si="4"/>
        <v>74181.04901574117</v>
      </c>
      <c r="J70" s="2">
        <f t="shared" si="2"/>
        <v>7155066.4337565834</v>
      </c>
    </row>
    <row r="71" spans="1:10">
      <c r="A71" s="13"/>
      <c r="B71" s="13"/>
      <c r="C71" s="13"/>
      <c r="D71" s="13"/>
      <c r="E71" s="4">
        <v>67</v>
      </c>
      <c r="F71" s="368">
        <v>45169</v>
      </c>
      <c r="G71" s="2">
        <f t="shared" si="3"/>
        <v>7155066.4337565834</v>
      </c>
      <c r="H71" s="2">
        <f t="shared" si="1"/>
        <v>36461.434429554094</v>
      </c>
      <c r="I71" s="2">
        <f t="shared" si="4"/>
        <v>74559.067512095353</v>
      </c>
      <c r="J71" s="2">
        <f t="shared" si="2"/>
        <v>7080507.3662444884</v>
      </c>
    </row>
    <row r="72" spans="1:10">
      <c r="A72" s="13"/>
      <c r="B72" s="13"/>
      <c r="C72" s="13"/>
      <c r="D72" s="13"/>
      <c r="E72" s="4">
        <v>68</v>
      </c>
      <c r="F72" s="368">
        <v>45199</v>
      </c>
      <c r="G72" s="2">
        <f t="shared" si="3"/>
        <v>7080507.3662444884</v>
      </c>
      <c r="H72" s="2">
        <f t="shared" si="1"/>
        <v>34917.570573260484</v>
      </c>
      <c r="I72" s="2">
        <f t="shared" si="4"/>
        <v>76102.931368388963</v>
      </c>
      <c r="J72" s="2">
        <f t="shared" si="2"/>
        <v>7004404.4348760992</v>
      </c>
    </row>
    <row r="73" spans="1:10">
      <c r="A73" s="13"/>
      <c r="B73" s="13"/>
      <c r="C73" s="13"/>
      <c r="D73" s="13"/>
      <c r="E73" s="4">
        <v>69</v>
      </c>
      <c r="F73" s="368">
        <v>45230</v>
      </c>
      <c r="G73" s="2">
        <f t="shared" si="3"/>
        <v>7004404.4348760992</v>
      </c>
      <c r="H73" s="2">
        <f t="shared" si="1"/>
        <v>35693.677394163133</v>
      </c>
      <c r="I73" s="2">
        <f t="shared" si="4"/>
        <v>75326.824547486322</v>
      </c>
      <c r="J73" s="2">
        <f t="shared" si="2"/>
        <v>6929077.6103286128</v>
      </c>
    </row>
    <row r="74" spans="1:10">
      <c r="A74" s="13"/>
      <c r="B74" s="13"/>
      <c r="C74" s="13"/>
      <c r="D74" s="13"/>
      <c r="E74" s="4">
        <v>70</v>
      </c>
      <c r="F74" s="368">
        <v>45260</v>
      </c>
      <c r="G74" s="2">
        <f t="shared" si="3"/>
        <v>6929077.6103286128</v>
      </c>
      <c r="H74" s="2">
        <f t="shared" si="1"/>
        <v>34170.793694771237</v>
      </c>
      <c r="I74" s="2">
        <f t="shared" si="4"/>
        <v>76849.708246878203</v>
      </c>
      <c r="J74" s="2">
        <f t="shared" si="2"/>
        <v>6852227.9020817345</v>
      </c>
    </row>
    <row r="75" spans="1:10">
      <c r="A75" s="13"/>
      <c r="B75" s="13"/>
      <c r="C75" s="13"/>
      <c r="D75" s="13"/>
      <c r="E75" s="4">
        <v>71</v>
      </c>
      <c r="F75" s="368">
        <v>45291</v>
      </c>
      <c r="G75" s="2">
        <f t="shared" si="3"/>
        <v>6852227.9020817345</v>
      </c>
      <c r="H75" s="2">
        <f t="shared" si="1"/>
        <v>34918.202459923355</v>
      </c>
      <c r="I75" s="2">
        <f t="shared" si="4"/>
        <v>76102.299481726091</v>
      </c>
      <c r="J75" s="2">
        <f t="shared" si="2"/>
        <v>6776125.6026000082</v>
      </c>
    </row>
    <row r="76" spans="1:10">
      <c r="A76" s="13"/>
      <c r="B76" s="13"/>
      <c r="C76" s="13"/>
      <c r="D76" s="13"/>
      <c r="E76" s="7">
        <v>72</v>
      </c>
      <c r="F76" s="368">
        <v>45322</v>
      </c>
      <c r="G76" s="85">
        <f t="shared" si="3"/>
        <v>6776125.6026000082</v>
      </c>
      <c r="H76" s="85">
        <f t="shared" si="1"/>
        <v>34530.393481742503</v>
      </c>
      <c r="I76" s="85">
        <f t="shared" si="4"/>
        <v>76490.108459906944</v>
      </c>
      <c r="J76" s="85">
        <f t="shared" si="2"/>
        <v>6699635.4941401016</v>
      </c>
    </row>
    <row r="77" spans="1:10">
      <c r="A77" s="13"/>
      <c r="B77" s="13"/>
      <c r="C77" s="13"/>
      <c r="D77" s="13"/>
      <c r="E77" s="4">
        <v>73</v>
      </c>
      <c r="F77" s="368">
        <v>45351</v>
      </c>
      <c r="G77" s="2">
        <f t="shared" si="3"/>
        <v>6699635.4941401016</v>
      </c>
      <c r="H77" s="2">
        <f t="shared" si="1"/>
        <v>31937.988383024043</v>
      </c>
      <c r="I77" s="2">
        <f t="shared" si="4"/>
        <v>79082.513558625404</v>
      </c>
      <c r="J77" s="2">
        <f t="shared" si="2"/>
        <v>6620552.9805814764</v>
      </c>
    </row>
    <row r="78" spans="1:10">
      <c r="A78" s="13"/>
      <c r="B78" s="13"/>
      <c r="C78" s="13"/>
      <c r="D78" s="13"/>
      <c r="E78" s="4">
        <v>74</v>
      </c>
      <c r="F78" s="368">
        <v>45382</v>
      </c>
      <c r="G78" s="2">
        <f t="shared" si="3"/>
        <v>6620552.9805814764</v>
      </c>
      <c r="H78" s="2">
        <f t="shared" si="1"/>
        <v>33737.612448990534</v>
      </c>
      <c r="I78" s="2">
        <f t="shared" si="4"/>
        <v>77282.889492658913</v>
      </c>
      <c r="J78" s="2">
        <f t="shared" si="2"/>
        <v>6543270.0910888175</v>
      </c>
    </row>
    <row r="79" spans="1:10">
      <c r="A79" s="13"/>
      <c r="B79" s="13"/>
      <c r="C79" s="13"/>
      <c r="D79" s="13"/>
      <c r="E79" s="4">
        <v>75</v>
      </c>
      <c r="F79" s="368">
        <v>45412</v>
      </c>
      <c r="G79" s="2">
        <f t="shared" si="3"/>
        <v>6543270.0910888175</v>
      </c>
      <c r="H79" s="2">
        <f t="shared" si="1"/>
        <v>32268.181271122936</v>
      </c>
      <c r="I79" s="2">
        <f t="shared" si="4"/>
        <v>78752.320670526504</v>
      </c>
      <c r="J79" s="2">
        <f t="shared" si="2"/>
        <v>6464517.770418291</v>
      </c>
    </row>
    <row r="80" spans="1:10">
      <c r="A80" s="13"/>
      <c r="B80" s="13"/>
      <c r="C80" s="13"/>
      <c r="D80" s="13"/>
      <c r="E80" s="4">
        <v>76</v>
      </c>
      <c r="F80" s="368">
        <v>45443</v>
      </c>
      <c r="G80" s="2">
        <f t="shared" si="3"/>
        <v>6464517.770418291</v>
      </c>
      <c r="H80" s="2">
        <f t="shared" si="1"/>
        <v>32942.474117748003</v>
      </c>
      <c r="I80" s="2">
        <f t="shared" si="4"/>
        <v>78078.027823901444</v>
      </c>
      <c r="J80" s="2">
        <f t="shared" si="2"/>
        <v>6386439.7425943892</v>
      </c>
    </row>
    <row r="81" spans="1:10">
      <c r="A81" s="13"/>
      <c r="B81" s="13"/>
      <c r="C81" s="13"/>
      <c r="D81" s="13"/>
      <c r="E81" s="4">
        <v>77</v>
      </c>
      <c r="F81" s="368">
        <v>45473</v>
      </c>
      <c r="G81" s="2">
        <f t="shared" si="3"/>
        <v>6386439.7425943892</v>
      </c>
      <c r="H81" s="2">
        <f t="shared" si="1"/>
        <v>31494.771333342193</v>
      </c>
      <c r="I81" s="2">
        <f t="shared" si="4"/>
        <v>79525.730608307262</v>
      </c>
      <c r="J81" s="2">
        <f t="shared" si="2"/>
        <v>6306914.0119860824</v>
      </c>
    </row>
    <row r="82" spans="1:10">
      <c r="A82" s="13"/>
      <c r="B82" s="13"/>
      <c r="C82" s="13"/>
      <c r="D82" s="13"/>
      <c r="E82" s="4">
        <v>78</v>
      </c>
      <c r="F82" s="368">
        <v>45504</v>
      </c>
      <c r="G82" s="2">
        <f t="shared" si="3"/>
        <v>6306914.0119860824</v>
      </c>
      <c r="H82" s="2">
        <f t="shared" ref="H82:H145" si="5">(G82*$C$9)*(F82-F81)/365</f>
        <v>32139.342636422225</v>
      </c>
      <c r="I82" s="2">
        <f t="shared" ref="I82:I145" si="6">$C$8-H82</f>
        <v>78881.159305227222</v>
      </c>
      <c r="J82" s="2">
        <f t="shared" ref="J82:J145" si="7">G82-I82</f>
        <v>6228032.8526808554</v>
      </c>
    </row>
    <row r="83" spans="1:10">
      <c r="A83" s="13"/>
      <c r="B83" s="13"/>
      <c r="C83" s="13"/>
      <c r="D83" s="13"/>
      <c r="E83" s="4">
        <v>79</v>
      </c>
      <c r="F83" s="368">
        <v>45535</v>
      </c>
      <c r="G83" s="2">
        <f t="shared" ref="G83:G146" si="8">J82</f>
        <v>6228032.8526808554</v>
      </c>
      <c r="H83" s="2">
        <f t="shared" si="5"/>
        <v>31737.372893113399</v>
      </c>
      <c r="I83" s="2">
        <f t="shared" si="6"/>
        <v>79283.129048536051</v>
      </c>
      <c r="J83" s="2">
        <f t="shared" si="7"/>
        <v>6148749.7236323198</v>
      </c>
    </row>
    <row r="84" spans="1:10">
      <c r="A84" s="13"/>
      <c r="B84" s="13"/>
      <c r="C84" s="13"/>
      <c r="D84" s="13"/>
      <c r="E84" s="4">
        <v>80</v>
      </c>
      <c r="F84" s="368">
        <v>45565</v>
      </c>
      <c r="G84" s="2">
        <f t="shared" si="8"/>
        <v>6148749.7236323198</v>
      </c>
      <c r="H84" s="2">
        <f t="shared" si="5"/>
        <v>30322.601376816918</v>
      </c>
      <c r="I84" s="2">
        <f t="shared" si="6"/>
        <v>80697.900564832526</v>
      </c>
      <c r="J84" s="2">
        <f t="shared" si="7"/>
        <v>6068051.8230674872</v>
      </c>
    </row>
    <row r="85" spans="1:10">
      <c r="A85" s="13"/>
      <c r="B85" s="13"/>
      <c r="C85" s="13"/>
      <c r="D85" s="13"/>
      <c r="E85" s="4">
        <v>81</v>
      </c>
      <c r="F85" s="368">
        <v>45596</v>
      </c>
      <c r="G85" s="2">
        <f t="shared" si="8"/>
        <v>6068051.8230674872</v>
      </c>
      <c r="H85" s="2">
        <f t="shared" si="5"/>
        <v>30922.127098371304</v>
      </c>
      <c r="I85" s="2">
        <f t="shared" si="6"/>
        <v>80098.374843278143</v>
      </c>
      <c r="J85" s="2">
        <f t="shared" si="7"/>
        <v>5987953.4482242092</v>
      </c>
    </row>
    <row r="86" spans="1:10">
      <c r="A86" s="13"/>
      <c r="B86" s="13"/>
      <c r="C86" s="13"/>
      <c r="D86" s="13"/>
      <c r="E86" s="4">
        <v>82</v>
      </c>
      <c r="F86" s="368">
        <v>45626</v>
      </c>
      <c r="G86" s="2">
        <f t="shared" si="8"/>
        <v>5987953.4482242092</v>
      </c>
      <c r="H86" s="2">
        <f t="shared" si="5"/>
        <v>29529.633443297473</v>
      </c>
      <c r="I86" s="2">
        <f t="shared" si="6"/>
        <v>81490.868498351978</v>
      </c>
      <c r="J86" s="2">
        <f t="shared" si="7"/>
        <v>5906462.5797258569</v>
      </c>
    </row>
    <row r="87" spans="1:10">
      <c r="A87" s="13"/>
      <c r="B87" s="13"/>
      <c r="C87" s="13"/>
      <c r="D87" s="13"/>
      <c r="E87" s="4">
        <v>83</v>
      </c>
      <c r="F87" s="368">
        <v>45657</v>
      </c>
      <c r="G87" s="2">
        <f t="shared" si="8"/>
        <v>5906462.5797258569</v>
      </c>
      <c r="H87" s="2">
        <f t="shared" si="5"/>
        <v>30098.68602271258</v>
      </c>
      <c r="I87" s="2">
        <f t="shared" si="6"/>
        <v>80921.81591893686</v>
      </c>
      <c r="J87" s="2">
        <f t="shared" si="7"/>
        <v>5825540.7638069205</v>
      </c>
    </row>
    <row r="88" spans="1:10">
      <c r="A88" s="13"/>
      <c r="B88" s="13"/>
      <c r="C88" s="13"/>
      <c r="D88" s="13"/>
      <c r="E88" s="7">
        <v>84</v>
      </c>
      <c r="F88" s="368">
        <v>45688</v>
      </c>
      <c r="G88" s="85">
        <f t="shared" si="8"/>
        <v>5825540.7638069205</v>
      </c>
      <c r="H88" s="85">
        <f t="shared" si="5"/>
        <v>29686.317316933895</v>
      </c>
      <c r="I88" s="85">
        <f t="shared" si="6"/>
        <v>81334.184624715548</v>
      </c>
      <c r="J88" s="85">
        <f t="shared" si="7"/>
        <v>5744206.5791822048</v>
      </c>
    </row>
    <row r="89" spans="1:10">
      <c r="A89" s="13"/>
      <c r="B89" s="13"/>
      <c r="C89" s="13"/>
      <c r="D89" s="13"/>
      <c r="E89" s="4">
        <v>85</v>
      </c>
      <c r="F89" s="368">
        <v>45716</v>
      </c>
      <c r="G89" s="2">
        <f t="shared" si="8"/>
        <v>5744206.5791822048</v>
      </c>
      <c r="H89" s="2">
        <f t="shared" si="5"/>
        <v>26439.087816509877</v>
      </c>
      <c r="I89" s="2">
        <f t="shared" si="6"/>
        <v>84581.414125139563</v>
      </c>
      <c r="J89" s="2">
        <f t="shared" si="7"/>
        <v>5659625.165057065</v>
      </c>
    </row>
    <row r="90" spans="1:10">
      <c r="A90" s="13"/>
      <c r="B90" s="13"/>
      <c r="C90" s="13"/>
      <c r="D90" s="13"/>
      <c r="E90" s="4">
        <v>86</v>
      </c>
      <c r="F90" s="368">
        <v>45747</v>
      </c>
      <c r="G90" s="2">
        <f t="shared" si="8"/>
        <v>5659625.165057065</v>
      </c>
      <c r="H90" s="2">
        <f t="shared" si="5"/>
        <v>28840.829608236003</v>
      </c>
      <c r="I90" s="2">
        <f t="shared" si="6"/>
        <v>82179.672333413444</v>
      </c>
      <c r="J90" s="2">
        <f t="shared" si="7"/>
        <v>5577445.4927236512</v>
      </c>
    </row>
    <row r="91" spans="1:10">
      <c r="A91" s="13"/>
      <c r="B91" s="13"/>
      <c r="C91" s="13"/>
      <c r="D91" s="13"/>
      <c r="E91" s="4">
        <v>87</v>
      </c>
      <c r="F91" s="368">
        <v>45777</v>
      </c>
      <c r="G91" s="2">
        <f t="shared" si="8"/>
        <v>5577445.4927236512</v>
      </c>
      <c r="H91" s="2">
        <f t="shared" si="5"/>
        <v>27505.210649048146</v>
      </c>
      <c r="I91" s="2">
        <f t="shared" si="6"/>
        <v>83515.291292601294</v>
      </c>
      <c r="J91" s="2">
        <f t="shared" si="7"/>
        <v>5493930.20143105</v>
      </c>
    </row>
    <row r="92" spans="1:10">
      <c r="A92" s="13"/>
      <c r="B92" s="13"/>
      <c r="C92" s="13"/>
      <c r="D92" s="13"/>
      <c r="E92" s="4">
        <v>88</v>
      </c>
      <c r="F92" s="368">
        <v>45808</v>
      </c>
      <c r="G92" s="2">
        <f t="shared" si="8"/>
        <v>5493930.20143105</v>
      </c>
      <c r="H92" s="2">
        <f t="shared" si="5"/>
        <v>27996.466231950006</v>
      </c>
      <c r="I92" s="2">
        <f t="shared" si="6"/>
        <v>83024.035709699441</v>
      </c>
      <c r="J92" s="2">
        <f t="shared" si="7"/>
        <v>5410906.1657213503</v>
      </c>
    </row>
    <row r="93" spans="1:10">
      <c r="A93" s="13"/>
      <c r="B93" s="13"/>
      <c r="C93" s="13"/>
      <c r="D93" s="13"/>
      <c r="E93" s="4">
        <v>89</v>
      </c>
      <c r="F93" s="368">
        <v>45838</v>
      </c>
      <c r="G93" s="2">
        <f t="shared" si="8"/>
        <v>5410906.1657213503</v>
      </c>
      <c r="H93" s="2">
        <f t="shared" si="5"/>
        <v>26683.920817255974</v>
      </c>
      <c r="I93" s="2">
        <f t="shared" si="6"/>
        <v>84336.581124393473</v>
      </c>
      <c r="J93" s="2">
        <f t="shared" si="7"/>
        <v>5326569.5845969571</v>
      </c>
    </row>
    <row r="94" spans="1:10">
      <c r="A94" s="13"/>
      <c r="B94" s="13"/>
      <c r="C94" s="13"/>
      <c r="D94" s="13"/>
      <c r="E94" s="4">
        <v>90</v>
      </c>
      <c r="F94" s="368">
        <v>45869</v>
      </c>
      <c r="G94" s="2">
        <f t="shared" si="8"/>
        <v>5326569.5845969571</v>
      </c>
      <c r="H94" s="2">
        <f t="shared" si="5"/>
        <v>27143.614869452984</v>
      </c>
      <c r="I94" s="2">
        <f t="shared" si="6"/>
        <v>83876.887072196463</v>
      </c>
      <c r="J94" s="2">
        <f t="shared" si="7"/>
        <v>5242692.6975247608</v>
      </c>
    </row>
    <row r="95" spans="1:10">
      <c r="A95" s="13"/>
      <c r="B95" s="13"/>
      <c r="C95" s="13"/>
      <c r="D95" s="13"/>
      <c r="E95" s="4">
        <v>91</v>
      </c>
      <c r="F95" s="368">
        <v>45900</v>
      </c>
      <c r="G95" s="2">
        <f t="shared" si="8"/>
        <v>5242692.6975247608</v>
      </c>
      <c r="H95" s="2">
        <f t="shared" si="5"/>
        <v>26716.187444920695</v>
      </c>
      <c r="I95" s="2">
        <f t="shared" si="6"/>
        <v>84304.314496728752</v>
      </c>
      <c r="J95" s="2">
        <f t="shared" si="7"/>
        <v>5158388.3830280323</v>
      </c>
    </row>
    <row r="96" spans="1:10">
      <c r="A96" s="13"/>
      <c r="B96" s="13"/>
      <c r="C96" s="13"/>
      <c r="D96" s="13"/>
      <c r="E96" s="4">
        <v>92</v>
      </c>
      <c r="F96" s="368">
        <v>45930</v>
      </c>
      <c r="G96" s="2">
        <f t="shared" si="8"/>
        <v>5158388.3830280323</v>
      </c>
      <c r="H96" s="2">
        <f t="shared" si="5"/>
        <v>25438.627642330022</v>
      </c>
      <c r="I96" s="2">
        <f t="shared" si="6"/>
        <v>85581.874299319432</v>
      </c>
      <c r="J96" s="2">
        <f t="shared" si="7"/>
        <v>5072806.5087287128</v>
      </c>
    </row>
    <row r="97" spans="1:10">
      <c r="A97" s="13"/>
      <c r="B97" s="13"/>
      <c r="C97" s="13"/>
      <c r="D97" s="13"/>
      <c r="E97" s="4">
        <v>93</v>
      </c>
      <c r="F97" s="368">
        <v>45961</v>
      </c>
      <c r="G97" s="2">
        <f t="shared" si="8"/>
        <v>5072806.5087287128</v>
      </c>
      <c r="H97" s="2">
        <f t="shared" si="5"/>
        <v>25850.466044480563</v>
      </c>
      <c r="I97" s="2">
        <f t="shared" si="6"/>
        <v>85170.035897168884</v>
      </c>
      <c r="J97" s="2">
        <f t="shared" si="7"/>
        <v>4987636.4728315435</v>
      </c>
    </row>
    <row r="98" spans="1:10">
      <c r="A98" s="13"/>
      <c r="B98" s="13"/>
      <c r="C98" s="13"/>
      <c r="D98" s="13"/>
      <c r="E98" s="4">
        <v>94</v>
      </c>
      <c r="F98" s="368">
        <v>45991</v>
      </c>
      <c r="G98" s="2">
        <f t="shared" si="8"/>
        <v>4987636.4728315435</v>
      </c>
      <c r="H98" s="2">
        <f t="shared" si="5"/>
        <v>24596.563427662404</v>
      </c>
      <c r="I98" s="2">
        <f t="shared" si="6"/>
        <v>86423.938513987043</v>
      </c>
      <c r="J98" s="2">
        <f t="shared" si="7"/>
        <v>4901212.5343175568</v>
      </c>
    </row>
    <row r="99" spans="1:10">
      <c r="A99" s="13"/>
      <c r="B99" s="13"/>
      <c r="C99" s="13"/>
      <c r="D99" s="13"/>
      <c r="E99" s="4">
        <v>95</v>
      </c>
      <c r="F99" s="368">
        <v>46022</v>
      </c>
      <c r="G99" s="2">
        <f t="shared" si="8"/>
        <v>4901212.5343175568</v>
      </c>
      <c r="H99" s="2">
        <f t="shared" si="5"/>
        <v>24976.041955700424</v>
      </c>
      <c r="I99" s="2">
        <f t="shared" si="6"/>
        <v>86044.459985949026</v>
      </c>
      <c r="J99" s="2">
        <f t="shared" si="7"/>
        <v>4815168.0743316077</v>
      </c>
    </row>
    <row r="100" spans="1:10">
      <c r="A100" s="13"/>
      <c r="B100" s="13"/>
      <c r="C100" s="13"/>
      <c r="D100" s="13"/>
      <c r="E100" s="7">
        <v>96</v>
      </c>
      <c r="F100" s="368">
        <v>46053</v>
      </c>
      <c r="G100" s="85">
        <f t="shared" si="8"/>
        <v>4815168.0743316077</v>
      </c>
      <c r="H100" s="85">
        <f t="shared" si="5"/>
        <v>24537.568817141888</v>
      </c>
      <c r="I100" s="85">
        <f t="shared" si="6"/>
        <v>86482.933124507559</v>
      </c>
      <c r="J100" s="85">
        <f t="shared" si="7"/>
        <v>4728685.1412070999</v>
      </c>
    </row>
    <row r="101" spans="1:10">
      <c r="A101" s="13"/>
      <c r="B101" s="13"/>
      <c r="C101" s="13"/>
      <c r="D101" s="13"/>
      <c r="E101" s="4">
        <v>97</v>
      </c>
      <c r="F101" s="368">
        <v>46081</v>
      </c>
      <c r="G101" s="2">
        <f t="shared" si="8"/>
        <v>4728685.1412070999</v>
      </c>
      <c r="H101" s="2">
        <f t="shared" si="5"/>
        <v>21764.906951309389</v>
      </c>
      <c r="I101" s="2">
        <f t="shared" si="6"/>
        <v>89255.594990340061</v>
      </c>
      <c r="J101" s="2">
        <f t="shared" si="7"/>
        <v>4639429.5462167598</v>
      </c>
    </row>
    <row r="102" spans="1:10">
      <c r="A102" s="13"/>
      <c r="B102" s="13"/>
      <c r="C102" s="13"/>
      <c r="D102" s="13"/>
      <c r="E102" s="4">
        <v>98</v>
      </c>
      <c r="F102" s="368">
        <v>46112</v>
      </c>
      <c r="G102" s="2">
        <f t="shared" si="8"/>
        <v>4639429.5462167598</v>
      </c>
      <c r="H102" s="2">
        <f t="shared" si="5"/>
        <v>23642.024536885408</v>
      </c>
      <c r="I102" s="2">
        <f t="shared" si="6"/>
        <v>87378.477404764039</v>
      </c>
      <c r="J102" s="2">
        <f t="shared" si="7"/>
        <v>4552051.0688119959</v>
      </c>
    </row>
    <row r="103" spans="1:10">
      <c r="A103" s="13"/>
      <c r="B103" s="13"/>
      <c r="C103" s="13"/>
      <c r="D103" s="13"/>
      <c r="E103" s="4">
        <v>99</v>
      </c>
      <c r="F103" s="368">
        <v>46142</v>
      </c>
      <c r="G103" s="2">
        <f t="shared" si="8"/>
        <v>4552051.0688119959</v>
      </c>
      <c r="H103" s="2">
        <f t="shared" si="5"/>
        <v>22448.471024278333</v>
      </c>
      <c r="I103" s="2">
        <f t="shared" si="6"/>
        <v>88572.030917371114</v>
      </c>
      <c r="J103" s="2">
        <f t="shared" si="7"/>
        <v>4463479.0378946252</v>
      </c>
    </row>
    <row r="104" spans="1:10">
      <c r="A104" s="13"/>
      <c r="B104" s="13"/>
      <c r="C104" s="13"/>
      <c r="D104" s="13"/>
      <c r="E104" s="4">
        <v>100</v>
      </c>
      <c r="F104" s="368">
        <v>46173</v>
      </c>
      <c r="G104" s="2">
        <f t="shared" si="8"/>
        <v>4463479.0378946252</v>
      </c>
      <c r="H104" s="2">
        <f t="shared" si="5"/>
        <v>22745.400028723296</v>
      </c>
      <c r="I104" s="2">
        <f t="shared" si="6"/>
        <v>88275.101912926155</v>
      </c>
      <c r="J104" s="2">
        <f t="shared" si="7"/>
        <v>4375203.9359816993</v>
      </c>
    </row>
    <row r="105" spans="1:10">
      <c r="A105" s="13"/>
      <c r="B105" s="13"/>
      <c r="C105" s="13"/>
      <c r="D105" s="13"/>
      <c r="E105" s="4">
        <v>101</v>
      </c>
      <c r="F105" s="368">
        <v>46203</v>
      </c>
      <c r="G105" s="2">
        <f t="shared" si="8"/>
        <v>4375203.9359816993</v>
      </c>
      <c r="H105" s="2">
        <f t="shared" si="5"/>
        <v>21576.348177443997</v>
      </c>
      <c r="I105" s="2">
        <f t="shared" si="6"/>
        <v>89444.153764205446</v>
      </c>
      <c r="J105" s="2">
        <f t="shared" si="7"/>
        <v>4285759.7822174942</v>
      </c>
    </row>
    <row r="106" spans="1:10">
      <c r="A106" s="13"/>
      <c r="B106" s="13"/>
      <c r="C106" s="13"/>
      <c r="D106" s="13"/>
      <c r="E106" s="4">
        <v>102</v>
      </c>
      <c r="F106" s="368">
        <v>46234</v>
      </c>
      <c r="G106" s="2">
        <f t="shared" si="8"/>
        <v>4285759.7822174942</v>
      </c>
      <c r="H106" s="2">
        <f t="shared" si="5"/>
        <v>21839.762177875447</v>
      </c>
      <c r="I106" s="2">
        <f t="shared" si="6"/>
        <v>89180.739763774007</v>
      </c>
      <c r="J106" s="2">
        <f t="shared" si="7"/>
        <v>4196579.0424537202</v>
      </c>
    </row>
    <row r="107" spans="1:10">
      <c r="A107" s="13"/>
      <c r="B107" s="13"/>
      <c r="C107" s="13"/>
      <c r="D107" s="13"/>
      <c r="E107" s="4">
        <v>103</v>
      </c>
      <c r="F107" s="368">
        <v>46265</v>
      </c>
      <c r="G107" s="2">
        <f t="shared" si="8"/>
        <v>4196579.0424537202</v>
      </c>
      <c r="H107" s="2">
        <f t="shared" si="5"/>
        <v>21385.306901271011</v>
      </c>
      <c r="I107" s="2">
        <f t="shared" si="6"/>
        <v>89635.195040378429</v>
      </c>
      <c r="J107" s="2">
        <f t="shared" si="7"/>
        <v>4106943.847413342</v>
      </c>
    </row>
    <row r="108" spans="1:10">
      <c r="A108" s="13"/>
      <c r="B108" s="13"/>
      <c r="C108" s="13"/>
      <c r="D108" s="13"/>
      <c r="E108" s="4">
        <v>104</v>
      </c>
      <c r="F108" s="368">
        <v>46295</v>
      </c>
      <c r="G108" s="2">
        <f t="shared" si="8"/>
        <v>4106943.847413342</v>
      </c>
      <c r="H108" s="2">
        <f t="shared" si="5"/>
        <v>20253.421713271273</v>
      </c>
      <c r="I108" s="2">
        <f t="shared" si="6"/>
        <v>90767.080228378181</v>
      </c>
      <c r="J108" s="2">
        <f t="shared" si="7"/>
        <v>4016176.7671849639</v>
      </c>
    </row>
    <row r="109" spans="1:10">
      <c r="A109" s="13"/>
      <c r="B109" s="13"/>
      <c r="C109" s="13"/>
      <c r="D109" s="13"/>
      <c r="E109" s="4">
        <v>105</v>
      </c>
      <c r="F109" s="368">
        <v>46326</v>
      </c>
      <c r="G109" s="2">
        <f t="shared" si="8"/>
        <v>4016176.7671849639</v>
      </c>
      <c r="H109" s="2">
        <f t="shared" si="5"/>
        <v>20465.996676613788</v>
      </c>
      <c r="I109" s="2">
        <f t="shared" si="6"/>
        <v>90554.505265035667</v>
      </c>
      <c r="J109" s="2">
        <f t="shared" si="7"/>
        <v>3925622.2619199282</v>
      </c>
    </row>
    <row r="110" spans="1:10">
      <c r="A110" s="13"/>
      <c r="B110" s="13"/>
      <c r="C110" s="13"/>
      <c r="D110" s="13"/>
      <c r="E110" s="4">
        <v>106</v>
      </c>
      <c r="F110" s="368">
        <v>46356</v>
      </c>
      <c r="G110" s="2">
        <f t="shared" si="8"/>
        <v>3925622.2619199282</v>
      </c>
      <c r="H110" s="2">
        <f t="shared" si="5"/>
        <v>19359.233072481838</v>
      </c>
      <c r="I110" s="2">
        <f t="shared" si="6"/>
        <v>91661.268869167601</v>
      </c>
      <c r="J110" s="2">
        <f t="shared" si="7"/>
        <v>3833960.9930507606</v>
      </c>
    </row>
    <row r="111" spans="1:10">
      <c r="A111" s="13"/>
      <c r="B111" s="13"/>
      <c r="C111" s="13"/>
      <c r="D111" s="13"/>
      <c r="E111" s="4">
        <v>107</v>
      </c>
      <c r="F111" s="368">
        <v>46387</v>
      </c>
      <c r="G111" s="2">
        <f t="shared" si="8"/>
        <v>3833960.9930507606</v>
      </c>
      <c r="H111" s="2">
        <f t="shared" si="5"/>
        <v>19537.44506047785</v>
      </c>
      <c r="I111" s="2">
        <f t="shared" si="6"/>
        <v>91483.056881171593</v>
      </c>
      <c r="J111" s="2">
        <f t="shared" si="7"/>
        <v>3742477.9361695889</v>
      </c>
    </row>
    <row r="112" spans="1:10">
      <c r="A112" s="13"/>
      <c r="B112" s="13"/>
      <c r="C112" s="13"/>
      <c r="D112" s="13"/>
      <c r="E112" s="7">
        <v>108</v>
      </c>
      <c r="F112" s="368">
        <v>46418</v>
      </c>
      <c r="G112" s="85">
        <f t="shared" si="8"/>
        <v>3742477.9361695889</v>
      </c>
      <c r="H112" s="85">
        <f t="shared" si="5"/>
        <v>19071.257428151879</v>
      </c>
      <c r="I112" s="85">
        <f t="shared" si="6"/>
        <v>91949.244513497571</v>
      </c>
      <c r="J112" s="85">
        <f t="shared" si="7"/>
        <v>3650528.6916560913</v>
      </c>
    </row>
    <row r="113" spans="1:10">
      <c r="A113" s="13"/>
      <c r="B113" s="13"/>
      <c r="C113" s="13"/>
      <c r="D113" s="13"/>
      <c r="E113" s="4">
        <v>109</v>
      </c>
      <c r="F113" s="368">
        <v>46446</v>
      </c>
      <c r="G113" s="2">
        <f t="shared" si="8"/>
        <v>3650528.6916560913</v>
      </c>
      <c r="H113" s="2">
        <f t="shared" si="5"/>
        <v>16802.433430088309</v>
      </c>
      <c r="I113" s="2">
        <f t="shared" si="6"/>
        <v>94218.068511561141</v>
      </c>
      <c r="J113" s="2">
        <f t="shared" si="7"/>
        <v>3556310.6231445302</v>
      </c>
    </row>
    <row r="114" spans="1:10">
      <c r="A114" s="13"/>
      <c r="B114" s="13"/>
      <c r="C114" s="13"/>
      <c r="D114" s="13"/>
      <c r="E114" s="4">
        <v>110</v>
      </c>
      <c r="F114" s="368">
        <v>46477</v>
      </c>
      <c r="G114" s="2">
        <f t="shared" si="8"/>
        <v>3556310.6231445302</v>
      </c>
      <c r="H114" s="2">
        <f t="shared" si="5"/>
        <v>18122.569202873496</v>
      </c>
      <c r="I114" s="2">
        <f t="shared" si="6"/>
        <v>92897.932738775955</v>
      </c>
      <c r="J114" s="2">
        <f t="shared" si="7"/>
        <v>3463412.6904057544</v>
      </c>
    </row>
    <row r="115" spans="1:10">
      <c r="A115" s="13"/>
      <c r="B115" s="13"/>
      <c r="C115" s="13"/>
      <c r="D115" s="13"/>
      <c r="E115" s="4">
        <v>111</v>
      </c>
      <c r="F115" s="368">
        <v>46507</v>
      </c>
      <c r="G115" s="2">
        <f t="shared" si="8"/>
        <v>3463412.6904057544</v>
      </c>
      <c r="H115" s="2">
        <f t="shared" si="5"/>
        <v>17079.843404740706</v>
      </c>
      <c r="I115" s="2">
        <f t="shared" si="6"/>
        <v>93940.658536908741</v>
      </c>
      <c r="J115" s="2">
        <f t="shared" si="7"/>
        <v>3369472.0318688457</v>
      </c>
    </row>
    <row r="116" spans="1:10">
      <c r="A116" s="13"/>
      <c r="B116" s="13"/>
      <c r="C116" s="13"/>
      <c r="D116" s="13"/>
      <c r="E116" s="4">
        <v>112</v>
      </c>
      <c r="F116" s="368">
        <v>46538</v>
      </c>
      <c r="G116" s="2">
        <f t="shared" si="8"/>
        <v>3369472.0318688457</v>
      </c>
      <c r="H116" s="2">
        <f t="shared" si="5"/>
        <v>17170.460217194668</v>
      </c>
      <c r="I116" s="2">
        <f t="shared" si="6"/>
        <v>93850.041724454786</v>
      </c>
      <c r="J116" s="2">
        <f t="shared" si="7"/>
        <v>3275621.9901443911</v>
      </c>
    </row>
    <row r="117" spans="1:10">
      <c r="A117" s="13"/>
      <c r="B117" s="13"/>
      <c r="C117" s="13"/>
      <c r="D117" s="13"/>
      <c r="E117" s="4">
        <v>113</v>
      </c>
      <c r="F117" s="368">
        <v>46568</v>
      </c>
      <c r="G117" s="2">
        <f t="shared" si="8"/>
        <v>3275621.9901443911</v>
      </c>
      <c r="H117" s="2">
        <f t="shared" si="5"/>
        <v>16153.752280164119</v>
      </c>
      <c r="I117" s="2">
        <f t="shared" si="6"/>
        <v>94866.74966148533</v>
      </c>
      <c r="J117" s="2">
        <f t="shared" si="7"/>
        <v>3180755.2404829059</v>
      </c>
    </row>
    <row r="118" spans="1:10">
      <c r="A118" s="13"/>
      <c r="B118" s="13"/>
      <c r="C118" s="13"/>
      <c r="D118" s="13"/>
      <c r="E118" s="4">
        <v>114</v>
      </c>
      <c r="F118" s="368">
        <v>46599</v>
      </c>
      <c r="G118" s="2">
        <f t="shared" si="8"/>
        <v>3180755.2404829059</v>
      </c>
      <c r="H118" s="2">
        <f t="shared" si="5"/>
        <v>16208.780129584124</v>
      </c>
      <c r="I118" s="2">
        <f t="shared" si="6"/>
        <v>94811.721812065327</v>
      </c>
      <c r="J118" s="2">
        <f t="shared" si="7"/>
        <v>3085943.5186708407</v>
      </c>
    </row>
    <row r="119" spans="1:10">
      <c r="A119" s="13"/>
      <c r="B119" s="13"/>
      <c r="C119" s="13"/>
      <c r="D119" s="13"/>
      <c r="E119" s="4">
        <v>115</v>
      </c>
      <c r="F119" s="368">
        <v>46630</v>
      </c>
      <c r="G119" s="2">
        <f t="shared" si="8"/>
        <v>3085943.5186708407</v>
      </c>
      <c r="H119" s="2">
        <f t="shared" si="5"/>
        <v>15725.629985555517</v>
      </c>
      <c r="I119" s="2">
        <f t="shared" si="6"/>
        <v>95294.871956093935</v>
      </c>
      <c r="J119" s="2">
        <f t="shared" si="7"/>
        <v>2990648.646714747</v>
      </c>
    </row>
    <row r="120" spans="1:10">
      <c r="A120" s="13"/>
      <c r="B120" s="13"/>
      <c r="C120" s="13"/>
      <c r="D120" s="13"/>
      <c r="E120" s="4">
        <v>116</v>
      </c>
      <c r="F120" s="368">
        <v>46660</v>
      </c>
      <c r="G120" s="2">
        <f t="shared" si="8"/>
        <v>2990648.646714747</v>
      </c>
      <c r="H120" s="2">
        <f t="shared" si="5"/>
        <v>14748.404285168615</v>
      </c>
      <c r="I120" s="2">
        <f t="shared" si="6"/>
        <v>96272.097656480837</v>
      </c>
      <c r="J120" s="2">
        <f t="shared" si="7"/>
        <v>2894376.549058266</v>
      </c>
    </row>
    <row r="121" spans="1:10">
      <c r="A121" s="13"/>
      <c r="B121" s="13"/>
      <c r="C121" s="13"/>
      <c r="D121" s="13"/>
      <c r="E121" s="4">
        <v>117</v>
      </c>
      <c r="F121" s="368">
        <v>46691</v>
      </c>
      <c r="G121" s="2">
        <f t="shared" si="8"/>
        <v>2894376.549058266</v>
      </c>
      <c r="H121" s="2">
        <f t="shared" si="5"/>
        <v>14749.425702050341</v>
      </c>
      <c r="I121" s="2">
        <f t="shared" si="6"/>
        <v>96271.076239599104</v>
      </c>
      <c r="J121" s="2">
        <f t="shared" si="7"/>
        <v>2798105.4728186671</v>
      </c>
    </row>
    <row r="122" spans="1:10">
      <c r="A122" s="13"/>
      <c r="B122" s="13"/>
      <c r="C122" s="13"/>
      <c r="D122" s="13"/>
      <c r="E122" s="4">
        <v>118</v>
      </c>
      <c r="F122" s="368">
        <v>46721</v>
      </c>
      <c r="G122" s="2">
        <f t="shared" si="8"/>
        <v>2798105.4728186671</v>
      </c>
      <c r="H122" s="2">
        <f t="shared" si="5"/>
        <v>13798.876304311234</v>
      </c>
      <c r="I122" s="2">
        <f t="shared" si="6"/>
        <v>97221.625637338206</v>
      </c>
      <c r="J122" s="2">
        <f t="shared" si="7"/>
        <v>2700883.847181329</v>
      </c>
    </row>
    <row r="123" spans="1:10">
      <c r="A123" s="13"/>
      <c r="B123" s="13"/>
      <c r="C123" s="13"/>
      <c r="D123" s="13"/>
      <c r="E123" s="4">
        <v>119</v>
      </c>
      <c r="F123" s="368">
        <v>46752</v>
      </c>
      <c r="G123" s="2">
        <f t="shared" si="8"/>
        <v>2700883.847181329</v>
      </c>
      <c r="H123" s="2">
        <f t="shared" si="5"/>
        <v>13763.408097965128</v>
      </c>
      <c r="I123" s="2">
        <f t="shared" si="6"/>
        <v>97257.093843684313</v>
      </c>
      <c r="J123" s="2">
        <f t="shared" si="7"/>
        <v>2603626.7533376445</v>
      </c>
    </row>
    <row r="124" spans="1:10">
      <c r="A124" s="13"/>
      <c r="B124" s="13"/>
      <c r="C124" s="13"/>
      <c r="D124" s="13"/>
      <c r="E124" s="7">
        <v>120</v>
      </c>
      <c r="F124" s="368">
        <v>46783</v>
      </c>
      <c r="G124" s="85">
        <f t="shared" si="8"/>
        <v>2603626.7533376445</v>
      </c>
      <c r="H124" s="85">
        <f t="shared" si="5"/>
        <v>13267.796606049365</v>
      </c>
      <c r="I124" s="85">
        <f t="shared" si="6"/>
        <v>97752.705335600083</v>
      </c>
      <c r="J124" s="85">
        <f t="shared" si="7"/>
        <v>2505874.0480020442</v>
      </c>
    </row>
    <row r="125" spans="1:10">
      <c r="A125" s="13"/>
      <c r="B125" s="13"/>
      <c r="C125" s="13"/>
      <c r="D125" s="13"/>
      <c r="E125" s="4">
        <v>121</v>
      </c>
      <c r="F125" s="368">
        <v>46812</v>
      </c>
      <c r="G125" s="2">
        <f t="shared" si="8"/>
        <v>2505874.0480020442</v>
      </c>
      <c r="H125" s="2">
        <f t="shared" si="5"/>
        <v>11945.810530201526</v>
      </c>
      <c r="I125" s="2">
        <f t="shared" si="6"/>
        <v>99074.691411447915</v>
      </c>
      <c r="J125" s="2">
        <f t="shared" si="7"/>
        <v>2406799.3565905965</v>
      </c>
    </row>
    <row r="126" spans="1:10">
      <c r="A126" s="13"/>
      <c r="B126" s="13"/>
      <c r="C126" s="13"/>
      <c r="D126" s="13"/>
      <c r="E126" s="4">
        <v>122</v>
      </c>
      <c r="F126" s="368">
        <v>46843</v>
      </c>
      <c r="G126" s="2">
        <f t="shared" si="8"/>
        <v>2406799.3565905965</v>
      </c>
      <c r="H126" s="2">
        <f t="shared" si="5"/>
        <v>12264.785762352081</v>
      </c>
      <c r="I126" s="2">
        <f t="shared" si="6"/>
        <v>98755.716179297364</v>
      </c>
      <c r="J126" s="2">
        <f t="shared" si="7"/>
        <v>2308043.6404112992</v>
      </c>
    </row>
    <row r="127" spans="1:10">
      <c r="A127" s="13"/>
      <c r="B127" s="13"/>
      <c r="C127" s="13"/>
      <c r="D127" s="13"/>
      <c r="E127" s="4">
        <v>123</v>
      </c>
      <c r="F127" s="368">
        <v>46873</v>
      </c>
      <c r="G127" s="2">
        <f t="shared" si="8"/>
        <v>2308043.6404112992</v>
      </c>
      <c r="H127" s="2">
        <f t="shared" si="5"/>
        <v>11382.133021206408</v>
      </c>
      <c r="I127" s="2">
        <f t="shared" si="6"/>
        <v>99638.368920443041</v>
      </c>
      <c r="J127" s="2">
        <f t="shared" si="7"/>
        <v>2208405.2714908561</v>
      </c>
    </row>
    <row r="128" spans="1:10">
      <c r="A128" s="13"/>
      <c r="B128" s="13"/>
      <c r="C128" s="13"/>
      <c r="D128" s="13"/>
      <c r="E128" s="4">
        <v>124</v>
      </c>
      <c r="F128" s="368">
        <v>46904</v>
      </c>
      <c r="G128" s="2">
        <f t="shared" si="8"/>
        <v>2208405.2714908561</v>
      </c>
      <c r="H128" s="2">
        <f t="shared" si="5"/>
        <v>11253.791246501347</v>
      </c>
      <c r="I128" s="2">
        <f t="shared" si="6"/>
        <v>99766.710695148096</v>
      </c>
      <c r="J128" s="2">
        <f t="shared" si="7"/>
        <v>2108638.5607957081</v>
      </c>
    </row>
    <row r="129" spans="1:10">
      <c r="A129" s="13"/>
      <c r="B129" s="13"/>
      <c r="C129" s="13"/>
      <c r="D129" s="13"/>
      <c r="E129" s="4">
        <v>125</v>
      </c>
      <c r="F129" s="368">
        <v>46934</v>
      </c>
      <c r="G129" s="2">
        <f t="shared" si="8"/>
        <v>2108638.5607957081</v>
      </c>
      <c r="H129" s="2">
        <f t="shared" si="5"/>
        <v>10398.765505293903</v>
      </c>
      <c r="I129" s="2">
        <f t="shared" si="6"/>
        <v>100621.73643635554</v>
      </c>
      <c r="J129" s="2">
        <f t="shared" si="7"/>
        <v>2008016.8243593525</v>
      </c>
    </row>
    <row r="130" spans="1:10">
      <c r="A130" s="13"/>
      <c r="B130" s="13"/>
      <c r="C130" s="13"/>
      <c r="D130" s="13"/>
      <c r="E130" s="4">
        <v>126</v>
      </c>
      <c r="F130" s="368">
        <v>46965</v>
      </c>
      <c r="G130" s="2">
        <f t="shared" si="8"/>
        <v>2008016.8243593525</v>
      </c>
      <c r="H130" s="2">
        <f t="shared" si="5"/>
        <v>10232.633680296974</v>
      </c>
      <c r="I130" s="2">
        <f t="shared" si="6"/>
        <v>100787.86826135247</v>
      </c>
      <c r="J130" s="2">
        <f t="shared" si="7"/>
        <v>1907228.9560980001</v>
      </c>
    </row>
    <row r="131" spans="1:10">
      <c r="A131" s="13"/>
      <c r="B131" s="13"/>
      <c r="C131" s="13"/>
      <c r="D131" s="13"/>
      <c r="E131" s="4">
        <v>127</v>
      </c>
      <c r="F131" s="368">
        <v>46996</v>
      </c>
      <c r="G131" s="2">
        <f t="shared" si="8"/>
        <v>1907228.9560980001</v>
      </c>
      <c r="H131" s="2">
        <f t="shared" si="5"/>
        <v>9719.0297488829601</v>
      </c>
      <c r="I131" s="2">
        <f t="shared" si="6"/>
        <v>101301.47219276649</v>
      </c>
      <c r="J131" s="2">
        <f t="shared" si="7"/>
        <v>1805927.4839052334</v>
      </c>
    </row>
    <row r="132" spans="1:10">
      <c r="A132" s="13"/>
      <c r="B132" s="13"/>
      <c r="C132" s="13"/>
      <c r="D132" s="13"/>
      <c r="E132" s="4">
        <v>128</v>
      </c>
      <c r="F132" s="368">
        <v>47026</v>
      </c>
      <c r="G132" s="2">
        <f t="shared" si="8"/>
        <v>1805927.4839052334</v>
      </c>
      <c r="H132" s="2">
        <f t="shared" si="5"/>
        <v>8905.9437562449857</v>
      </c>
      <c r="I132" s="2">
        <f t="shared" si="6"/>
        <v>102114.55818540446</v>
      </c>
      <c r="J132" s="2">
        <f t="shared" si="7"/>
        <v>1703812.925719829</v>
      </c>
    </row>
    <row r="133" spans="1:10">
      <c r="A133" s="13"/>
      <c r="B133" s="13"/>
      <c r="C133" s="13"/>
      <c r="D133" s="13"/>
      <c r="E133" s="4">
        <v>129</v>
      </c>
      <c r="F133" s="368">
        <v>47057</v>
      </c>
      <c r="G133" s="2">
        <f t="shared" si="8"/>
        <v>1703812.925719829</v>
      </c>
      <c r="H133" s="2">
        <f t="shared" si="5"/>
        <v>8682.4439502435125</v>
      </c>
      <c r="I133" s="2">
        <f t="shared" si="6"/>
        <v>102338.05799140593</v>
      </c>
      <c r="J133" s="2">
        <f t="shared" si="7"/>
        <v>1601474.8677284231</v>
      </c>
    </row>
    <row r="134" spans="1:10">
      <c r="A134" s="13"/>
      <c r="B134" s="13"/>
      <c r="C134" s="13"/>
      <c r="D134" s="13"/>
      <c r="E134" s="4">
        <v>130</v>
      </c>
      <c r="F134" s="368">
        <v>47087</v>
      </c>
      <c r="G134" s="2">
        <f t="shared" si="8"/>
        <v>1601474.8677284231</v>
      </c>
      <c r="H134" s="2">
        <f t="shared" si="5"/>
        <v>7897.6842792086618</v>
      </c>
      <c r="I134" s="2">
        <f t="shared" si="6"/>
        <v>103122.81766244078</v>
      </c>
      <c r="J134" s="2">
        <f t="shared" si="7"/>
        <v>1498352.0500659824</v>
      </c>
    </row>
    <row r="135" spans="1:10">
      <c r="A135" s="13"/>
      <c r="B135" s="13"/>
      <c r="C135" s="13"/>
      <c r="D135" s="13"/>
      <c r="E135" s="4">
        <v>131</v>
      </c>
      <c r="F135" s="368">
        <v>47118</v>
      </c>
      <c r="G135" s="2">
        <f t="shared" si="8"/>
        <v>1498352.0500659824</v>
      </c>
      <c r="H135" s="2">
        <f t="shared" si="5"/>
        <v>7635.4378441718563</v>
      </c>
      <c r="I135" s="2">
        <f t="shared" si="6"/>
        <v>103385.06409747759</v>
      </c>
      <c r="J135" s="2">
        <f t="shared" si="7"/>
        <v>1394966.9859685048</v>
      </c>
    </row>
    <row r="136" spans="1:10">
      <c r="A136" s="13"/>
      <c r="B136" s="13"/>
      <c r="C136" s="13"/>
      <c r="D136" s="13"/>
      <c r="E136" s="7">
        <v>132</v>
      </c>
      <c r="F136" s="368">
        <v>47149</v>
      </c>
      <c r="G136" s="85">
        <f t="shared" si="8"/>
        <v>1394966.9859685048</v>
      </c>
      <c r="H136" s="85">
        <f t="shared" si="5"/>
        <v>7108.5988874011473</v>
      </c>
      <c r="I136" s="85">
        <f t="shared" si="6"/>
        <v>103911.90305424829</v>
      </c>
      <c r="J136" s="85">
        <f t="shared" si="7"/>
        <v>1291055.0829142565</v>
      </c>
    </row>
    <row r="137" spans="1:10">
      <c r="A137" s="13"/>
      <c r="B137" s="13"/>
      <c r="C137" s="13"/>
      <c r="D137" s="13"/>
      <c r="E137" s="4">
        <v>133</v>
      </c>
      <c r="F137" s="368">
        <v>47177</v>
      </c>
      <c r="G137" s="2">
        <f t="shared" si="8"/>
        <v>1291055.0829142565</v>
      </c>
      <c r="H137" s="2">
        <f t="shared" si="5"/>
        <v>5942.3905186190432</v>
      </c>
      <c r="I137" s="2">
        <f t="shared" si="6"/>
        <v>105078.11142303041</v>
      </c>
      <c r="J137" s="2">
        <f t="shared" si="7"/>
        <v>1185976.971491226</v>
      </c>
    </row>
    <row r="138" spans="1:10">
      <c r="A138" s="13"/>
      <c r="B138" s="13"/>
      <c r="C138" s="13"/>
      <c r="D138" s="13"/>
      <c r="E138" s="4">
        <v>134</v>
      </c>
      <c r="F138" s="368">
        <v>47208</v>
      </c>
      <c r="G138" s="2">
        <f t="shared" si="8"/>
        <v>1185976.971491226</v>
      </c>
      <c r="H138" s="2">
        <f t="shared" si="5"/>
        <v>6043.6086766402195</v>
      </c>
      <c r="I138" s="2">
        <f t="shared" si="6"/>
        <v>104976.89326500923</v>
      </c>
      <c r="J138" s="2">
        <f t="shared" si="7"/>
        <v>1081000.0782262168</v>
      </c>
    </row>
    <row r="139" spans="1:10">
      <c r="A139" s="13"/>
      <c r="B139" s="13"/>
      <c r="C139" s="13"/>
      <c r="D139" s="13"/>
      <c r="E139" s="4">
        <v>135</v>
      </c>
      <c r="F139" s="368">
        <v>47238</v>
      </c>
      <c r="G139" s="2">
        <f t="shared" si="8"/>
        <v>1081000.0782262168</v>
      </c>
      <c r="H139" s="2">
        <f t="shared" si="5"/>
        <v>5330.9592898827132</v>
      </c>
      <c r="I139" s="2">
        <f t="shared" si="6"/>
        <v>105689.54265176674</v>
      </c>
      <c r="J139" s="2">
        <f t="shared" si="7"/>
        <v>975310.53557445016</v>
      </c>
    </row>
    <row r="140" spans="1:10">
      <c r="A140" s="13"/>
      <c r="B140" s="13"/>
      <c r="C140" s="13"/>
      <c r="D140" s="13"/>
      <c r="E140" s="4">
        <v>136</v>
      </c>
      <c r="F140" s="368">
        <v>47269</v>
      </c>
      <c r="G140" s="2">
        <f t="shared" si="8"/>
        <v>975310.53557445016</v>
      </c>
      <c r="H140" s="2">
        <f t="shared" si="5"/>
        <v>4970.0756059410342</v>
      </c>
      <c r="I140" s="2">
        <f t="shared" si="6"/>
        <v>106050.42633570841</v>
      </c>
      <c r="J140" s="2">
        <f t="shared" si="7"/>
        <v>869260.10923874169</v>
      </c>
    </row>
    <row r="141" spans="1:10">
      <c r="A141" s="13"/>
      <c r="B141" s="13"/>
      <c r="C141" s="13"/>
      <c r="D141" s="13"/>
      <c r="E141" s="4">
        <v>137</v>
      </c>
      <c r="F141" s="368">
        <v>47299</v>
      </c>
      <c r="G141" s="2">
        <f t="shared" si="8"/>
        <v>869260.10923874169</v>
      </c>
      <c r="H141" s="2">
        <f t="shared" si="5"/>
        <v>4286.7621825472188</v>
      </c>
      <c r="I141" s="2">
        <f t="shared" si="6"/>
        <v>106733.73975910223</v>
      </c>
      <c r="J141" s="2">
        <f t="shared" si="7"/>
        <v>762526.36947963946</v>
      </c>
    </row>
    <row r="142" spans="1:10">
      <c r="A142" s="13"/>
      <c r="B142" s="13"/>
      <c r="C142" s="13"/>
      <c r="D142" s="13"/>
      <c r="E142" s="4">
        <v>138</v>
      </c>
      <c r="F142" s="368">
        <v>47330</v>
      </c>
      <c r="G142" s="2">
        <f t="shared" si="8"/>
        <v>762526.36947963946</v>
      </c>
      <c r="H142" s="2">
        <f t="shared" si="5"/>
        <v>3885.7508143346008</v>
      </c>
      <c r="I142" s="2">
        <f t="shared" si="6"/>
        <v>107134.75112731484</v>
      </c>
      <c r="J142" s="2">
        <f t="shared" si="7"/>
        <v>655391.61835232459</v>
      </c>
    </row>
    <row r="143" spans="1:10">
      <c r="A143" s="13"/>
      <c r="B143" s="13"/>
      <c r="C143" s="13"/>
      <c r="D143" s="13"/>
      <c r="E143" s="4">
        <v>139</v>
      </c>
      <c r="F143" s="368">
        <v>47361</v>
      </c>
      <c r="G143" s="2">
        <f t="shared" si="8"/>
        <v>655391.61835232459</v>
      </c>
      <c r="H143" s="2">
        <f t="shared" si="5"/>
        <v>3339.8038633844485</v>
      </c>
      <c r="I143" s="2">
        <f t="shared" si="6"/>
        <v>107680.69807826499</v>
      </c>
      <c r="J143" s="2">
        <f t="shared" si="7"/>
        <v>547710.92027405964</v>
      </c>
    </row>
    <row r="144" spans="1:10">
      <c r="A144" s="13"/>
      <c r="B144" s="13"/>
      <c r="C144" s="13"/>
      <c r="D144" s="13"/>
      <c r="E144" s="4">
        <v>140</v>
      </c>
      <c r="F144" s="368">
        <v>47391</v>
      </c>
      <c r="G144" s="2">
        <f t="shared" si="8"/>
        <v>547710.92027405964</v>
      </c>
      <c r="H144" s="2">
        <f t="shared" si="5"/>
        <v>2701.0401547761844</v>
      </c>
      <c r="I144" s="2">
        <f t="shared" si="6"/>
        <v>108319.46178687326</v>
      </c>
      <c r="J144" s="2">
        <f t="shared" si="7"/>
        <v>439391.45848718635</v>
      </c>
    </row>
    <row r="145" spans="1:10">
      <c r="A145" s="13"/>
      <c r="B145" s="13"/>
      <c r="C145" s="13"/>
      <c r="D145" s="13"/>
      <c r="E145" s="4">
        <v>141</v>
      </c>
      <c r="F145" s="368">
        <v>47422</v>
      </c>
      <c r="G145" s="2">
        <f t="shared" si="8"/>
        <v>439391.45848718635</v>
      </c>
      <c r="H145" s="2">
        <f t="shared" si="5"/>
        <v>2239.0907199621001</v>
      </c>
      <c r="I145" s="2">
        <f t="shared" si="6"/>
        <v>108781.41122168735</v>
      </c>
      <c r="J145" s="2">
        <f t="shared" si="7"/>
        <v>330610.04726549902</v>
      </c>
    </row>
    <row r="146" spans="1:10">
      <c r="A146" s="13"/>
      <c r="B146" s="13"/>
      <c r="C146" s="13"/>
      <c r="D146" s="13"/>
      <c r="E146" s="4">
        <v>142</v>
      </c>
      <c r="F146" s="368">
        <v>47452</v>
      </c>
      <c r="G146" s="2">
        <f t="shared" si="8"/>
        <v>330610.04726549902</v>
      </c>
      <c r="H146" s="2">
        <f t="shared" ref="H146:H148" si="9">(G146*$C$9)*(F146-F145)/365</f>
        <v>1630.4057125421868</v>
      </c>
      <c r="I146" s="2">
        <f t="shared" ref="I146:I148" si="10">$C$8-H146</f>
        <v>109390.09622910726</v>
      </c>
      <c r="J146" s="2">
        <f t="shared" ref="J146:J148" si="11">G146-I146</f>
        <v>221219.95103639175</v>
      </c>
    </row>
    <row r="147" spans="1:10">
      <c r="A147" s="13"/>
      <c r="B147" s="13"/>
      <c r="C147" s="13"/>
      <c r="D147" s="13"/>
      <c r="E147" s="4">
        <v>143</v>
      </c>
      <c r="F147" s="368">
        <v>47483</v>
      </c>
      <c r="G147" s="2">
        <f t="shared" ref="G147:G148" si="12">J146</f>
        <v>221219.95103639175</v>
      </c>
      <c r="H147" s="2">
        <f t="shared" si="9"/>
        <v>1127.3126271991468</v>
      </c>
      <c r="I147" s="2">
        <f t="shared" si="10"/>
        <v>109893.1893144503</v>
      </c>
      <c r="J147" s="2">
        <f t="shared" si="11"/>
        <v>111326.76172194145</v>
      </c>
    </row>
    <row r="148" spans="1:10">
      <c r="A148" s="13"/>
      <c r="B148" s="13"/>
      <c r="C148" s="13"/>
      <c r="D148" s="13"/>
      <c r="E148" s="7">
        <v>144</v>
      </c>
      <c r="F148" s="368">
        <v>47514</v>
      </c>
      <c r="G148" s="85">
        <f t="shared" si="12"/>
        <v>111326.76172194145</v>
      </c>
      <c r="H148" s="85">
        <f t="shared" si="9"/>
        <v>567.30897754194825</v>
      </c>
      <c r="I148" s="85">
        <f t="shared" si="10"/>
        <v>110453.1929641075</v>
      </c>
      <c r="J148" s="85">
        <f t="shared" si="11"/>
        <v>873.56875783395662</v>
      </c>
    </row>
  </sheetData>
  <phoneticPr fontId="26" type="noConversion"/>
  <printOptions horizontalCentered="1"/>
  <pageMargins left="0.2" right="0.2" top="0.39000000000000007" bottom="0.2" header="0.5" footer="0.5"/>
  <pageSetup scale="90"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0"/>
  <sheetViews>
    <sheetView topLeftCell="A16" zoomScale="125" zoomScaleNormal="125" zoomScalePageLayoutView="125" workbookViewId="0">
      <selection activeCell="K33" sqref="K33"/>
    </sheetView>
  </sheetViews>
  <sheetFormatPr defaultColWidth="8.85546875" defaultRowHeight="12.75"/>
  <cols>
    <col min="1" max="3" width="9.42578125" style="111" customWidth="1"/>
    <col min="4" max="4" width="11.42578125" style="111" bestFit="1" customWidth="1"/>
    <col min="5" max="5" width="9.42578125" style="111" customWidth="1"/>
    <col min="6" max="9" width="11.28515625" style="111" customWidth="1"/>
    <col min="10" max="10" width="13.28515625" style="111" bestFit="1" customWidth="1"/>
    <col min="11" max="13" width="9.42578125" style="111" customWidth="1"/>
    <col min="14" max="16384" width="8.85546875" style="111"/>
  </cols>
  <sheetData>
    <row r="1" spans="1:17" ht="15.75">
      <c r="A1" s="112" t="s">
        <v>199</v>
      </c>
      <c r="B1" s="113"/>
      <c r="C1" s="113"/>
      <c r="D1" s="113"/>
      <c r="E1" s="113"/>
      <c r="F1" s="113"/>
      <c r="G1" s="113"/>
      <c r="H1" s="113"/>
      <c r="I1" s="113"/>
      <c r="J1" s="113"/>
      <c r="K1" s="113"/>
      <c r="L1" s="113"/>
      <c r="M1" s="113"/>
    </row>
    <row r="2" spans="1:17">
      <c r="A2" s="113"/>
      <c r="B2" s="113"/>
      <c r="C2" s="113"/>
      <c r="D2" s="113"/>
      <c r="E2" s="113"/>
      <c r="F2" s="113"/>
      <c r="G2" s="113"/>
      <c r="H2" s="113"/>
      <c r="I2" s="212" t="s">
        <v>85</v>
      </c>
      <c r="J2" s="212" t="s">
        <v>86</v>
      </c>
      <c r="K2" s="113"/>
      <c r="L2" s="113"/>
      <c r="M2" s="113"/>
    </row>
    <row r="3" spans="1:17">
      <c r="B3" s="113"/>
      <c r="C3" s="113"/>
      <c r="D3" s="122" t="s">
        <v>154</v>
      </c>
      <c r="E3" s="161">
        <v>5000</v>
      </c>
      <c r="F3" s="113" t="s">
        <v>15</v>
      </c>
      <c r="G3" s="114" t="s">
        <v>151</v>
      </c>
      <c r="H3" s="115"/>
      <c r="I3" s="116">
        <f>E3*M3/3.785</f>
        <v>10568031.704095112</v>
      </c>
      <c r="J3" s="116">
        <f>I3*0.75</f>
        <v>7926023.7780713346</v>
      </c>
      <c r="L3" s="131" t="s">
        <v>153</v>
      </c>
      <c r="M3" s="160">
        <v>8000</v>
      </c>
    </row>
    <row r="4" spans="1:17">
      <c r="A4" s="113"/>
      <c r="B4" s="113"/>
      <c r="C4" s="113"/>
      <c r="D4" s="113"/>
      <c r="E4" s="113"/>
      <c r="F4" s="113"/>
      <c r="G4" s="117" t="s">
        <v>152</v>
      </c>
      <c r="H4" s="115"/>
      <c r="I4" s="116">
        <f>E3*M3</f>
        <v>40000000</v>
      </c>
      <c r="J4" s="116">
        <f>I4*0.75</f>
        <v>30000000</v>
      </c>
      <c r="K4" s="113"/>
      <c r="L4" s="113"/>
      <c r="M4" s="113"/>
    </row>
    <row r="5" spans="1:17">
      <c r="A5" s="118"/>
      <c r="B5" s="113"/>
      <c r="C5" s="113"/>
      <c r="D5" s="113"/>
      <c r="E5" s="113"/>
      <c r="F5" s="113"/>
      <c r="G5" s="117" t="s">
        <v>155</v>
      </c>
      <c r="H5" s="115"/>
      <c r="I5" s="162">
        <f>I4/12</f>
        <v>3333333.3333333335</v>
      </c>
      <c r="J5" s="163">
        <f>J4/12</f>
        <v>2500000</v>
      </c>
      <c r="K5" s="113"/>
      <c r="L5" s="113"/>
      <c r="M5" s="113"/>
    </row>
    <row r="6" spans="1:17">
      <c r="A6" s="113"/>
      <c r="B6" s="113"/>
      <c r="C6" s="113"/>
      <c r="D6" s="113"/>
      <c r="E6" s="113"/>
      <c r="F6" s="113"/>
      <c r="G6" s="113"/>
      <c r="H6" s="119"/>
      <c r="I6" s="113"/>
      <c r="J6" s="120"/>
      <c r="K6" s="113"/>
      <c r="L6" s="389" t="s">
        <v>163</v>
      </c>
      <c r="M6" s="389"/>
    </row>
    <row r="7" spans="1:17">
      <c r="A7" s="113" t="s">
        <v>156</v>
      </c>
      <c r="B7" s="113"/>
      <c r="C7" s="168">
        <v>600</v>
      </c>
      <c r="D7" s="121" t="s">
        <v>157</v>
      </c>
      <c r="E7" s="164">
        <v>0.08</v>
      </c>
      <c r="F7" s="113" t="s">
        <v>160</v>
      </c>
      <c r="G7" s="165">
        <f>M3</f>
        <v>8000</v>
      </c>
      <c r="H7" s="113" t="s">
        <v>158</v>
      </c>
      <c r="I7" s="113"/>
      <c r="J7" s="166">
        <f>(C7*E7*M3)</f>
        <v>384000</v>
      </c>
      <c r="K7" s="113" t="s">
        <v>159</v>
      </c>
      <c r="L7" s="167">
        <f>J7/$J$3</f>
        <v>4.8447999999999998E-2</v>
      </c>
      <c r="M7" s="153"/>
    </row>
    <row r="8" spans="1:17">
      <c r="A8" s="126"/>
      <c r="B8" s="126"/>
      <c r="C8" s="126"/>
      <c r="D8" s="127"/>
      <c r="E8" s="128"/>
      <c r="F8" s="126"/>
      <c r="G8" s="154"/>
      <c r="H8" s="126"/>
      <c r="I8" s="126"/>
      <c r="J8" s="129"/>
      <c r="K8" s="126"/>
      <c r="L8" s="130"/>
      <c r="M8" s="155"/>
    </row>
    <row r="9" spans="1:17">
      <c r="A9" s="113"/>
      <c r="B9" s="113"/>
      <c r="C9" s="113"/>
      <c r="D9" s="131"/>
      <c r="E9" s="123"/>
      <c r="F9" s="113"/>
      <c r="G9" s="152"/>
      <c r="H9" s="113"/>
      <c r="I9" s="113"/>
      <c r="J9" s="124"/>
      <c r="K9" s="113"/>
      <c r="L9" s="125"/>
      <c r="M9" s="153"/>
    </row>
    <row r="10" spans="1:17">
      <c r="A10" s="113" t="s">
        <v>161</v>
      </c>
      <c r="B10" s="113"/>
      <c r="C10" s="168">
        <v>300</v>
      </c>
      <c r="D10" s="118" t="s">
        <v>14</v>
      </c>
      <c r="E10" s="171">
        <v>1</v>
      </c>
      <c r="F10" s="113" t="s">
        <v>162</v>
      </c>
      <c r="G10" s="165">
        <f>M3</f>
        <v>8000</v>
      </c>
      <c r="H10" s="113" t="s">
        <v>158</v>
      </c>
      <c r="I10" s="113"/>
      <c r="J10" s="113"/>
      <c r="K10" s="113"/>
      <c r="L10" s="125"/>
      <c r="M10" s="113"/>
    </row>
    <row r="11" spans="1:17">
      <c r="A11" s="113"/>
      <c r="B11" s="113"/>
      <c r="C11" s="113"/>
      <c r="D11" s="113"/>
      <c r="E11" s="113"/>
      <c r="F11" s="113"/>
      <c r="G11" s="113"/>
      <c r="H11" s="165">
        <f>C10*M3*3.785</f>
        <v>9084000</v>
      </c>
      <c r="I11" s="113" t="s">
        <v>164</v>
      </c>
      <c r="J11" s="169">
        <f>E10*H11/1000</f>
        <v>9084</v>
      </c>
      <c r="K11" s="113" t="s">
        <v>159</v>
      </c>
      <c r="L11" s="167">
        <f>J11/$J$3</f>
        <v>1.1460979999999999E-3</v>
      </c>
      <c r="M11" s="113"/>
    </row>
    <row r="12" spans="1:17">
      <c r="A12" s="126"/>
      <c r="B12" s="126"/>
      <c r="C12" s="126"/>
      <c r="D12" s="126"/>
      <c r="E12" s="126"/>
      <c r="F12" s="126"/>
      <c r="G12" s="126"/>
      <c r="H12" s="154"/>
      <c r="I12" s="126"/>
      <c r="J12" s="156"/>
      <c r="K12" s="126"/>
      <c r="L12" s="130"/>
      <c r="M12" s="126"/>
    </row>
    <row r="13" spans="1:17" ht="15">
      <c r="A13" s="113"/>
      <c r="B13" s="113"/>
      <c r="C13" s="113"/>
      <c r="D13" s="113"/>
      <c r="E13" s="113"/>
      <c r="F13" s="113"/>
      <c r="G13" s="113"/>
      <c r="H13" s="152"/>
      <c r="I13" s="113"/>
      <c r="J13" s="157"/>
      <c r="K13" s="113"/>
      <c r="L13" s="125"/>
      <c r="M13" s="113"/>
      <c r="O13" s="133"/>
      <c r="P13" s="133"/>
      <c r="Q13" s="133"/>
    </row>
    <row r="14" spans="1:17" ht="15">
      <c r="A14" s="113" t="s">
        <v>165</v>
      </c>
      <c r="B14" s="113"/>
      <c r="C14" s="113"/>
      <c r="D14" s="113"/>
      <c r="E14" s="132"/>
      <c r="F14" s="113" t="s">
        <v>166</v>
      </c>
      <c r="G14" s="113"/>
      <c r="H14" s="113"/>
      <c r="I14" s="153"/>
      <c r="J14" s="132"/>
      <c r="K14" s="134" t="s">
        <v>159</v>
      </c>
      <c r="L14" s="170">
        <f>J15/$I$3</f>
        <v>0</v>
      </c>
      <c r="M14" s="113"/>
      <c r="O14" s="133"/>
      <c r="P14" s="133"/>
      <c r="Q14" s="133"/>
    </row>
    <row r="15" spans="1:17" ht="15">
      <c r="A15" s="126"/>
      <c r="B15" s="126"/>
      <c r="C15" s="126"/>
      <c r="D15" s="126"/>
      <c r="E15" s="126"/>
      <c r="F15" s="126"/>
      <c r="G15" s="126"/>
      <c r="H15" s="126"/>
      <c r="I15" s="126"/>
      <c r="J15" s="136"/>
      <c r="K15" s="126"/>
      <c r="L15" s="130"/>
      <c r="M15" s="126"/>
      <c r="O15" s="133"/>
      <c r="P15" s="133"/>
      <c r="Q15" s="133"/>
    </row>
    <row r="16" spans="1:17">
      <c r="A16" s="113"/>
      <c r="B16" s="113"/>
      <c r="C16" s="113"/>
      <c r="D16" s="113"/>
      <c r="E16" s="113"/>
      <c r="F16" s="113"/>
      <c r="G16" s="113"/>
      <c r="H16" s="113"/>
      <c r="I16" s="113"/>
      <c r="J16" s="132"/>
      <c r="K16" s="113"/>
      <c r="L16" s="125"/>
      <c r="M16" s="113"/>
    </row>
    <row r="17" spans="1:13">
      <c r="A17" s="113" t="s">
        <v>167</v>
      </c>
      <c r="B17" s="113"/>
      <c r="C17" s="118" t="s">
        <v>168</v>
      </c>
      <c r="D17" s="113"/>
      <c r="E17" s="113"/>
      <c r="F17" s="165">
        <f>0.05*I3</f>
        <v>528401.58520475565</v>
      </c>
      <c r="G17" s="113" t="s">
        <v>95</v>
      </c>
      <c r="H17" s="132"/>
      <c r="I17" s="113" t="s">
        <v>163</v>
      </c>
      <c r="J17" s="171">
        <v>40000</v>
      </c>
      <c r="K17" s="113" t="s">
        <v>159</v>
      </c>
      <c r="L17" s="167">
        <f>J17/$J$3</f>
        <v>5.0466666666666663E-3</v>
      </c>
      <c r="M17" s="113"/>
    </row>
    <row r="18" spans="1:13">
      <c r="A18" s="126"/>
      <c r="B18" s="126"/>
      <c r="C18" s="126"/>
      <c r="D18" s="126"/>
      <c r="E18" s="126"/>
      <c r="F18" s="154"/>
      <c r="G18" s="126"/>
      <c r="H18" s="136"/>
      <c r="I18" s="126"/>
      <c r="J18" s="136"/>
      <c r="K18" s="126"/>
      <c r="L18" s="130"/>
      <c r="M18" s="126"/>
    </row>
    <row r="19" spans="1:13">
      <c r="A19" s="113"/>
      <c r="B19" s="113"/>
      <c r="C19" s="113"/>
      <c r="D19" s="113"/>
      <c r="E19" s="113"/>
      <c r="F19" s="152"/>
      <c r="G19" s="113"/>
      <c r="H19" s="132"/>
      <c r="I19" s="113"/>
      <c r="J19" s="132"/>
      <c r="K19" s="113"/>
      <c r="L19" s="125"/>
      <c r="M19" s="113"/>
    </row>
    <row r="20" spans="1:13">
      <c r="A20" s="113" t="s">
        <v>169</v>
      </c>
      <c r="B20" s="113"/>
      <c r="C20" s="113"/>
      <c r="D20" s="113"/>
      <c r="E20" s="113" t="s">
        <v>13</v>
      </c>
      <c r="F20" s="152"/>
      <c r="G20" s="113"/>
      <c r="H20" s="132"/>
      <c r="I20" s="113"/>
      <c r="J20" s="171">
        <v>250000</v>
      </c>
      <c r="K20" s="113" t="s">
        <v>159</v>
      </c>
      <c r="L20" s="167">
        <f>J20/$I$3</f>
        <v>2.365625E-2</v>
      </c>
      <c r="M20" s="113"/>
    </row>
    <row r="21" spans="1:13">
      <c r="A21" s="126"/>
      <c r="B21" s="126"/>
      <c r="C21" s="126"/>
      <c r="D21" s="126"/>
      <c r="E21" s="126"/>
      <c r="F21" s="154"/>
      <c r="G21" s="126"/>
      <c r="H21" s="136"/>
      <c r="I21" s="126"/>
      <c r="J21" s="136"/>
      <c r="K21" s="126"/>
      <c r="L21" s="130"/>
      <c r="M21" s="126"/>
    </row>
    <row r="22" spans="1:13">
      <c r="A22" s="113"/>
      <c r="B22" s="113"/>
      <c r="C22" s="113"/>
      <c r="D22" s="113"/>
      <c r="E22" s="113"/>
      <c r="F22" s="113"/>
      <c r="G22" s="113"/>
      <c r="H22" s="113"/>
      <c r="I22" s="113"/>
      <c r="J22" s="113"/>
      <c r="K22" s="113"/>
      <c r="L22" s="125"/>
      <c r="M22" s="113"/>
    </row>
    <row r="23" spans="1:13">
      <c r="A23" s="113" t="s">
        <v>170</v>
      </c>
      <c r="B23" s="113"/>
      <c r="C23" s="113"/>
      <c r="D23" s="113"/>
      <c r="E23" s="113"/>
      <c r="F23" s="113"/>
      <c r="G23" s="113"/>
      <c r="H23" s="113"/>
      <c r="I23" s="113"/>
      <c r="J23" s="171">
        <v>100000</v>
      </c>
      <c r="K23" s="113" t="s">
        <v>159</v>
      </c>
      <c r="L23" s="167">
        <f>J23/$J$3</f>
        <v>1.2616666666666667E-2</v>
      </c>
      <c r="M23" s="113"/>
    </row>
    <row r="24" spans="1:13">
      <c r="A24" s="126"/>
      <c r="B24" s="126"/>
      <c r="C24" s="126"/>
      <c r="D24" s="126"/>
      <c r="E24" s="126"/>
      <c r="F24" s="126"/>
      <c r="G24" s="126"/>
      <c r="H24" s="126"/>
      <c r="I24" s="126"/>
      <c r="J24" s="136"/>
      <c r="K24" s="126"/>
      <c r="L24" s="130"/>
      <c r="M24" s="126"/>
    </row>
    <row r="25" spans="1:13">
      <c r="A25" s="113"/>
      <c r="B25" s="113"/>
      <c r="C25" s="113"/>
      <c r="D25" s="113"/>
      <c r="E25" s="113"/>
      <c r="F25" s="113"/>
      <c r="G25" s="113"/>
      <c r="H25" s="113"/>
      <c r="I25" s="113"/>
      <c r="J25" s="132"/>
      <c r="K25" s="113"/>
      <c r="L25" s="125"/>
      <c r="M25" s="113"/>
    </row>
    <row r="26" spans="1:13">
      <c r="A26" s="113" t="s">
        <v>171</v>
      </c>
      <c r="B26" s="113"/>
      <c r="C26" s="113"/>
      <c r="D26" s="113"/>
      <c r="E26" s="113"/>
      <c r="F26" s="113"/>
      <c r="G26" s="120"/>
      <c r="H26" s="137"/>
      <c r="I26" s="113"/>
      <c r="J26" s="171">
        <v>200000</v>
      </c>
      <c r="K26" s="113" t="s">
        <v>159</v>
      </c>
      <c r="L26" s="167">
        <f>J26/$J$3</f>
        <v>2.5233333333333333E-2</v>
      </c>
      <c r="M26" s="113"/>
    </row>
    <row r="27" spans="1:13">
      <c r="A27" s="126"/>
      <c r="B27" s="126"/>
      <c r="C27" s="126"/>
      <c r="D27" s="126"/>
      <c r="E27" s="126"/>
      <c r="F27" s="126"/>
      <c r="G27" s="138"/>
      <c r="H27" s="139"/>
      <c r="I27" s="126"/>
      <c r="J27" s="129"/>
      <c r="K27" s="140"/>
      <c r="L27" s="130"/>
      <c r="M27" s="126"/>
    </row>
    <row r="28" spans="1:13">
      <c r="A28" s="113"/>
      <c r="B28" s="113"/>
      <c r="C28" s="113"/>
      <c r="D28" s="113"/>
      <c r="E28" s="113"/>
      <c r="F28" s="113"/>
      <c r="G28" s="113"/>
      <c r="H28" s="113"/>
      <c r="I28" s="113"/>
      <c r="J28" s="132"/>
      <c r="K28" s="113"/>
      <c r="L28" s="125"/>
      <c r="M28" s="113"/>
    </row>
    <row r="29" spans="1:13">
      <c r="A29" s="113" t="s">
        <v>172</v>
      </c>
      <c r="B29" s="113"/>
      <c r="C29" s="113"/>
      <c r="D29" s="113"/>
      <c r="E29" s="113"/>
      <c r="F29" s="113"/>
      <c r="G29" s="113"/>
      <c r="H29" s="113"/>
      <c r="I29" s="113"/>
      <c r="J29" s="171">
        <v>100000</v>
      </c>
      <c r="K29" s="113" t="s">
        <v>159</v>
      </c>
      <c r="L29" s="167">
        <f>J29/$J$3</f>
        <v>1.2616666666666667E-2</v>
      </c>
      <c r="M29" s="113"/>
    </row>
    <row r="30" spans="1:13">
      <c r="A30" s="126"/>
      <c r="B30" s="126"/>
      <c r="C30" s="126"/>
      <c r="D30" s="126"/>
      <c r="E30" s="126"/>
      <c r="F30" s="126"/>
      <c r="G30" s="126"/>
      <c r="H30" s="126"/>
      <c r="I30" s="126"/>
      <c r="J30" s="136"/>
      <c r="K30" s="126"/>
      <c r="L30" s="130"/>
      <c r="M30" s="126"/>
    </row>
    <row r="31" spans="1:13">
      <c r="A31" s="113"/>
      <c r="B31" s="113"/>
      <c r="C31" s="113"/>
      <c r="D31" s="113"/>
      <c r="E31" s="113"/>
      <c r="F31" s="113"/>
      <c r="G31" s="113"/>
      <c r="H31" s="113"/>
      <c r="I31" s="113"/>
      <c r="J31" s="132"/>
      <c r="K31" s="113"/>
      <c r="L31" s="125"/>
      <c r="M31" s="113"/>
    </row>
    <row r="32" spans="1:13">
      <c r="A32" s="113" t="s">
        <v>173</v>
      </c>
      <c r="B32" s="113"/>
      <c r="C32" s="113"/>
      <c r="D32" s="113"/>
      <c r="E32" s="113"/>
      <c r="F32" s="152"/>
      <c r="G32" s="113"/>
      <c r="H32" s="113"/>
      <c r="I32" s="113"/>
      <c r="J32" s="171">
        <v>100000</v>
      </c>
      <c r="K32" s="113" t="s">
        <v>159</v>
      </c>
      <c r="L32" s="167">
        <f>J32/$I$3</f>
        <v>9.4625000000000004E-3</v>
      </c>
      <c r="M32" s="113"/>
    </row>
    <row r="33" spans="1:17">
      <c r="A33" s="126"/>
      <c r="B33" s="126"/>
      <c r="C33" s="126"/>
      <c r="D33" s="126"/>
      <c r="E33" s="126"/>
      <c r="F33" s="126"/>
      <c r="G33" s="126"/>
      <c r="H33" s="126"/>
      <c r="I33" s="126"/>
      <c r="J33" s="136"/>
      <c r="K33" s="126"/>
      <c r="L33" s="130"/>
      <c r="M33" s="126"/>
    </row>
    <row r="34" spans="1:17">
      <c r="A34" s="113"/>
      <c r="B34" s="113"/>
      <c r="C34" s="113"/>
      <c r="D34" s="113"/>
      <c r="E34" s="113"/>
      <c r="F34" s="113"/>
      <c r="G34" s="113"/>
      <c r="H34" s="113"/>
      <c r="I34" s="113"/>
      <c r="J34" s="132"/>
      <c r="K34" s="113"/>
      <c r="L34" s="125"/>
      <c r="M34" s="113"/>
    </row>
    <row r="35" spans="1:17">
      <c r="A35" s="134" t="s">
        <v>174</v>
      </c>
      <c r="B35" s="134"/>
      <c r="C35" s="134"/>
      <c r="D35" s="134"/>
      <c r="E35" s="134"/>
      <c r="F35" s="113"/>
      <c r="G35" s="113"/>
      <c r="H35" s="113"/>
      <c r="I35" s="113"/>
      <c r="J35" s="172">
        <f>'Org-Salary Structure'!G14</f>
        <v>1316750</v>
      </c>
      <c r="K35" s="134" t="s">
        <v>159</v>
      </c>
      <c r="L35" s="167">
        <f>J35/$J$3</f>
        <v>0.16612995833333333</v>
      </c>
      <c r="M35" s="113"/>
    </row>
    <row r="36" spans="1:17">
      <c r="A36" s="134"/>
      <c r="B36" s="134"/>
      <c r="C36" s="134"/>
      <c r="D36" s="134"/>
      <c r="E36" s="134"/>
      <c r="F36" s="113"/>
      <c r="G36" s="113"/>
      <c r="H36" s="113"/>
      <c r="I36" s="113"/>
      <c r="J36" s="141"/>
      <c r="K36" s="134"/>
      <c r="L36" s="135"/>
      <c r="M36" s="113"/>
    </row>
    <row r="37" spans="1:17">
      <c r="A37" s="134"/>
      <c r="B37" s="134"/>
      <c r="C37" s="134"/>
      <c r="D37" s="134"/>
      <c r="E37" s="134"/>
      <c r="F37" s="113"/>
      <c r="G37" s="113"/>
      <c r="H37" s="113"/>
      <c r="I37" s="113"/>
      <c r="J37" s="141"/>
      <c r="K37" s="134"/>
      <c r="L37" s="135"/>
      <c r="M37" s="113"/>
    </row>
    <row r="38" spans="1:17">
      <c r="A38" s="134" t="s">
        <v>273</v>
      </c>
      <c r="B38" s="134"/>
      <c r="C38" s="134"/>
      <c r="D38" s="134"/>
      <c r="E38" s="134"/>
      <c r="F38" s="113"/>
      <c r="G38" s="113"/>
      <c r="H38" s="113"/>
      <c r="I38" s="113"/>
      <c r="J38" s="141">
        <v>120000</v>
      </c>
      <c r="K38" s="134"/>
      <c r="L38" s="167">
        <f>J38/$J$3</f>
        <v>1.5139999999999999E-2</v>
      </c>
      <c r="M38" s="113"/>
    </row>
    <row r="39" spans="1:17" ht="15.75" thickBot="1">
      <c r="A39" s="142"/>
      <c r="B39" s="142"/>
      <c r="C39" s="142"/>
      <c r="D39" s="142"/>
      <c r="E39" s="142"/>
      <c r="F39" s="142"/>
      <c r="G39" s="142"/>
      <c r="H39" s="142"/>
      <c r="I39" s="142"/>
      <c r="J39" s="142"/>
      <c r="K39" s="142"/>
      <c r="L39" s="142"/>
      <c r="M39" s="142"/>
      <c r="N39" s="133"/>
      <c r="O39" s="133"/>
      <c r="P39" s="143"/>
      <c r="Q39" s="143"/>
    </row>
    <row r="40" spans="1:17" ht="15">
      <c r="A40" s="113" t="s">
        <v>175</v>
      </c>
      <c r="B40" s="113"/>
      <c r="C40" s="113"/>
      <c r="D40" s="113"/>
      <c r="E40" s="113"/>
      <c r="F40" s="113"/>
      <c r="G40" s="113"/>
      <c r="H40" s="113"/>
      <c r="I40" s="113"/>
      <c r="J40" s="166">
        <f>SUM(J7:J39)</f>
        <v>2619834</v>
      </c>
      <c r="K40" s="113"/>
      <c r="L40" s="167">
        <f>J40/$J$3</f>
        <v>0.330535723</v>
      </c>
      <c r="M40" s="113"/>
      <c r="N40" s="133"/>
      <c r="O40" s="133"/>
    </row>
    <row r="41" spans="1:17" ht="15">
      <c r="A41" s="113"/>
      <c r="B41" s="113"/>
      <c r="C41" s="113"/>
      <c r="D41" s="113"/>
      <c r="E41" s="113"/>
      <c r="F41" s="124"/>
      <c r="G41" s="113"/>
      <c r="H41" s="113"/>
      <c r="I41" s="113"/>
      <c r="J41" s="132"/>
      <c r="K41" s="113"/>
      <c r="L41" s="113"/>
      <c r="M41" s="113"/>
      <c r="N41" s="133"/>
      <c r="O41" s="133"/>
    </row>
    <row r="42" spans="1:17" ht="15.75" thickBot="1">
      <c r="A42" s="113" t="s">
        <v>176</v>
      </c>
      <c r="B42" s="113"/>
      <c r="C42" s="113"/>
      <c r="D42" s="113"/>
      <c r="E42" s="113"/>
      <c r="F42" s="124"/>
      <c r="G42" s="113"/>
      <c r="H42" s="113"/>
      <c r="I42" s="113"/>
      <c r="J42" s="113"/>
      <c r="K42" s="113"/>
      <c r="L42" s="113"/>
      <c r="M42" s="113"/>
      <c r="N42" s="133"/>
      <c r="O42" s="133"/>
    </row>
    <row r="43" spans="1:17" ht="15">
      <c r="A43" s="144" t="s">
        <v>177</v>
      </c>
      <c r="B43" s="145"/>
      <c r="C43" s="145"/>
      <c r="D43" s="145"/>
      <c r="E43" s="145"/>
      <c r="F43" s="145"/>
      <c r="G43" s="145"/>
      <c r="H43" s="145"/>
      <c r="I43" s="145"/>
      <c r="J43" s="145"/>
      <c r="K43" s="145"/>
      <c r="L43" s="146">
        <f>L40/3.785</f>
        <v>8.7327799999999997E-2</v>
      </c>
      <c r="M43" s="113"/>
      <c r="N43" s="133"/>
      <c r="O43" s="133"/>
    </row>
    <row r="44" spans="1:17" ht="15.75" thickBot="1">
      <c r="A44" s="147" t="s">
        <v>178</v>
      </c>
      <c r="B44" s="126"/>
      <c r="C44" s="126"/>
      <c r="D44" s="126"/>
      <c r="E44" s="126"/>
      <c r="F44" s="126"/>
      <c r="G44" s="126"/>
      <c r="H44" s="126"/>
      <c r="I44" s="126"/>
      <c r="J44" s="126"/>
      <c r="K44" s="148"/>
      <c r="L44" s="149">
        <f>L40</f>
        <v>0.330535723</v>
      </c>
      <c r="M44" s="113"/>
      <c r="N44" s="133"/>
      <c r="O44" s="133"/>
    </row>
    <row r="45" spans="1:17" ht="15">
      <c r="A45" s="134" t="s">
        <v>91</v>
      </c>
      <c r="B45" s="134"/>
      <c r="C45" s="134"/>
      <c r="D45" s="134"/>
      <c r="E45" s="134"/>
      <c r="F45" s="134"/>
      <c r="G45" s="134"/>
      <c r="H45" s="134"/>
      <c r="I45" s="134"/>
      <c r="J45" s="134"/>
      <c r="K45" s="150"/>
      <c r="L45" s="146">
        <f>L40/4</f>
        <v>8.2633930750000001E-2</v>
      </c>
      <c r="M45" s="158"/>
      <c r="N45" s="133"/>
      <c r="O45" s="133"/>
    </row>
    <row r="46" spans="1:17" ht="13.5" thickBot="1">
      <c r="A46" s="126" t="s">
        <v>87</v>
      </c>
      <c r="B46" s="126"/>
      <c r="C46" s="126"/>
      <c r="D46" s="126"/>
      <c r="E46" s="126"/>
      <c r="F46" s="126"/>
      <c r="G46" s="126"/>
      <c r="H46" s="126"/>
      <c r="I46" s="126"/>
      <c r="J46" s="126"/>
      <c r="K46" s="154"/>
      <c r="L46" s="151">
        <f>L44*55</f>
        <v>18.179464764999999</v>
      </c>
      <c r="M46" s="158"/>
    </row>
    <row r="47" spans="1:17">
      <c r="K47" s="159"/>
    </row>
    <row r="48" spans="1:17" s="133" customFormat="1" ht="15">
      <c r="A48" s="83"/>
      <c r="B48" s="30" t="s">
        <v>0</v>
      </c>
      <c r="C48" s="30"/>
      <c r="D48" s="30"/>
      <c r="E48" s="30"/>
      <c r="F48" s="30"/>
      <c r="G48" s="30"/>
      <c r="H48" s="30"/>
      <c r="I48" s="30"/>
      <c r="J48" s="30"/>
      <c r="K48" s="30"/>
      <c r="L48" s="30"/>
      <c r="M48" s="30"/>
    </row>
    <row r="49" s="133" customFormat="1" ht="15"/>
    <row r="50" s="133" customFormat="1" ht="15"/>
    <row r="51" s="133" customFormat="1" ht="15"/>
    <row r="52" s="133" customFormat="1" ht="15"/>
    <row r="53" s="133" customFormat="1" ht="15"/>
    <row r="54" s="133" customFormat="1" ht="15"/>
    <row r="55" s="133" customFormat="1" ht="15"/>
    <row r="56" s="133" customFormat="1" ht="15"/>
    <row r="57" s="133" customFormat="1" ht="15"/>
    <row r="58" s="133" customFormat="1" ht="15"/>
    <row r="59" s="133" customFormat="1" ht="15"/>
    <row r="60" s="133" customFormat="1" ht="15"/>
  </sheetData>
  <mergeCells count="1">
    <mergeCell ref="L6:M6"/>
  </mergeCells>
  <printOptions horizontalCentered="1"/>
  <pageMargins left="0.2" right="0" top="0.5868503937007874" bottom="0.2" header="0.5" footer="0.5"/>
  <pageSetup scale="80" orientation="landscape" horizontalDpi="4294967292" verticalDpi="429496729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0"/>
  <sheetViews>
    <sheetView topLeftCell="A19" zoomScale="125" zoomScaleNormal="125" zoomScalePageLayoutView="125" workbookViewId="0">
      <selection activeCell="J33" sqref="J33"/>
    </sheetView>
  </sheetViews>
  <sheetFormatPr defaultColWidth="8.85546875" defaultRowHeight="12.75"/>
  <cols>
    <col min="1" max="3" width="9.42578125" style="111" customWidth="1"/>
    <col min="4" max="4" width="11.42578125" style="111" bestFit="1" customWidth="1"/>
    <col min="5" max="5" width="9.42578125" style="111" customWidth="1"/>
    <col min="6" max="9" width="11.28515625" style="111" customWidth="1"/>
    <col min="10" max="10" width="13.28515625" style="111" bestFit="1" customWidth="1"/>
    <col min="11" max="13" width="9.42578125" style="111" customWidth="1"/>
    <col min="14" max="16384" width="8.85546875" style="111"/>
  </cols>
  <sheetData>
    <row r="1" spans="1:17" ht="15.75">
      <c r="A1" s="112" t="s">
        <v>199</v>
      </c>
      <c r="B1" s="113"/>
      <c r="C1" s="113"/>
      <c r="D1" s="113"/>
      <c r="E1" s="113"/>
      <c r="F1" s="113"/>
      <c r="G1" s="113"/>
      <c r="H1" s="113"/>
      <c r="I1" s="113"/>
      <c r="J1" s="113"/>
      <c r="K1" s="113"/>
      <c r="L1" s="113"/>
      <c r="M1" s="113"/>
    </row>
    <row r="2" spans="1:17">
      <c r="A2" s="113"/>
      <c r="B2" s="113"/>
      <c r="C2" s="113"/>
      <c r="D2" s="113"/>
      <c r="E2" s="113"/>
      <c r="F2" s="113"/>
      <c r="G2" s="113"/>
      <c r="H2" s="113"/>
      <c r="I2" s="212" t="s">
        <v>85</v>
      </c>
      <c r="J2" s="212" t="s">
        <v>86</v>
      </c>
      <c r="K2" s="113"/>
      <c r="L2" s="113"/>
      <c r="M2" s="113"/>
    </row>
    <row r="3" spans="1:17">
      <c r="B3" s="113"/>
      <c r="C3" s="113"/>
      <c r="D3" s="122" t="s">
        <v>154</v>
      </c>
      <c r="E3" s="161">
        <v>2500</v>
      </c>
      <c r="F3" s="113" t="s">
        <v>15</v>
      </c>
      <c r="G3" s="114" t="s">
        <v>151</v>
      </c>
      <c r="H3" s="115"/>
      <c r="I3" s="116">
        <f>E3*M3/3.785</f>
        <v>5284015.8520475561</v>
      </c>
      <c r="J3" s="116">
        <f>I3*0.75</f>
        <v>3963011.8890356673</v>
      </c>
      <c r="L3" s="131" t="s">
        <v>153</v>
      </c>
      <c r="M3" s="160">
        <v>8000</v>
      </c>
    </row>
    <row r="4" spans="1:17">
      <c r="A4" s="113"/>
      <c r="B4" s="113"/>
      <c r="C4" s="113"/>
      <c r="D4" s="113"/>
      <c r="E4" s="113"/>
      <c r="F4" s="113"/>
      <c r="G4" s="117" t="s">
        <v>152</v>
      </c>
      <c r="H4" s="115"/>
      <c r="I4" s="116">
        <f>E3*M3</f>
        <v>20000000</v>
      </c>
      <c r="J4" s="116">
        <f>I4*0.75</f>
        <v>15000000</v>
      </c>
      <c r="K4" s="113"/>
      <c r="L4" s="113"/>
      <c r="M4" s="113"/>
    </row>
    <row r="5" spans="1:17">
      <c r="A5" s="118"/>
      <c r="B5" s="113"/>
      <c r="C5" s="113"/>
      <c r="D5" s="113"/>
      <c r="E5" s="113"/>
      <c r="F5" s="113"/>
      <c r="G5" s="117" t="s">
        <v>155</v>
      </c>
      <c r="H5" s="115"/>
      <c r="I5" s="162">
        <f>I4/12</f>
        <v>1666666.6666666667</v>
      </c>
      <c r="J5" s="163">
        <f>J4/12</f>
        <v>1250000</v>
      </c>
      <c r="K5" s="113"/>
      <c r="L5" s="113"/>
      <c r="M5" s="113"/>
    </row>
    <row r="6" spans="1:17">
      <c r="A6" s="113"/>
      <c r="B6" s="113"/>
      <c r="C6" s="113"/>
      <c r="D6" s="113"/>
      <c r="E6" s="113"/>
      <c r="F6" s="113"/>
      <c r="G6" s="113"/>
      <c r="H6" s="119"/>
      <c r="I6" s="113"/>
      <c r="J6" s="120"/>
      <c r="K6" s="113"/>
      <c r="L6" s="389" t="s">
        <v>163</v>
      </c>
      <c r="M6" s="389"/>
    </row>
    <row r="7" spans="1:17">
      <c r="A7" s="113" t="s">
        <v>156</v>
      </c>
      <c r="B7" s="113"/>
      <c r="C7" s="168">
        <v>400</v>
      </c>
      <c r="D7" s="121" t="s">
        <v>157</v>
      </c>
      <c r="E7" s="164">
        <v>0.08</v>
      </c>
      <c r="F7" s="113" t="s">
        <v>160</v>
      </c>
      <c r="G7" s="165">
        <f>M3</f>
        <v>8000</v>
      </c>
      <c r="H7" s="113" t="s">
        <v>158</v>
      </c>
      <c r="I7" s="113"/>
      <c r="J7" s="166">
        <f>(C7*E7*M3)</f>
        <v>256000</v>
      </c>
      <c r="K7" s="113" t="s">
        <v>159</v>
      </c>
      <c r="L7" s="167">
        <f>J7/$J$3</f>
        <v>6.4597333333333326E-2</v>
      </c>
      <c r="M7" s="153"/>
    </row>
    <row r="8" spans="1:17">
      <c r="A8" s="126"/>
      <c r="B8" s="126"/>
      <c r="C8" s="126"/>
      <c r="D8" s="127"/>
      <c r="E8" s="128"/>
      <c r="F8" s="126"/>
      <c r="G8" s="154"/>
      <c r="H8" s="126"/>
      <c r="I8" s="126"/>
      <c r="J8" s="129"/>
      <c r="K8" s="126"/>
      <c r="L8" s="130"/>
      <c r="M8" s="155"/>
    </row>
    <row r="9" spans="1:17">
      <c r="A9" s="113"/>
      <c r="B9" s="113"/>
      <c r="C9" s="113"/>
      <c r="D9" s="131"/>
      <c r="E9" s="123"/>
      <c r="F9" s="113"/>
      <c r="G9" s="152"/>
      <c r="H9" s="113"/>
      <c r="I9" s="113"/>
      <c r="J9" s="124"/>
      <c r="K9" s="113"/>
      <c r="L9" s="125"/>
      <c r="M9" s="153"/>
    </row>
    <row r="10" spans="1:17">
      <c r="A10" s="113" t="s">
        <v>161</v>
      </c>
      <c r="B10" s="113"/>
      <c r="C10" s="168">
        <v>200</v>
      </c>
      <c r="D10" s="118" t="s">
        <v>14</v>
      </c>
      <c r="E10" s="171">
        <v>1</v>
      </c>
      <c r="F10" s="113" t="s">
        <v>162</v>
      </c>
      <c r="G10" s="165">
        <f>M3</f>
        <v>8000</v>
      </c>
      <c r="H10" s="113" t="s">
        <v>158</v>
      </c>
      <c r="I10" s="113"/>
      <c r="J10" s="113"/>
      <c r="K10" s="113"/>
      <c r="L10" s="125"/>
      <c r="M10" s="113"/>
    </row>
    <row r="11" spans="1:17">
      <c r="A11" s="113"/>
      <c r="B11" s="113"/>
      <c r="C11" s="113"/>
      <c r="D11" s="113"/>
      <c r="E11" s="113"/>
      <c r="F11" s="113"/>
      <c r="G11" s="113"/>
      <c r="H11" s="165">
        <f>C10*M3*3.785</f>
        <v>6056000</v>
      </c>
      <c r="I11" s="113" t="s">
        <v>164</v>
      </c>
      <c r="J11" s="169">
        <f>E10*H11/1000</f>
        <v>6056</v>
      </c>
      <c r="K11" s="113" t="s">
        <v>159</v>
      </c>
      <c r="L11" s="167">
        <f>J11/$J$3</f>
        <v>1.5281306666666667E-3</v>
      </c>
      <c r="M11" s="113"/>
    </row>
    <row r="12" spans="1:17">
      <c r="A12" s="126"/>
      <c r="B12" s="126"/>
      <c r="C12" s="126"/>
      <c r="D12" s="126"/>
      <c r="E12" s="126"/>
      <c r="F12" s="126"/>
      <c r="G12" s="126"/>
      <c r="H12" s="154"/>
      <c r="I12" s="126"/>
      <c r="J12" s="156"/>
      <c r="K12" s="126"/>
      <c r="L12" s="130"/>
      <c r="M12" s="126"/>
    </row>
    <row r="13" spans="1:17" ht="15">
      <c r="A13" s="113"/>
      <c r="B13" s="113"/>
      <c r="C13" s="113"/>
      <c r="D13" s="113"/>
      <c r="E13" s="113"/>
      <c r="F13" s="113"/>
      <c r="G13" s="113"/>
      <c r="H13" s="152"/>
      <c r="I13" s="113"/>
      <c r="J13" s="157"/>
      <c r="K13" s="113"/>
      <c r="L13" s="125"/>
      <c r="M13" s="113"/>
      <c r="O13" s="133"/>
      <c r="P13" s="133"/>
      <c r="Q13" s="133"/>
    </row>
    <row r="14" spans="1:17" ht="15">
      <c r="A14" s="113" t="s">
        <v>165</v>
      </c>
      <c r="B14" s="113"/>
      <c r="C14" s="113"/>
      <c r="D14" s="113"/>
      <c r="E14" s="132"/>
      <c r="F14" s="113" t="s">
        <v>166</v>
      </c>
      <c r="G14" s="113"/>
      <c r="H14" s="113"/>
      <c r="I14" s="153"/>
      <c r="J14" s="132"/>
      <c r="K14" s="134" t="s">
        <v>159</v>
      </c>
      <c r="L14" s="170">
        <f>J15/$I$3</f>
        <v>0</v>
      </c>
      <c r="M14" s="113"/>
      <c r="O14" s="133"/>
      <c r="P14" s="133"/>
      <c r="Q14" s="133"/>
    </row>
    <row r="15" spans="1:17" ht="15">
      <c r="A15" s="126"/>
      <c r="B15" s="126"/>
      <c r="C15" s="126"/>
      <c r="D15" s="126"/>
      <c r="E15" s="126"/>
      <c r="F15" s="126"/>
      <c r="G15" s="126"/>
      <c r="H15" s="126"/>
      <c r="I15" s="126"/>
      <c r="J15" s="136"/>
      <c r="K15" s="126"/>
      <c r="L15" s="130"/>
      <c r="M15" s="126"/>
      <c r="O15" s="133"/>
      <c r="P15" s="133"/>
      <c r="Q15" s="133"/>
    </row>
    <row r="16" spans="1:17">
      <c r="A16" s="113"/>
      <c r="B16" s="113"/>
      <c r="C16" s="113"/>
      <c r="D16" s="113"/>
      <c r="E16" s="113"/>
      <c r="F16" s="113"/>
      <c r="G16" s="113"/>
      <c r="H16" s="113"/>
      <c r="I16" s="113"/>
      <c r="J16" s="132"/>
      <c r="K16" s="113"/>
      <c r="L16" s="125"/>
      <c r="M16" s="113"/>
    </row>
    <row r="17" spans="1:13">
      <c r="A17" s="113" t="s">
        <v>167</v>
      </c>
      <c r="B17" s="113"/>
      <c r="C17" s="118" t="s">
        <v>168</v>
      </c>
      <c r="D17" s="113"/>
      <c r="E17" s="113"/>
      <c r="F17" s="165">
        <f>0.05*I3</f>
        <v>264200.79260237783</v>
      </c>
      <c r="G17" s="113" t="s">
        <v>95</v>
      </c>
      <c r="H17" s="132"/>
      <c r="I17" s="113" t="s">
        <v>163</v>
      </c>
      <c r="J17" s="171">
        <v>20000</v>
      </c>
      <c r="K17" s="113" t="s">
        <v>159</v>
      </c>
      <c r="L17" s="167">
        <f>J17/$J$3</f>
        <v>5.0466666666666663E-3</v>
      </c>
      <c r="M17" s="113"/>
    </row>
    <row r="18" spans="1:13">
      <c r="A18" s="126"/>
      <c r="B18" s="126"/>
      <c r="C18" s="126"/>
      <c r="D18" s="126"/>
      <c r="E18" s="126"/>
      <c r="F18" s="154"/>
      <c r="G18" s="126"/>
      <c r="H18" s="136"/>
      <c r="I18" s="126"/>
      <c r="J18" s="136"/>
      <c r="K18" s="126"/>
      <c r="L18" s="130"/>
      <c r="M18" s="126"/>
    </row>
    <row r="19" spans="1:13">
      <c r="A19" s="113"/>
      <c r="B19" s="113"/>
      <c r="C19" s="113"/>
      <c r="D19" s="113"/>
      <c r="E19" s="113"/>
      <c r="F19" s="152"/>
      <c r="G19" s="113"/>
      <c r="H19" s="132"/>
      <c r="I19" s="113"/>
      <c r="J19" s="132"/>
      <c r="K19" s="113"/>
      <c r="L19" s="125"/>
      <c r="M19" s="113"/>
    </row>
    <row r="20" spans="1:13">
      <c r="A20" s="113" t="s">
        <v>169</v>
      </c>
      <c r="B20" s="113"/>
      <c r="C20" s="113"/>
      <c r="D20" s="113"/>
      <c r="E20" s="113" t="s">
        <v>13</v>
      </c>
      <c r="F20" s="152"/>
      <c r="G20" s="113"/>
      <c r="H20" s="132"/>
      <c r="I20" s="113"/>
      <c r="J20" s="171">
        <v>150000</v>
      </c>
      <c r="K20" s="113" t="s">
        <v>159</v>
      </c>
      <c r="L20" s="167">
        <f>J20/$I$3</f>
        <v>2.83875E-2</v>
      </c>
      <c r="M20" s="113"/>
    </row>
    <row r="21" spans="1:13">
      <c r="A21" s="126"/>
      <c r="B21" s="126"/>
      <c r="C21" s="126"/>
      <c r="D21" s="126"/>
      <c r="E21" s="126"/>
      <c r="F21" s="154"/>
      <c r="G21" s="126"/>
      <c r="H21" s="136"/>
      <c r="I21" s="126"/>
      <c r="J21" s="136"/>
      <c r="K21" s="126"/>
      <c r="L21" s="130"/>
      <c r="M21" s="126"/>
    </row>
    <row r="22" spans="1:13">
      <c r="A22" s="113"/>
      <c r="B22" s="113"/>
      <c r="C22" s="113"/>
      <c r="D22" s="113"/>
      <c r="E22" s="113"/>
      <c r="F22" s="113"/>
      <c r="G22" s="113"/>
      <c r="H22" s="113"/>
      <c r="I22" s="113"/>
      <c r="J22" s="113"/>
      <c r="K22" s="113"/>
      <c r="L22" s="125"/>
      <c r="M22" s="113"/>
    </row>
    <row r="23" spans="1:13">
      <c r="A23" s="113" t="s">
        <v>170</v>
      </c>
      <c r="B23" s="113"/>
      <c r="C23" s="113"/>
      <c r="D23" s="113"/>
      <c r="E23" s="113"/>
      <c r="F23" s="113"/>
      <c r="G23" s="113"/>
      <c r="H23" s="113"/>
      <c r="I23" s="113"/>
      <c r="J23" s="171">
        <v>50000</v>
      </c>
      <c r="K23" s="113" t="s">
        <v>159</v>
      </c>
      <c r="L23" s="167">
        <f>J23/$J$3</f>
        <v>1.2616666666666667E-2</v>
      </c>
      <c r="M23" s="113"/>
    </row>
    <row r="24" spans="1:13">
      <c r="A24" s="126"/>
      <c r="B24" s="126"/>
      <c r="C24" s="126"/>
      <c r="D24" s="126"/>
      <c r="E24" s="126"/>
      <c r="F24" s="126"/>
      <c r="G24" s="126"/>
      <c r="H24" s="126"/>
      <c r="I24" s="126"/>
      <c r="J24" s="136"/>
      <c r="K24" s="126"/>
      <c r="L24" s="130"/>
      <c r="M24" s="126"/>
    </row>
    <row r="25" spans="1:13">
      <c r="A25" s="113"/>
      <c r="B25" s="113"/>
      <c r="C25" s="113"/>
      <c r="D25" s="113"/>
      <c r="E25" s="113"/>
      <c r="F25" s="113"/>
      <c r="G25" s="113"/>
      <c r="H25" s="113"/>
      <c r="I25" s="113"/>
      <c r="J25" s="132"/>
      <c r="K25" s="113"/>
      <c r="L25" s="125"/>
      <c r="M25" s="113"/>
    </row>
    <row r="26" spans="1:13">
      <c r="A26" s="113" t="s">
        <v>171</v>
      </c>
      <c r="B26" s="113"/>
      <c r="C26" s="113"/>
      <c r="D26" s="113"/>
      <c r="E26" s="113"/>
      <c r="F26" s="113"/>
      <c r="G26" s="120"/>
      <c r="H26" s="137"/>
      <c r="I26" s="113"/>
      <c r="J26" s="171">
        <v>100000</v>
      </c>
      <c r="K26" s="113" t="s">
        <v>159</v>
      </c>
      <c r="L26" s="167">
        <f>J26/$J$3</f>
        <v>2.5233333333333333E-2</v>
      </c>
      <c r="M26" s="113"/>
    </row>
    <row r="27" spans="1:13">
      <c r="A27" s="126"/>
      <c r="B27" s="126"/>
      <c r="C27" s="126"/>
      <c r="D27" s="126"/>
      <c r="E27" s="126"/>
      <c r="F27" s="126"/>
      <c r="G27" s="138"/>
      <c r="H27" s="139"/>
      <c r="I27" s="126"/>
      <c r="J27" s="129"/>
      <c r="K27" s="140"/>
      <c r="L27" s="130"/>
      <c r="M27" s="126"/>
    </row>
    <row r="28" spans="1:13">
      <c r="A28" s="113"/>
      <c r="B28" s="113"/>
      <c r="C28" s="113"/>
      <c r="D28" s="113"/>
      <c r="E28" s="113"/>
      <c r="F28" s="113"/>
      <c r="G28" s="113"/>
      <c r="H28" s="113"/>
      <c r="I28" s="113"/>
      <c r="J28" s="132"/>
      <c r="K28" s="113"/>
      <c r="L28" s="125"/>
      <c r="M28" s="113"/>
    </row>
    <row r="29" spans="1:13">
      <c r="A29" s="113" t="s">
        <v>172</v>
      </c>
      <c r="B29" s="113"/>
      <c r="C29" s="113"/>
      <c r="D29" s="113"/>
      <c r="E29" s="113"/>
      <c r="F29" s="113"/>
      <c r="G29" s="113"/>
      <c r="H29" s="113"/>
      <c r="I29" s="113"/>
      <c r="J29" s="171">
        <v>100000</v>
      </c>
      <c r="K29" s="113" t="s">
        <v>159</v>
      </c>
      <c r="L29" s="167">
        <f>J29/$J$3</f>
        <v>2.5233333333333333E-2</v>
      </c>
      <c r="M29" s="113"/>
    </row>
    <row r="30" spans="1:13">
      <c r="A30" s="126"/>
      <c r="B30" s="126"/>
      <c r="C30" s="126"/>
      <c r="D30" s="126"/>
      <c r="E30" s="126"/>
      <c r="F30" s="126"/>
      <c r="G30" s="126"/>
      <c r="H30" s="126"/>
      <c r="I30" s="126"/>
      <c r="J30" s="136"/>
      <c r="K30" s="126"/>
      <c r="L30" s="130"/>
      <c r="M30" s="126"/>
    </row>
    <row r="31" spans="1:13">
      <c r="A31" s="113"/>
      <c r="B31" s="113"/>
      <c r="C31" s="113"/>
      <c r="D31" s="113"/>
      <c r="E31" s="113"/>
      <c r="F31" s="113"/>
      <c r="G31" s="113"/>
      <c r="H31" s="113"/>
      <c r="I31" s="113"/>
      <c r="J31" s="132"/>
      <c r="K31" s="113"/>
      <c r="L31" s="125"/>
      <c r="M31" s="113"/>
    </row>
    <row r="32" spans="1:13">
      <c r="A32" s="113" t="s">
        <v>173</v>
      </c>
      <c r="B32" s="113"/>
      <c r="C32" s="113"/>
      <c r="D32" s="113"/>
      <c r="E32" s="113"/>
      <c r="F32" s="152"/>
      <c r="G32" s="113"/>
      <c r="H32" s="113"/>
      <c r="I32" s="113"/>
      <c r="J32" s="171">
        <v>100000</v>
      </c>
      <c r="K32" s="113" t="s">
        <v>159</v>
      </c>
      <c r="L32" s="167">
        <f>J32/$I$3</f>
        <v>1.8925000000000001E-2</v>
      </c>
      <c r="M32" s="113"/>
    </row>
    <row r="33" spans="1:17">
      <c r="A33" s="126"/>
      <c r="B33" s="126"/>
      <c r="C33" s="126"/>
      <c r="D33" s="126"/>
      <c r="E33" s="126"/>
      <c r="F33" s="126"/>
      <c r="G33" s="126"/>
      <c r="H33" s="126"/>
      <c r="I33" s="126"/>
      <c r="J33" s="136"/>
      <c r="K33" s="126"/>
      <c r="L33" s="130"/>
      <c r="M33" s="126"/>
    </row>
    <row r="34" spans="1:17">
      <c r="A34" s="113"/>
      <c r="B34" s="113"/>
      <c r="C34" s="113"/>
      <c r="D34" s="113"/>
      <c r="E34" s="113"/>
      <c r="F34" s="113"/>
      <c r="G34" s="113"/>
      <c r="H34" s="113"/>
      <c r="I34" s="113"/>
      <c r="J34" s="132"/>
      <c r="K34" s="113"/>
      <c r="L34" s="125"/>
      <c r="M34" s="113"/>
    </row>
    <row r="35" spans="1:17">
      <c r="A35" s="134" t="s">
        <v>174</v>
      </c>
      <c r="B35" s="134"/>
      <c r="C35" s="134"/>
      <c r="D35" s="134"/>
      <c r="E35" s="134"/>
      <c r="F35" s="113"/>
      <c r="G35" s="113"/>
      <c r="H35" s="113"/>
      <c r="I35" s="113"/>
      <c r="J35" s="172">
        <f>'Org-Salary Structure'!G14</f>
        <v>1316750</v>
      </c>
      <c r="K35" s="134" t="s">
        <v>159</v>
      </c>
      <c r="L35" s="167">
        <f>J35/$J$3</f>
        <v>0.33225991666666665</v>
      </c>
      <c r="M35" s="113"/>
    </row>
    <row r="36" spans="1:17">
      <c r="A36" s="134"/>
      <c r="B36" s="134"/>
      <c r="C36" s="134"/>
      <c r="D36" s="134"/>
      <c r="E36" s="134"/>
      <c r="F36" s="113"/>
      <c r="G36" s="113"/>
      <c r="H36" s="113"/>
      <c r="I36" s="113"/>
      <c r="J36" s="141"/>
      <c r="K36" s="134"/>
      <c r="L36" s="135"/>
      <c r="M36" s="113"/>
    </row>
    <row r="37" spans="1:17">
      <c r="A37" s="134"/>
      <c r="B37" s="134"/>
      <c r="C37" s="134"/>
      <c r="D37" s="134"/>
      <c r="E37" s="134"/>
      <c r="F37" s="113"/>
      <c r="G37" s="113"/>
      <c r="H37" s="113"/>
      <c r="I37" s="113"/>
      <c r="J37" s="141"/>
      <c r="K37" s="134"/>
      <c r="L37" s="135"/>
      <c r="M37" s="113"/>
    </row>
    <row r="38" spans="1:17">
      <c r="A38" s="134" t="s">
        <v>273</v>
      </c>
      <c r="B38" s="134"/>
      <c r="C38" s="134"/>
      <c r="D38" s="134"/>
      <c r="E38" s="134"/>
      <c r="F38" s="113"/>
      <c r="G38" s="113"/>
      <c r="H38" s="113"/>
      <c r="I38" s="113"/>
      <c r="J38" s="141">
        <v>120000</v>
      </c>
      <c r="K38" s="134"/>
      <c r="L38" s="167">
        <f>J38/$J$3</f>
        <v>3.0279999999999998E-2</v>
      </c>
      <c r="M38" s="113"/>
    </row>
    <row r="39" spans="1:17" ht="15.75" thickBot="1">
      <c r="A39" s="142"/>
      <c r="B39" s="142"/>
      <c r="C39" s="142"/>
      <c r="D39" s="142"/>
      <c r="E39" s="142"/>
      <c r="F39" s="142"/>
      <c r="G39" s="142"/>
      <c r="H39" s="142"/>
      <c r="I39" s="142"/>
      <c r="J39" s="142"/>
      <c r="K39" s="142"/>
      <c r="L39" s="142"/>
      <c r="M39" s="142"/>
      <c r="N39" s="133"/>
      <c r="O39" s="133"/>
      <c r="P39" s="143"/>
      <c r="Q39" s="143"/>
    </row>
    <row r="40" spans="1:17" ht="15">
      <c r="A40" s="113" t="s">
        <v>175</v>
      </c>
      <c r="B40" s="113"/>
      <c r="C40" s="113"/>
      <c r="D40" s="113"/>
      <c r="E40" s="113"/>
      <c r="F40" s="113"/>
      <c r="G40" s="113"/>
      <c r="H40" s="113"/>
      <c r="I40" s="113"/>
      <c r="J40" s="166">
        <f>SUM(J7:J39)</f>
        <v>2218806</v>
      </c>
      <c r="K40" s="113"/>
      <c r="L40" s="167">
        <f>J40/$J$3</f>
        <v>0.559878714</v>
      </c>
      <c r="M40" s="113"/>
      <c r="N40" s="133"/>
      <c r="O40" s="133"/>
    </row>
    <row r="41" spans="1:17" ht="15">
      <c r="A41" s="113"/>
      <c r="B41" s="113"/>
      <c r="C41" s="113"/>
      <c r="D41" s="113"/>
      <c r="E41" s="113"/>
      <c r="F41" s="124"/>
      <c r="G41" s="113"/>
      <c r="H41" s="113"/>
      <c r="I41" s="113"/>
      <c r="J41" s="132"/>
      <c r="K41" s="113"/>
      <c r="L41" s="113"/>
      <c r="M41" s="113"/>
      <c r="N41" s="133"/>
      <c r="O41" s="133"/>
    </row>
    <row r="42" spans="1:17" ht="15.75" thickBot="1">
      <c r="A42" s="113" t="s">
        <v>176</v>
      </c>
      <c r="B42" s="113"/>
      <c r="C42" s="113"/>
      <c r="D42" s="113"/>
      <c r="E42" s="113"/>
      <c r="F42" s="124"/>
      <c r="G42" s="113"/>
      <c r="H42" s="113"/>
      <c r="I42" s="113"/>
      <c r="J42" s="113"/>
      <c r="K42" s="113"/>
      <c r="L42" s="113"/>
      <c r="M42" s="113"/>
      <c r="N42" s="133"/>
      <c r="O42" s="133"/>
    </row>
    <row r="43" spans="1:17" ht="15">
      <c r="A43" s="144" t="s">
        <v>177</v>
      </c>
      <c r="B43" s="145"/>
      <c r="C43" s="145"/>
      <c r="D43" s="145"/>
      <c r="E43" s="145"/>
      <c r="F43" s="145"/>
      <c r="G43" s="145"/>
      <c r="H43" s="145"/>
      <c r="I43" s="145"/>
      <c r="J43" s="145"/>
      <c r="K43" s="145"/>
      <c r="L43" s="146">
        <f>L40/3.785</f>
        <v>0.14792040000000001</v>
      </c>
      <c r="M43" s="113"/>
      <c r="N43" s="133"/>
      <c r="O43" s="133"/>
    </row>
    <row r="44" spans="1:17" ht="15.75" thickBot="1">
      <c r="A44" s="147" t="s">
        <v>178</v>
      </c>
      <c r="B44" s="126"/>
      <c r="C44" s="126"/>
      <c r="D44" s="126"/>
      <c r="E44" s="126"/>
      <c r="F44" s="126"/>
      <c r="G44" s="126"/>
      <c r="H44" s="126"/>
      <c r="I44" s="126"/>
      <c r="J44" s="126"/>
      <c r="K44" s="148"/>
      <c r="L44" s="149">
        <f>L40</f>
        <v>0.559878714</v>
      </c>
      <c r="M44" s="113"/>
      <c r="N44" s="133"/>
      <c r="O44" s="133"/>
    </row>
    <row r="45" spans="1:17" ht="15">
      <c r="A45" s="134" t="s">
        <v>91</v>
      </c>
      <c r="B45" s="134"/>
      <c r="C45" s="134"/>
      <c r="D45" s="134"/>
      <c r="E45" s="134"/>
      <c r="F45" s="134"/>
      <c r="G45" s="134"/>
      <c r="H45" s="134"/>
      <c r="I45" s="134"/>
      <c r="J45" s="134"/>
      <c r="K45" s="150"/>
      <c r="L45" s="146">
        <f>L40/4</f>
        <v>0.1399696785</v>
      </c>
      <c r="M45" s="158"/>
      <c r="N45" s="133"/>
      <c r="O45" s="133"/>
    </row>
    <row r="46" spans="1:17" ht="13.5" thickBot="1">
      <c r="A46" s="126" t="s">
        <v>87</v>
      </c>
      <c r="B46" s="126"/>
      <c r="C46" s="126"/>
      <c r="D46" s="126"/>
      <c r="E46" s="126"/>
      <c r="F46" s="126"/>
      <c r="G46" s="126"/>
      <c r="H46" s="126"/>
      <c r="I46" s="126"/>
      <c r="J46" s="126"/>
      <c r="K46" s="154"/>
      <c r="L46" s="151">
        <f>L44*55</f>
        <v>30.793329270000001</v>
      </c>
      <c r="M46" s="158"/>
    </row>
    <row r="47" spans="1:17">
      <c r="K47" s="159"/>
    </row>
    <row r="48" spans="1:17" s="133" customFormat="1" ht="15">
      <c r="A48" s="83"/>
      <c r="B48" s="30" t="s">
        <v>0</v>
      </c>
      <c r="C48" s="30"/>
      <c r="D48" s="30"/>
      <c r="E48" s="30"/>
      <c r="F48" s="30"/>
      <c r="G48" s="30"/>
      <c r="H48" s="30"/>
      <c r="I48" s="30"/>
      <c r="J48" s="30"/>
      <c r="K48" s="30"/>
      <c r="L48" s="30"/>
      <c r="M48" s="30"/>
    </row>
    <row r="49" s="133" customFormat="1" ht="15"/>
    <row r="50" s="133" customFormat="1" ht="15"/>
    <row r="51" s="133" customFormat="1" ht="15"/>
    <row r="52" s="133" customFormat="1" ht="15"/>
    <row r="53" s="133" customFormat="1" ht="15"/>
    <row r="54" s="133" customFormat="1" ht="15"/>
    <row r="55" s="133" customFormat="1" ht="15"/>
    <row r="56" s="133" customFormat="1" ht="15"/>
    <row r="57" s="133" customFormat="1" ht="15"/>
    <row r="58" s="133" customFormat="1" ht="15"/>
    <row r="59" s="133" customFormat="1" ht="15"/>
    <row r="60" s="133" customFormat="1" ht="15"/>
  </sheetData>
  <mergeCells count="1">
    <mergeCell ref="L6:M6"/>
  </mergeCells>
  <phoneticPr fontId="8" type="noConversion"/>
  <printOptions horizontalCentered="1"/>
  <pageMargins left="0.2" right="0" top="0.5868503937007874" bottom="0.2" header="0.5" footer="0.5"/>
  <pageSetup scale="80"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0"/>
  <sheetViews>
    <sheetView topLeftCell="A4" zoomScale="140" zoomScaleNormal="140" zoomScalePageLayoutView="140" workbookViewId="0">
      <selection activeCell="A22" sqref="A22"/>
    </sheetView>
  </sheetViews>
  <sheetFormatPr defaultColWidth="8.85546875" defaultRowHeight="12.75"/>
  <cols>
    <col min="1" max="1" width="39.7109375" style="111" customWidth="1"/>
    <col min="2" max="2" width="13.28515625" style="111" customWidth="1"/>
    <col min="3" max="3" width="11.140625" style="111" customWidth="1"/>
    <col min="4" max="4" width="15.85546875" style="111" customWidth="1"/>
    <col min="5" max="5" width="12.140625" style="111" customWidth="1"/>
    <col min="6" max="6" width="8.85546875" style="143"/>
    <col min="7" max="7" width="18.140625" style="111" customWidth="1"/>
    <col min="8" max="16384" width="8.85546875" style="111"/>
  </cols>
  <sheetData>
    <row r="1" spans="1:10" ht="15.75">
      <c r="A1" s="269" t="s">
        <v>210</v>
      </c>
    </row>
    <row r="5" spans="1:10" ht="15">
      <c r="A5" s="270" t="s">
        <v>200</v>
      </c>
      <c r="B5" s="270" t="s">
        <v>201</v>
      </c>
      <c r="C5" s="270" t="s">
        <v>202</v>
      </c>
      <c r="D5" s="270" t="s">
        <v>203</v>
      </c>
      <c r="E5" s="270" t="s">
        <v>204</v>
      </c>
      <c r="F5" s="270" t="s">
        <v>205</v>
      </c>
      <c r="G5" s="271" t="s">
        <v>159</v>
      </c>
      <c r="H5" s="133"/>
      <c r="I5" s="133"/>
      <c r="J5" s="133"/>
    </row>
    <row r="6" spans="1:10" ht="15">
      <c r="A6" s="113" t="s">
        <v>206</v>
      </c>
      <c r="B6" s="124">
        <v>100000</v>
      </c>
      <c r="C6" s="124">
        <f>B6*0.15</f>
        <v>15000</v>
      </c>
      <c r="D6" s="124">
        <f t="shared" ref="D6:D13" si="0">C6+B6</f>
        <v>115000</v>
      </c>
      <c r="E6" s="124">
        <f>D6/12</f>
        <v>9583.3333333333339</v>
      </c>
      <c r="F6" s="113">
        <v>1</v>
      </c>
      <c r="G6" s="124">
        <f t="shared" ref="G6:G13" si="1">F6*D6</f>
        <v>115000</v>
      </c>
      <c r="H6" s="133"/>
      <c r="I6" s="133"/>
      <c r="J6" s="133"/>
    </row>
    <row r="7" spans="1:10" ht="15">
      <c r="A7" s="113" t="s">
        <v>294</v>
      </c>
      <c r="B7" s="124">
        <v>55000</v>
      </c>
      <c r="C7" s="124">
        <f>B7*0.15</f>
        <v>8250</v>
      </c>
      <c r="D7" s="124">
        <f t="shared" si="0"/>
        <v>63250</v>
      </c>
      <c r="E7" s="124">
        <f>D7/12</f>
        <v>5270.833333333333</v>
      </c>
      <c r="F7" s="113">
        <v>2</v>
      </c>
      <c r="G7" s="124">
        <f t="shared" si="1"/>
        <v>126500</v>
      </c>
      <c r="H7" s="133"/>
      <c r="I7" s="133"/>
      <c r="J7" s="133"/>
    </row>
    <row r="8" spans="1:10" ht="15">
      <c r="A8" s="113" t="s">
        <v>293</v>
      </c>
      <c r="B8" s="124">
        <v>40000</v>
      </c>
      <c r="C8" s="124">
        <f t="shared" ref="C8:C13" si="2">B8*0.15</f>
        <v>6000</v>
      </c>
      <c r="D8" s="124">
        <f t="shared" si="0"/>
        <v>46000</v>
      </c>
      <c r="E8" s="124">
        <f t="shared" ref="E8:E13" si="3">D8/12</f>
        <v>3833.3333333333335</v>
      </c>
      <c r="F8" s="113">
        <v>16</v>
      </c>
      <c r="G8" s="124">
        <f t="shared" si="1"/>
        <v>736000</v>
      </c>
      <c r="H8" s="133"/>
      <c r="I8" s="133"/>
      <c r="J8" s="133"/>
    </row>
    <row r="9" spans="1:10" ht="15">
      <c r="A9" s="113" t="s">
        <v>88</v>
      </c>
      <c r="B9" s="124">
        <v>75000</v>
      </c>
      <c r="C9" s="124">
        <f t="shared" si="2"/>
        <v>11250</v>
      </c>
      <c r="D9" s="124">
        <f t="shared" ref="D9" si="4">C9+B9</f>
        <v>86250</v>
      </c>
      <c r="E9" s="124">
        <f t="shared" ref="E9" si="5">D9/12</f>
        <v>7187.5</v>
      </c>
      <c r="F9" s="113">
        <v>1</v>
      </c>
      <c r="G9" s="124">
        <f t="shared" ref="G9" si="6">F9*D9</f>
        <v>86250</v>
      </c>
      <c r="H9" s="133"/>
      <c r="I9" s="133"/>
      <c r="J9" s="133"/>
    </row>
    <row r="10" spans="1:10" ht="15">
      <c r="A10" s="113" t="s">
        <v>207</v>
      </c>
      <c r="B10" s="124">
        <v>40000</v>
      </c>
      <c r="C10" s="124">
        <f t="shared" si="2"/>
        <v>6000</v>
      </c>
      <c r="D10" s="124">
        <f t="shared" si="0"/>
        <v>46000</v>
      </c>
      <c r="E10" s="124">
        <f t="shared" si="3"/>
        <v>3833.3333333333335</v>
      </c>
      <c r="F10" s="113">
        <v>1</v>
      </c>
      <c r="G10" s="124">
        <f t="shared" si="1"/>
        <v>46000</v>
      </c>
      <c r="H10" s="133"/>
      <c r="I10" s="133"/>
      <c r="J10" s="133"/>
    </row>
    <row r="11" spans="1:10" ht="15">
      <c r="A11" s="113" t="s">
        <v>323</v>
      </c>
      <c r="B11" s="124">
        <v>75000</v>
      </c>
      <c r="C11" s="124">
        <f t="shared" si="2"/>
        <v>11250</v>
      </c>
      <c r="D11" s="124">
        <f t="shared" si="0"/>
        <v>86250</v>
      </c>
      <c r="E11" s="124">
        <f t="shared" si="3"/>
        <v>7187.5</v>
      </c>
      <c r="F11" s="113">
        <v>1</v>
      </c>
      <c r="G11" s="124">
        <f t="shared" si="1"/>
        <v>86250</v>
      </c>
      <c r="H11" s="133"/>
      <c r="I11" s="133"/>
      <c r="J11" s="133"/>
    </row>
    <row r="12" spans="1:10" ht="15">
      <c r="A12" s="113" t="s">
        <v>208</v>
      </c>
      <c r="B12" s="124">
        <v>50000</v>
      </c>
      <c r="C12" s="124">
        <f t="shared" si="2"/>
        <v>7500</v>
      </c>
      <c r="D12" s="124">
        <f t="shared" si="0"/>
        <v>57500</v>
      </c>
      <c r="E12" s="124">
        <f t="shared" si="3"/>
        <v>4791.666666666667</v>
      </c>
      <c r="F12" s="113">
        <v>1</v>
      </c>
      <c r="G12" s="124">
        <f t="shared" si="1"/>
        <v>57500</v>
      </c>
      <c r="H12" s="133"/>
      <c r="I12" s="133"/>
      <c r="J12" s="133"/>
    </row>
    <row r="13" spans="1:10" ht="15">
      <c r="A13" s="126" t="s">
        <v>209</v>
      </c>
      <c r="B13" s="129">
        <v>55000</v>
      </c>
      <c r="C13" s="129">
        <f t="shared" si="2"/>
        <v>8250</v>
      </c>
      <c r="D13" s="129">
        <f t="shared" si="0"/>
        <v>63250</v>
      </c>
      <c r="E13" s="129">
        <f t="shared" si="3"/>
        <v>5270.833333333333</v>
      </c>
      <c r="F13" s="126">
        <v>1</v>
      </c>
      <c r="G13" s="129">
        <f t="shared" si="1"/>
        <v>63250</v>
      </c>
      <c r="H13" s="133"/>
      <c r="I13" s="133"/>
      <c r="J13" s="133"/>
    </row>
    <row r="14" spans="1:10" ht="15">
      <c r="A14" s="113"/>
      <c r="B14" s="113"/>
      <c r="C14" s="113"/>
      <c r="D14" s="113"/>
      <c r="E14" s="113"/>
      <c r="F14" s="118">
        <f>SUM(F6:F13)</f>
        <v>24</v>
      </c>
      <c r="G14" s="272">
        <f>SUM(G6:G13)</f>
        <v>1316750</v>
      </c>
      <c r="H14" s="133"/>
      <c r="I14" s="133"/>
      <c r="J14" s="133"/>
    </row>
    <row r="15" spans="1:10" ht="15">
      <c r="A15" s="270" t="s">
        <v>338</v>
      </c>
      <c r="B15" s="270" t="s">
        <v>201</v>
      </c>
      <c r="C15" s="270" t="s">
        <v>202</v>
      </c>
      <c r="D15" s="270" t="s">
        <v>203</v>
      </c>
      <c r="E15" s="270" t="s">
        <v>204</v>
      </c>
      <c r="F15" s="270" t="s">
        <v>205</v>
      </c>
      <c r="G15" s="271" t="s">
        <v>159</v>
      </c>
      <c r="H15" s="133"/>
      <c r="I15" s="133"/>
      <c r="J15" s="133"/>
    </row>
    <row r="16" spans="1:10">
      <c r="A16" s="111" t="s">
        <v>339</v>
      </c>
      <c r="B16" s="124">
        <v>120000</v>
      </c>
      <c r="C16" s="124">
        <f>B16*0.15</f>
        <v>18000</v>
      </c>
      <c r="D16" s="124">
        <f t="shared" ref="D16" si="7">C16+B16</f>
        <v>138000</v>
      </c>
      <c r="E16" s="124">
        <f>D16/12</f>
        <v>11500</v>
      </c>
      <c r="F16" s="113">
        <v>1</v>
      </c>
      <c r="G16" s="124">
        <f t="shared" ref="G16" si="8">F16*D16</f>
        <v>138000</v>
      </c>
    </row>
    <row r="17" spans="1:7">
      <c r="A17" s="113" t="s">
        <v>340</v>
      </c>
      <c r="B17" s="124">
        <v>75000</v>
      </c>
      <c r="C17" s="124">
        <f>B17*0.15</f>
        <v>11250</v>
      </c>
      <c r="D17" s="124">
        <f t="shared" ref="D17" si="9">C17+B17</f>
        <v>86250</v>
      </c>
      <c r="E17" s="124">
        <f>D17/12</f>
        <v>7187.5</v>
      </c>
      <c r="F17" s="113">
        <v>4</v>
      </c>
      <c r="G17" s="124">
        <f t="shared" ref="G17" si="10">F17*D17</f>
        <v>345000</v>
      </c>
    </row>
    <row r="18" spans="1:7">
      <c r="A18" s="113" t="s">
        <v>341</v>
      </c>
      <c r="B18" s="124">
        <v>75000</v>
      </c>
      <c r="C18" s="124">
        <f t="shared" ref="C18:C19" si="11">B18*0.15</f>
        <v>11250</v>
      </c>
      <c r="D18" s="124">
        <f t="shared" ref="D18:D19" si="12">C18+B18</f>
        <v>86250</v>
      </c>
      <c r="E18" s="124">
        <f t="shared" ref="E18:E19" si="13">D18/12</f>
        <v>7187.5</v>
      </c>
      <c r="F18" s="113">
        <v>1</v>
      </c>
      <c r="G18" s="124">
        <f t="shared" ref="G18:G19" si="14">F18*D18</f>
        <v>86250</v>
      </c>
    </row>
    <row r="19" spans="1:7">
      <c r="A19" s="126" t="s">
        <v>342</v>
      </c>
      <c r="B19" s="129">
        <v>60000</v>
      </c>
      <c r="C19" s="129">
        <f t="shared" si="11"/>
        <v>9000</v>
      </c>
      <c r="D19" s="129">
        <f t="shared" si="12"/>
        <v>69000</v>
      </c>
      <c r="E19" s="129">
        <f t="shared" si="13"/>
        <v>5750</v>
      </c>
      <c r="F19" s="126">
        <v>2</v>
      </c>
      <c r="G19" s="129">
        <f t="shared" si="14"/>
        <v>138000</v>
      </c>
    </row>
    <row r="20" spans="1:7">
      <c r="A20" s="113"/>
      <c r="B20" s="113"/>
      <c r="C20" s="113"/>
      <c r="D20" s="113"/>
      <c r="E20" s="113"/>
      <c r="F20" s="118"/>
      <c r="G20" s="272">
        <f>SUM(G16:G19)</f>
        <v>707250</v>
      </c>
    </row>
  </sheetData>
  <phoneticPr fontId="8" type="noConversion"/>
  <printOptions horizontalCentered="1"/>
  <pageMargins left="0.19685039370078741" right="0.19685039370078741" top="0.19685039370078741" bottom="0.19685039370078741" header="0.5" footer="0.5"/>
  <pageSetup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2:P21"/>
  <sheetViews>
    <sheetView topLeftCell="B1" zoomScale="120" zoomScaleNormal="120" zoomScalePageLayoutView="120" workbookViewId="0">
      <selection activeCell="G23" sqref="G23"/>
    </sheetView>
  </sheetViews>
  <sheetFormatPr defaultColWidth="8.85546875" defaultRowHeight="15"/>
  <cols>
    <col min="3" max="3" width="15.42578125" customWidth="1"/>
    <col min="4" max="4" width="16" customWidth="1"/>
    <col min="5" max="5" width="15.42578125" customWidth="1"/>
    <col min="6" max="6" width="20.85546875" customWidth="1"/>
    <col min="7" max="7" width="19.42578125" customWidth="1"/>
    <col min="9" max="9" width="14.7109375" customWidth="1"/>
    <col min="10" max="10" width="13.7109375" bestFit="1" customWidth="1"/>
    <col min="11" max="11" width="15.85546875" customWidth="1"/>
    <col min="12" max="12" width="14.140625" bestFit="1" customWidth="1"/>
  </cols>
  <sheetData>
    <row r="2" spans="3:16">
      <c r="I2" s="28">
        <v>0.16500000000000001</v>
      </c>
    </row>
    <row r="3" spans="3:16">
      <c r="G3" t="s">
        <v>69</v>
      </c>
      <c r="H3">
        <f>208*0.9</f>
        <v>187.20000000000002</v>
      </c>
      <c r="I3">
        <f>H3*I2</f>
        <v>30.888000000000005</v>
      </c>
    </row>
    <row r="4" spans="3:16">
      <c r="C4" s="22" t="s">
        <v>68</v>
      </c>
      <c r="G4" t="s">
        <v>67</v>
      </c>
      <c r="H4">
        <f>H3/55</f>
        <v>3.4036363636363638</v>
      </c>
      <c r="I4">
        <f>I3/H4</f>
        <v>9.0750000000000011</v>
      </c>
    </row>
    <row r="5" spans="3:16">
      <c r="C5" s="22"/>
    </row>
    <row r="6" spans="3:16">
      <c r="C6" s="22" t="s">
        <v>66</v>
      </c>
    </row>
    <row r="7" spans="3:16" ht="15.75" thickBot="1">
      <c r="C7" s="22"/>
      <c r="I7" t="s">
        <v>76</v>
      </c>
      <c r="O7" s="11">
        <v>0.25</v>
      </c>
      <c r="P7" s="5" t="s">
        <v>77</v>
      </c>
    </row>
    <row r="8" spans="3:16" ht="15.75" thickBot="1">
      <c r="C8" s="27" t="s">
        <v>65</v>
      </c>
      <c r="D8" s="26" t="s">
        <v>64</v>
      </c>
      <c r="E8" s="26" t="s">
        <v>63</v>
      </c>
      <c r="F8" s="26" t="s">
        <v>62</v>
      </c>
      <c r="G8" s="26" t="s">
        <v>61</v>
      </c>
      <c r="I8" s="25" t="s">
        <v>60</v>
      </c>
    </row>
    <row r="9" spans="3:16" ht="15.75" thickBot="1">
      <c r="C9" s="24" t="s">
        <v>58</v>
      </c>
      <c r="D9" s="23" t="s">
        <v>57</v>
      </c>
      <c r="E9" s="23">
        <v>40007</v>
      </c>
      <c r="F9" s="23" t="s">
        <v>56</v>
      </c>
      <c r="G9" s="23" t="s">
        <v>55</v>
      </c>
      <c r="I9" s="3">
        <f>(0.165*30/4)*(1-O7)</f>
        <v>0.92812500000000009</v>
      </c>
    </row>
    <row r="10" spans="3:16" ht="15.75" thickBot="1">
      <c r="C10" s="24" t="s">
        <v>54</v>
      </c>
      <c r="D10" s="23" t="s">
        <v>53</v>
      </c>
      <c r="E10" s="23" t="s">
        <v>52</v>
      </c>
      <c r="F10" s="23" t="s">
        <v>51</v>
      </c>
      <c r="G10" s="23" t="s">
        <v>50</v>
      </c>
      <c r="I10" s="3">
        <f>(0.0862*18.5/4)*(1-O7)</f>
        <v>0.29900625000000003</v>
      </c>
    </row>
    <row r="11" spans="3:16" ht="15.75" thickBot="1">
      <c r="C11" s="24" t="s">
        <v>49</v>
      </c>
      <c r="D11" s="23" t="s">
        <v>48</v>
      </c>
      <c r="E11" s="23">
        <v>5703</v>
      </c>
      <c r="F11" s="23" t="s">
        <v>47</v>
      </c>
      <c r="G11" s="23" t="s">
        <v>46</v>
      </c>
      <c r="I11" s="3">
        <f>(0.0085*36/4)*(1-O7)</f>
        <v>5.7375000000000009E-2</v>
      </c>
    </row>
    <row r="12" spans="3:16" ht="15.75" thickBot="1">
      <c r="C12" s="24" t="s">
        <v>45</v>
      </c>
      <c r="D12" s="23" t="s">
        <v>44</v>
      </c>
      <c r="E12" s="23" t="s">
        <v>43</v>
      </c>
      <c r="F12" s="23" t="s">
        <v>42</v>
      </c>
      <c r="G12" s="23" t="s">
        <v>41</v>
      </c>
      <c r="I12" s="3">
        <f>(0.04*29/4)*(1-O7)</f>
        <v>0.21749999999999997</v>
      </c>
    </row>
    <row r="13" spans="3:16">
      <c r="C13" s="22"/>
      <c r="K13" s="25" t="s">
        <v>59</v>
      </c>
      <c r="L13" s="294" t="s">
        <v>101</v>
      </c>
    </row>
    <row r="14" spans="3:16" ht="15.75" thickBot="1">
      <c r="C14" s="19" t="s">
        <v>40</v>
      </c>
      <c r="I14" s="306" t="s">
        <v>65</v>
      </c>
      <c r="J14" s="307" t="s">
        <v>102</v>
      </c>
      <c r="K14" s="307" t="s">
        <v>103</v>
      </c>
      <c r="L14" s="308" t="s">
        <v>232</v>
      </c>
    </row>
    <row r="15" spans="3:16" ht="15.75" thickBot="1">
      <c r="C15" s="19" t="s">
        <v>39</v>
      </c>
      <c r="I15" s="309" t="s">
        <v>58</v>
      </c>
      <c r="J15" s="310">
        <f>(I9*55*4)</f>
        <v>204.18750000000003</v>
      </c>
      <c r="K15" s="310" t="e">
        <f>#REF!</f>
        <v>#REF!</v>
      </c>
      <c r="L15" s="311">
        <f>2.522*55</f>
        <v>138.70999999999998</v>
      </c>
    </row>
    <row r="16" spans="3:16" ht="15.75" thickBot="1">
      <c r="C16" s="19" t="s">
        <v>38</v>
      </c>
      <c r="I16" s="309" t="s">
        <v>54</v>
      </c>
      <c r="J16" s="310">
        <f>I10*55*4</f>
        <v>65.781375000000011</v>
      </c>
      <c r="K16" s="310" t="e">
        <f>#REF!</f>
        <v>#REF!</v>
      </c>
      <c r="L16" s="311">
        <f>1.24*55</f>
        <v>68.2</v>
      </c>
    </row>
    <row r="17" spans="3:12" ht="15.75" thickBot="1">
      <c r="C17" s="19" t="s">
        <v>37</v>
      </c>
      <c r="I17" s="309" t="s">
        <v>49</v>
      </c>
      <c r="J17" s="310">
        <f>I11*55*4</f>
        <v>12.622500000000002</v>
      </c>
      <c r="K17" s="310" t="e">
        <f>#REF!</f>
        <v>#REF!</v>
      </c>
      <c r="L17" s="311">
        <f>0.199*55</f>
        <v>10.945</v>
      </c>
    </row>
    <row r="18" spans="3:12">
      <c r="C18" s="21"/>
      <c r="I18" s="312" t="s">
        <v>45</v>
      </c>
      <c r="J18" s="313">
        <f>I12*55*4</f>
        <v>47.849999999999994</v>
      </c>
      <c r="K18" s="313" t="e">
        <f>#REF!</f>
        <v>#REF!</v>
      </c>
      <c r="L18" s="314">
        <f>1.151*55</f>
        <v>63.305</v>
      </c>
    </row>
    <row r="19" spans="3:12">
      <c r="C19" s="21" t="s">
        <v>36</v>
      </c>
    </row>
    <row r="20" spans="3:12">
      <c r="C20" s="20" t="s">
        <v>35</v>
      </c>
    </row>
    <row r="21" spans="3:12">
      <c r="C21" s="19" t="s">
        <v>34</v>
      </c>
    </row>
  </sheetData>
  <hyperlinks>
    <hyperlink ref="C20" r:id="rId1" display="https://www.mylubrizol.com/" xr:uid="{00000000-0004-0000-0D00-000000000000}"/>
  </hyperlink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IZ17"/>
  <sheetViews>
    <sheetView zoomScale="80" zoomScaleNormal="80" zoomScalePageLayoutView="80" workbookViewId="0">
      <pane xSplit="1" ySplit="3" topLeftCell="EO4" activePane="bottomRight" state="frozen"/>
      <selection pane="topRight" activeCell="B1" sqref="B1"/>
      <selection pane="bottomLeft" activeCell="A4" sqref="A4"/>
      <selection pane="bottomRight" activeCell="FD8" sqref="FD8"/>
    </sheetView>
  </sheetViews>
  <sheetFormatPr defaultColWidth="8.85546875" defaultRowHeight="15"/>
  <cols>
    <col min="1" max="1" width="25.140625" bestFit="1" customWidth="1"/>
  </cols>
  <sheetData>
    <row r="3" spans="1:260">
      <c r="B3" s="29">
        <v>38292</v>
      </c>
      <c r="C3" s="29">
        <v>38322</v>
      </c>
      <c r="D3" s="29">
        <v>38353</v>
      </c>
      <c r="E3" s="29">
        <v>38384</v>
      </c>
      <c r="F3" s="29">
        <v>38412</v>
      </c>
      <c r="G3" s="29">
        <v>38443</v>
      </c>
      <c r="H3" s="29">
        <v>38473</v>
      </c>
      <c r="I3" s="29">
        <v>38504</v>
      </c>
      <c r="J3" s="29">
        <v>38534</v>
      </c>
      <c r="K3" s="29">
        <v>38565</v>
      </c>
      <c r="L3" s="29">
        <v>38596</v>
      </c>
      <c r="M3" s="29">
        <v>38626</v>
      </c>
      <c r="N3" s="29">
        <v>38657</v>
      </c>
      <c r="O3" s="29">
        <v>38687</v>
      </c>
      <c r="P3" s="29">
        <v>38718</v>
      </c>
      <c r="Q3" s="29">
        <v>38749</v>
      </c>
      <c r="R3" s="29">
        <v>38777</v>
      </c>
      <c r="S3" s="29">
        <v>38808</v>
      </c>
      <c r="T3" s="29">
        <v>38838</v>
      </c>
      <c r="U3" s="29">
        <v>38869</v>
      </c>
      <c r="V3" s="29">
        <v>38899</v>
      </c>
      <c r="W3" s="29">
        <v>38930</v>
      </c>
      <c r="X3" s="29">
        <v>38961</v>
      </c>
      <c r="Y3" s="29">
        <v>38991</v>
      </c>
      <c r="Z3" s="29">
        <v>39022</v>
      </c>
      <c r="AA3" s="29">
        <v>39052</v>
      </c>
      <c r="AB3" s="29">
        <v>39083</v>
      </c>
      <c r="AC3" s="29">
        <v>39114</v>
      </c>
      <c r="AD3" s="29">
        <v>39142</v>
      </c>
      <c r="AE3" s="29">
        <v>39173</v>
      </c>
      <c r="AF3" s="29">
        <v>39203</v>
      </c>
      <c r="AG3" s="29">
        <v>39234</v>
      </c>
      <c r="AH3" s="29">
        <v>39264</v>
      </c>
      <c r="AI3" s="29">
        <v>39295</v>
      </c>
      <c r="AJ3" s="29">
        <v>39326</v>
      </c>
      <c r="AK3" s="29">
        <v>39356</v>
      </c>
      <c r="AL3" s="29">
        <v>39387</v>
      </c>
      <c r="AM3" s="29">
        <v>39417</v>
      </c>
      <c r="AN3" s="29">
        <v>39448</v>
      </c>
      <c r="AO3" s="29">
        <v>39479</v>
      </c>
      <c r="AP3" s="29">
        <v>39508</v>
      </c>
      <c r="AQ3" s="29">
        <v>39539</v>
      </c>
      <c r="AR3" s="29">
        <v>39569</v>
      </c>
      <c r="AS3" s="29">
        <v>39600</v>
      </c>
      <c r="AT3" s="29">
        <v>39630</v>
      </c>
      <c r="AU3" s="29">
        <v>39661</v>
      </c>
      <c r="AV3" s="29">
        <v>39692</v>
      </c>
      <c r="AW3" s="29">
        <v>39722</v>
      </c>
      <c r="AX3" s="29">
        <v>39753</v>
      </c>
      <c r="AY3" s="29">
        <v>39783</v>
      </c>
      <c r="AZ3" s="29">
        <v>39814</v>
      </c>
      <c r="BA3" s="29">
        <v>39845</v>
      </c>
      <c r="BB3" s="29">
        <v>39873</v>
      </c>
      <c r="BC3" s="29">
        <v>39904</v>
      </c>
      <c r="BD3" s="29">
        <v>39934</v>
      </c>
      <c r="BE3" s="29">
        <v>39965</v>
      </c>
      <c r="BF3" s="29">
        <v>39995</v>
      </c>
      <c r="BG3" s="29">
        <v>40026</v>
      </c>
      <c r="BH3" s="29">
        <v>40057</v>
      </c>
      <c r="BI3" s="29">
        <v>40087</v>
      </c>
      <c r="BJ3" s="29">
        <v>40118</v>
      </c>
      <c r="BK3" s="29">
        <v>40148</v>
      </c>
      <c r="BL3" s="29">
        <v>40179</v>
      </c>
      <c r="BM3" s="29">
        <v>40210</v>
      </c>
      <c r="BN3" s="29">
        <v>40238</v>
      </c>
      <c r="BO3" s="29">
        <v>40269</v>
      </c>
      <c r="BP3" s="29">
        <v>40299</v>
      </c>
      <c r="BQ3" s="29">
        <v>40330</v>
      </c>
      <c r="BR3" s="29">
        <v>40360</v>
      </c>
      <c r="BS3" s="29">
        <v>40391</v>
      </c>
      <c r="BT3" s="29">
        <v>40422</v>
      </c>
      <c r="BU3" s="29">
        <v>40452</v>
      </c>
      <c r="BV3" s="29">
        <v>40483</v>
      </c>
      <c r="BW3" s="29">
        <v>40513</v>
      </c>
      <c r="BX3" s="29">
        <v>40544</v>
      </c>
      <c r="BY3" s="29">
        <v>40575</v>
      </c>
      <c r="BZ3" s="29">
        <v>40603</v>
      </c>
      <c r="CA3" s="29">
        <v>40634</v>
      </c>
      <c r="CB3" s="29">
        <v>40664</v>
      </c>
      <c r="CC3" s="29">
        <v>40695</v>
      </c>
      <c r="CD3" s="29">
        <v>40725</v>
      </c>
      <c r="CE3" s="29">
        <v>40756</v>
      </c>
      <c r="CF3" s="29">
        <v>40787</v>
      </c>
      <c r="CG3" s="29">
        <v>40817</v>
      </c>
      <c r="CH3" s="29">
        <v>40848</v>
      </c>
      <c r="CI3" s="29">
        <v>40878</v>
      </c>
      <c r="CJ3" s="29">
        <v>40909</v>
      </c>
      <c r="CK3" s="29">
        <v>40940</v>
      </c>
      <c r="CL3" s="29">
        <v>40969</v>
      </c>
      <c r="CM3" s="29">
        <v>41000</v>
      </c>
      <c r="CN3" s="29">
        <v>41030</v>
      </c>
      <c r="CO3" s="29">
        <v>41061</v>
      </c>
      <c r="CP3" s="29">
        <v>41091</v>
      </c>
      <c r="CQ3" s="29">
        <v>41122</v>
      </c>
      <c r="CR3" s="29">
        <v>41153</v>
      </c>
      <c r="CS3" s="29">
        <v>41183</v>
      </c>
      <c r="CT3" s="29">
        <v>41214</v>
      </c>
      <c r="CU3" s="29">
        <v>41244</v>
      </c>
      <c r="CV3" s="29">
        <v>41275</v>
      </c>
      <c r="CW3" s="29">
        <v>41306</v>
      </c>
      <c r="CX3" s="29">
        <v>41334</v>
      </c>
      <c r="CY3" s="29">
        <v>41365</v>
      </c>
      <c r="CZ3" s="29">
        <v>41395</v>
      </c>
      <c r="DA3" s="29">
        <v>41426</v>
      </c>
      <c r="DB3" s="29">
        <v>41456</v>
      </c>
      <c r="DC3" s="29">
        <v>41487</v>
      </c>
      <c r="DD3" s="29">
        <v>41518</v>
      </c>
      <c r="DE3" s="29">
        <v>41548</v>
      </c>
      <c r="DF3" s="29">
        <v>41579</v>
      </c>
      <c r="DG3" s="29">
        <v>41609</v>
      </c>
      <c r="DH3" s="29">
        <v>41640</v>
      </c>
      <c r="DI3" s="29">
        <v>41671</v>
      </c>
      <c r="DJ3" s="29">
        <v>41699</v>
      </c>
      <c r="DK3" s="29">
        <v>41730</v>
      </c>
      <c r="DL3" s="29">
        <v>41760</v>
      </c>
      <c r="DM3" s="29">
        <v>41791</v>
      </c>
      <c r="DN3" s="29">
        <v>41821</v>
      </c>
      <c r="DO3" s="29">
        <v>41852</v>
      </c>
      <c r="DP3" s="29">
        <v>41883</v>
      </c>
      <c r="DQ3" s="29">
        <v>41913</v>
      </c>
      <c r="DR3" s="29">
        <v>41944</v>
      </c>
      <c r="DS3" s="29">
        <v>41974</v>
      </c>
      <c r="DT3" s="29">
        <v>42005</v>
      </c>
      <c r="DU3" s="29">
        <v>42036</v>
      </c>
      <c r="DV3" s="29">
        <v>42064</v>
      </c>
      <c r="DW3" s="29">
        <v>42095</v>
      </c>
      <c r="DX3" s="29">
        <v>42125</v>
      </c>
      <c r="DY3" s="29">
        <v>42156</v>
      </c>
      <c r="DZ3" s="29">
        <v>42186</v>
      </c>
      <c r="EA3" s="29">
        <v>42217</v>
      </c>
      <c r="EB3" s="29">
        <v>42248</v>
      </c>
      <c r="EC3" s="29">
        <v>42278</v>
      </c>
      <c r="ED3" s="29">
        <v>42309</v>
      </c>
      <c r="EE3" s="29">
        <v>42339</v>
      </c>
      <c r="EF3" s="29">
        <v>42370</v>
      </c>
      <c r="EG3" s="29">
        <v>42401</v>
      </c>
      <c r="EH3" s="29">
        <v>42430</v>
      </c>
      <c r="EI3" s="29">
        <v>42461</v>
      </c>
      <c r="EJ3" s="29">
        <v>42491</v>
      </c>
      <c r="EK3" s="29">
        <v>42522</v>
      </c>
      <c r="EL3" s="29">
        <v>42552</v>
      </c>
      <c r="EM3" s="29">
        <v>42583</v>
      </c>
      <c r="EN3" s="29">
        <v>42614</v>
      </c>
      <c r="EO3" s="29">
        <v>42644</v>
      </c>
      <c r="EP3" s="29">
        <v>42675</v>
      </c>
      <c r="EQ3" s="29">
        <v>42705</v>
      </c>
      <c r="ER3" s="29">
        <v>42736</v>
      </c>
      <c r="ES3" s="29">
        <v>42767</v>
      </c>
      <c r="ET3" s="29">
        <v>42795</v>
      </c>
      <c r="EU3" s="29">
        <v>42826</v>
      </c>
      <c r="EV3" s="29">
        <v>42856</v>
      </c>
      <c r="EW3" s="29">
        <v>42887</v>
      </c>
      <c r="EX3" s="29">
        <v>42917</v>
      </c>
      <c r="EY3" s="29">
        <v>42948</v>
      </c>
      <c r="EZ3" s="29">
        <v>42979</v>
      </c>
      <c r="FA3" s="29">
        <v>43009</v>
      </c>
      <c r="FB3" s="29">
        <v>43040</v>
      </c>
      <c r="FC3" s="29">
        <v>43070</v>
      </c>
      <c r="FD3" s="29">
        <v>43101</v>
      </c>
      <c r="FE3" s="29">
        <v>43132</v>
      </c>
      <c r="FF3" s="29">
        <v>43160</v>
      </c>
      <c r="FG3" s="29">
        <v>43191</v>
      </c>
      <c r="FH3" s="29">
        <v>43221</v>
      </c>
      <c r="FI3" s="29">
        <v>43252</v>
      </c>
      <c r="FJ3" s="29">
        <v>43282</v>
      </c>
      <c r="FK3" s="29">
        <v>43313</v>
      </c>
      <c r="FL3" s="29">
        <v>43344</v>
      </c>
      <c r="FM3" s="29">
        <v>43374</v>
      </c>
      <c r="FN3" s="29">
        <v>43405</v>
      </c>
      <c r="FO3" s="29">
        <v>43435</v>
      </c>
      <c r="FP3" s="29">
        <v>43466</v>
      </c>
      <c r="FQ3" s="29">
        <v>43497</v>
      </c>
      <c r="FR3" s="29">
        <v>43525</v>
      </c>
      <c r="FS3" s="29">
        <v>43556</v>
      </c>
      <c r="FT3" s="29">
        <v>43586</v>
      </c>
      <c r="FU3" s="29">
        <v>43617</v>
      </c>
      <c r="FV3" s="29">
        <v>43647</v>
      </c>
      <c r="FW3" s="29">
        <v>43678</v>
      </c>
      <c r="FX3" s="29">
        <v>43709</v>
      </c>
      <c r="FY3" s="29">
        <v>43739</v>
      </c>
      <c r="FZ3" s="29">
        <v>43770</v>
      </c>
      <c r="GA3" s="29">
        <v>43800</v>
      </c>
      <c r="GB3" s="29">
        <v>43831</v>
      </c>
      <c r="GC3" s="29">
        <v>43862</v>
      </c>
      <c r="GD3" s="29">
        <v>43891</v>
      </c>
      <c r="GE3" s="29">
        <v>43922</v>
      </c>
      <c r="GF3" s="29">
        <v>43952</v>
      </c>
      <c r="GG3" s="29">
        <v>43983</v>
      </c>
      <c r="GH3" s="29">
        <v>44013</v>
      </c>
      <c r="GI3" s="29">
        <v>44044</v>
      </c>
      <c r="GJ3" s="29">
        <v>44075</v>
      </c>
      <c r="GK3" s="29">
        <v>44105</v>
      </c>
      <c r="GL3" s="29">
        <v>44136</v>
      </c>
      <c r="GM3" s="29">
        <v>44166</v>
      </c>
      <c r="GN3" s="29">
        <v>44197</v>
      </c>
      <c r="GO3" s="29">
        <v>44228</v>
      </c>
      <c r="GP3" s="29">
        <v>44256</v>
      </c>
      <c r="GQ3" s="29">
        <v>44287</v>
      </c>
      <c r="GR3" s="29">
        <v>44317</v>
      </c>
      <c r="GS3" s="29">
        <v>44348</v>
      </c>
      <c r="GT3" s="29">
        <v>44378</v>
      </c>
      <c r="GU3" s="29">
        <v>44409</v>
      </c>
      <c r="GV3" s="29">
        <v>44440</v>
      </c>
      <c r="GW3" s="29">
        <v>44470</v>
      </c>
      <c r="GX3" s="29">
        <v>44501</v>
      </c>
      <c r="GY3" s="29">
        <v>44531</v>
      </c>
      <c r="GZ3" s="29">
        <v>44562</v>
      </c>
      <c r="HA3" s="29">
        <v>44593</v>
      </c>
      <c r="HB3" s="29">
        <v>44621</v>
      </c>
      <c r="HC3" s="29">
        <v>44652</v>
      </c>
      <c r="HD3" s="29">
        <v>44682</v>
      </c>
      <c r="HE3" s="29">
        <v>44713</v>
      </c>
      <c r="HF3" s="29">
        <v>44743</v>
      </c>
      <c r="HG3" s="29">
        <v>44774</v>
      </c>
      <c r="HH3" s="29">
        <v>44805</v>
      </c>
      <c r="HI3" s="29">
        <v>44835</v>
      </c>
      <c r="HJ3" s="29">
        <v>44866</v>
      </c>
      <c r="HK3" s="29">
        <v>44896</v>
      </c>
      <c r="HL3" s="29">
        <v>44927</v>
      </c>
      <c r="HM3" s="29">
        <v>44958</v>
      </c>
      <c r="HN3" s="29">
        <v>44986</v>
      </c>
      <c r="HO3" s="29">
        <v>45017</v>
      </c>
      <c r="HP3" s="29">
        <v>45047</v>
      </c>
      <c r="HQ3" s="29">
        <v>45078</v>
      </c>
      <c r="HR3" s="29">
        <v>45108</v>
      </c>
      <c r="HS3" s="29">
        <v>45139</v>
      </c>
      <c r="HT3" s="29">
        <v>45170</v>
      </c>
      <c r="HU3" s="29">
        <v>45200</v>
      </c>
      <c r="HV3" s="29">
        <v>45231</v>
      </c>
      <c r="HW3" s="29">
        <v>45261</v>
      </c>
      <c r="HX3" s="29">
        <v>45292</v>
      </c>
      <c r="HY3" s="29">
        <v>45323</v>
      </c>
      <c r="HZ3" s="29">
        <v>45352</v>
      </c>
      <c r="IA3" s="29">
        <v>45383</v>
      </c>
      <c r="IB3" s="29">
        <v>45413</v>
      </c>
      <c r="IC3" s="29">
        <v>45444</v>
      </c>
      <c r="ID3" s="29">
        <v>45474</v>
      </c>
      <c r="IE3" s="29">
        <v>45505</v>
      </c>
      <c r="IF3" s="29">
        <v>45536</v>
      </c>
      <c r="IG3" s="29">
        <v>45566</v>
      </c>
      <c r="IH3" s="29">
        <v>45597</v>
      </c>
      <c r="II3" s="29">
        <v>45627</v>
      </c>
      <c r="IJ3" s="29">
        <v>45658</v>
      </c>
      <c r="IK3" s="29">
        <v>45689</v>
      </c>
      <c r="IL3" s="29">
        <v>45717</v>
      </c>
      <c r="IM3" s="29">
        <v>45748</v>
      </c>
      <c r="IN3" s="29">
        <v>45778</v>
      </c>
      <c r="IO3" s="29">
        <v>45809</v>
      </c>
      <c r="IP3" s="29">
        <v>45839</v>
      </c>
      <c r="IQ3" s="29">
        <v>45870</v>
      </c>
      <c r="IR3" s="29">
        <v>45901</v>
      </c>
      <c r="IS3" s="29">
        <v>45931</v>
      </c>
      <c r="IT3" s="29">
        <v>45962</v>
      </c>
      <c r="IU3" s="29">
        <v>45992</v>
      </c>
      <c r="IV3" s="29">
        <v>46023</v>
      </c>
      <c r="IW3" s="29">
        <v>46054</v>
      </c>
      <c r="IX3" s="29">
        <v>46082</v>
      </c>
      <c r="IY3" s="29">
        <v>46113</v>
      </c>
      <c r="IZ3" s="29">
        <v>46143</v>
      </c>
    </row>
    <row r="4" spans="1:260">
      <c r="A4" t="s">
        <v>82</v>
      </c>
      <c r="B4" s="3">
        <v>1.78</v>
      </c>
      <c r="C4" s="3">
        <v>1.78</v>
      </c>
      <c r="D4" s="3">
        <v>1.78</v>
      </c>
      <c r="E4" s="3">
        <v>1.78</v>
      </c>
      <c r="F4" s="3">
        <v>1.8</v>
      </c>
      <c r="G4" s="3">
        <v>1.9</v>
      </c>
      <c r="H4" s="3">
        <v>1.9</v>
      </c>
      <c r="I4" s="3">
        <v>2</v>
      </c>
      <c r="J4" s="3">
        <v>2.0499999999999998</v>
      </c>
      <c r="K4" s="3">
        <v>2.23</v>
      </c>
      <c r="L4" s="3">
        <v>2.37</v>
      </c>
      <c r="M4" s="3">
        <v>2.42</v>
      </c>
      <c r="N4" s="3">
        <v>2.46</v>
      </c>
      <c r="O4" s="3">
        <v>2.46</v>
      </c>
      <c r="P4" s="3">
        <v>2.46</v>
      </c>
      <c r="Q4" s="3">
        <v>2.63</v>
      </c>
      <c r="R4" s="3">
        <v>2.73</v>
      </c>
      <c r="S4" s="3">
        <v>2.73</v>
      </c>
      <c r="T4" s="3">
        <v>2.82</v>
      </c>
      <c r="U4" s="3">
        <v>3</v>
      </c>
      <c r="V4" s="3">
        <v>3</v>
      </c>
      <c r="W4" s="3">
        <v>3.15</v>
      </c>
      <c r="X4" s="3">
        <v>3.15</v>
      </c>
      <c r="Y4" s="3">
        <v>3.15</v>
      </c>
      <c r="Z4" s="3">
        <v>3.05</v>
      </c>
      <c r="AA4" s="3">
        <v>3.05</v>
      </c>
      <c r="AB4" s="3">
        <v>3</v>
      </c>
      <c r="AC4" s="3">
        <v>2.87</v>
      </c>
      <c r="AD4" s="3">
        <v>2.87</v>
      </c>
      <c r="AE4" s="3">
        <v>2.87</v>
      </c>
      <c r="AF4" s="3">
        <v>2.87</v>
      </c>
      <c r="AG4" s="3">
        <v>3</v>
      </c>
      <c r="AH4" s="3">
        <v>3.05</v>
      </c>
      <c r="AI4" s="3">
        <v>3.1</v>
      </c>
      <c r="AJ4" s="3">
        <v>3.1</v>
      </c>
      <c r="AK4" s="3">
        <v>3.1</v>
      </c>
      <c r="AL4" s="3">
        <v>3.13</v>
      </c>
      <c r="AM4" s="3">
        <v>3.33</v>
      </c>
      <c r="AN4" s="3">
        <v>3.33</v>
      </c>
      <c r="AO4" s="3">
        <v>3.33</v>
      </c>
      <c r="AP4" s="3">
        <v>3.6</v>
      </c>
      <c r="AQ4" s="3">
        <v>3.8</v>
      </c>
      <c r="AR4" s="3">
        <v>3.95</v>
      </c>
      <c r="AS4" s="3">
        <v>4.25</v>
      </c>
      <c r="AT4" s="3">
        <v>5.05</v>
      </c>
      <c r="AU4" s="3">
        <v>5.05</v>
      </c>
      <c r="AV4" s="3">
        <v>5.15</v>
      </c>
      <c r="AW4" s="3">
        <v>5.15</v>
      </c>
      <c r="AX4" s="3">
        <v>4.95</v>
      </c>
      <c r="AY4" s="3">
        <v>3.75</v>
      </c>
      <c r="AZ4" s="3">
        <v>3.25</v>
      </c>
      <c r="BA4" s="3">
        <v>2.85</v>
      </c>
      <c r="BB4" s="3">
        <v>2.35</v>
      </c>
      <c r="BC4" s="3">
        <v>2.25</v>
      </c>
      <c r="BD4" s="3">
        <v>2.25</v>
      </c>
      <c r="BE4" s="3">
        <v>2.25</v>
      </c>
      <c r="BF4" s="3">
        <v>2.35</v>
      </c>
      <c r="BG4" s="3">
        <v>2.6</v>
      </c>
      <c r="BH4" s="3">
        <v>2.6</v>
      </c>
      <c r="BI4" s="3">
        <v>2.6</v>
      </c>
      <c r="BJ4" s="3">
        <v>2.6</v>
      </c>
      <c r="BK4" s="3">
        <v>2.6</v>
      </c>
      <c r="BL4" s="3">
        <v>2.6</v>
      </c>
      <c r="BM4" s="3">
        <v>2.95</v>
      </c>
      <c r="BN4" s="3">
        <v>2.95</v>
      </c>
      <c r="BO4" s="3">
        <v>3</v>
      </c>
      <c r="BP4" s="3">
        <v>3.15</v>
      </c>
      <c r="BQ4" s="3">
        <v>3.45</v>
      </c>
      <c r="BR4" s="3">
        <v>3.5</v>
      </c>
      <c r="BS4" s="3">
        <v>3.3</v>
      </c>
      <c r="BT4" s="3">
        <v>3.3</v>
      </c>
      <c r="BU4" s="3">
        <v>3.3</v>
      </c>
      <c r="BV4" s="3">
        <v>3.3</v>
      </c>
      <c r="BW4" s="3">
        <v>3.5</v>
      </c>
      <c r="BX4" s="3">
        <v>3.5</v>
      </c>
      <c r="BY4" s="3">
        <v>3.5</v>
      </c>
      <c r="BZ4" s="3">
        <v>4</v>
      </c>
      <c r="CA4" s="3">
        <v>4</v>
      </c>
      <c r="CB4" s="3">
        <v>4.3</v>
      </c>
      <c r="CC4" s="3">
        <v>4.75</v>
      </c>
      <c r="CD4" s="3">
        <v>4.75</v>
      </c>
      <c r="CE4" s="3">
        <v>4.75</v>
      </c>
      <c r="CF4" s="3">
        <v>4.5999999999999996</v>
      </c>
      <c r="CG4" s="3">
        <v>4.3499999999999996</v>
      </c>
      <c r="CH4" s="3">
        <v>4.3499999999999996</v>
      </c>
      <c r="CI4" s="3">
        <v>4.1500000000000004</v>
      </c>
      <c r="CJ4" s="3">
        <v>4.1500000000000004</v>
      </c>
      <c r="CK4" s="3">
        <v>4.1500000000000004</v>
      </c>
      <c r="CL4" s="3">
        <v>4.1500000000000004</v>
      </c>
      <c r="CM4" s="3">
        <v>4.45</v>
      </c>
      <c r="CN4" s="3">
        <v>4.45</v>
      </c>
      <c r="CO4" s="3">
        <v>4.3</v>
      </c>
      <c r="CP4" s="3">
        <v>4</v>
      </c>
      <c r="CQ4" s="3">
        <v>4</v>
      </c>
      <c r="CR4" s="3">
        <v>4</v>
      </c>
      <c r="CS4" s="3">
        <v>4</v>
      </c>
      <c r="CT4" s="3">
        <v>3.9</v>
      </c>
      <c r="CU4" s="3">
        <v>3.85</v>
      </c>
      <c r="CV4" s="3">
        <v>3.75</v>
      </c>
      <c r="CW4" s="3">
        <v>3.75</v>
      </c>
      <c r="CX4" s="3">
        <v>3.75</v>
      </c>
      <c r="CY4" s="3">
        <v>3.8</v>
      </c>
      <c r="CZ4" s="3">
        <v>3.8</v>
      </c>
      <c r="DA4" s="3">
        <v>3.8</v>
      </c>
      <c r="DB4" s="3">
        <v>3.8</v>
      </c>
      <c r="DC4" s="3">
        <v>3.8</v>
      </c>
      <c r="DD4" s="3">
        <v>3.9</v>
      </c>
      <c r="DE4" s="3">
        <v>3.9</v>
      </c>
      <c r="DF4" s="3">
        <v>4</v>
      </c>
      <c r="DG4" s="3">
        <v>4</v>
      </c>
      <c r="DH4" s="3">
        <v>4</v>
      </c>
      <c r="DI4" s="3">
        <v>3.85</v>
      </c>
      <c r="DJ4" s="3">
        <v>3.85</v>
      </c>
      <c r="DK4" s="3">
        <v>3.9</v>
      </c>
      <c r="DL4" s="3">
        <v>3.9</v>
      </c>
      <c r="DM4" s="3">
        <v>4</v>
      </c>
      <c r="DN4" s="3">
        <v>4</v>
      </c>
      <c r="DO4" s="3">
        <v>3.8</v>
      </c>
      <c r="DP4" s="3">
        <v>3.8</v>
      </c>
      <c r="DQ4" s="3">
        <v>3.65</v>
      </c>
      <c r="DR4" s="3">
        <v>3.3</v>
      </c>
      <c r="DS4" s="3">
        <v>2.8</v>
      </c>
      <c r="DT4" s="3">
        <v>2.8</v>
      </c>
      <c r="DU4" s="3">
        <v>2.8</v>
      </c>
      <c r="DV4" s="3">
        <v>2.8</v>
      </c>
      <c r="DW4" s="3">
        <v>2.8</v>
      </c>
      <c r="DX4" s="3">
        <v>2.8</v>
      </c>
      <c r="DY4" s="3">
        <v>2.8</v>
      </c>
      <c r="DZ4" s="3">
        <v>2.8</v>
      </c>
      <c r="EA4" s="3">
        <v>2.7</v>
      </c>
      <c r="EB4" s="3">
        <v>2.5</v>
      </c>
      <c r="EC4" s="3">
        <v>2.4</v>
      </c>
      <c r="ED4" s="3">
        <v>2.4</v>
      </c>
      <c r="EE4" s="3">
        <v>2.2999999999999998</v>
      </c>
      <c r="EF4" s="3">
        <v>2.1</v>
      </c>
      <c r="EG4" s="3">
        <v>1.8</v>
      </c>
      <c r="EH4" s="3">
        <v>1.8</v>
      </c>
      <c r="EI4" s="3">
        <v>1.9</v>
      </c>
      <c r="EJ4" s="3">
        <v>2</v>
      </c>
      <c r="EK4" s="3">
        <v>2.25</v>
      </c>
      <c r="EL4" s="3">
        <v>2.4</v>
      </c>
      <c r="EM4" s="3">
        <v>2.4</v>
      </c>
      <c r="EN4" s="3">
        <v>2.4</v>
      </c>
      <c r="EO4">
        <v>2.4</v>
      </c>
      <c r="EP4" s="3">
        <v>2.4</v>
      </c>
      <c r="EQ4" s="3">
        <v>2.4</v>
      </c>
    </row>
    <row r="5" spans="1:260">
      <c r="A5" t="s">
        <v>81</v>
      </c>
      <c r="B5" s="3">
        <v>1.85</v>
      </c>
      <c r="C5" s="3">
        <v>1.85</v>
      </c>
      <c r="D5" s="3">
        <v>1.85</v>
      </c>
      <c r="E5" s="3">
        <v>1.85</v>
      </c>
      <c r="F5" s="3">
        <v>1.82</v>
      </c>
      <c r="G5" s="3">
        <v>2.0499999999999998</v>
      </c>
      <c r="H5" s="3">
        <v>2.0499999999999998</v>
      </c>
      <c r="I5" s="3">
        <v>2.0699999999999998</v>
      </c>
      <c r="J5" s="3">
        <v>2.2000000000000002</v>
      </c>
      <c r="K5" s="3">
        <v>2.2799999999999998</v>
      </c>
      <c r="L5" s="3">
        <v>2.4</v>
      </c>
      <c r="M5" s="3">
        <v>2.48</v>
      </c>
      <c r="N5" s="3">
        <v>2.5499999999999998</v>
      </c>
      <c r="O5" s="3">
        <v>2.5499999999999998</v>
      </c>
      <c r="P5" s="3">
        <v>2.5499999999999998</v>
      </c>
      <c r="Q5" s="3">
        <v>2.7</v>
      </c>
      <c r="R5" s="3">
        <v>2.76</v>
      </c>
      <c r="S5" s="3">
        <v>2.82</v>
      </c>
      <c r="T5" s="3">
        <v>2.9</v>
      </c>
      <c r="U5" s="3">
        <v>3</v>
      </c>
      <c r="V5" s="3">
        <v>3.15</v>
      </c>
      <c r="W5" s="3">
        <v>3.15</v>
      </c>
      <c r="X5" s="3">
        <v>3.15</v>
      </c>
      <c r="Y5" s="3">
        <v>3.15</v>
      </c>
      <c r="Z5" s="3">
        <v>3</v>
      </c>
      <c r="AA5" s="3">
        <v>3</v>
      </c>
      <c r="AB5" s="3">
        <v>3</v>
      </c>
      <c r="AC5" s="3">
        <v>3</v>
      </c>
      <c r="AD5" s="3">
        <v>3</v>
      </c>
      <c r="AE5" s="3">
        <v>3</v>
      </c>
      <c r="AF5" s="3">
        <v>3</v>
      </c>
      <c r="AG5" s="3">
        <v>3.12</v>
      </c>
      <c r="AH5" s="3">
        <v>3.23</v>
      </c>
      <c r="AI5" s="3">
        <v>3.23</v>
      </c>
      <c r="AJ5" s="3">
        <v>3.23</v>
      </c>
      <c r="AK5" s="3">
        <v>3.23</v>
      </c>
      <c r="AL5" s="3">
        <v>3.23</v>
      </c>
      <c r="AM5" s="3">
        <v>3.3</v>
      </c>
      <c r="AN5" s="3">
        <v>3.33</v>
      </c>
      <c r="AO5" s="3">
        <v>3.33</v>
      </c>
      <c r="AP5" s="3">
        <v>3.6</v>
      </c>
      <c r="AQ5" s="3">
        <v>3.8</v>
      </c>
      <c r="AR5" s="3">
        <v>3.95</v>
      </c>
      <c r="AS5" s="3">
        <v>4.2</v>
      </c>
      <c r="AT5" s="3">
        <v>4.9000000000000004</v>
      </c>
      <c r="AU5" s="3">
        <v>5.05</v>
      </c>
      <c r="AV5" s="3">
        <v>5.05</v>
      </c>
      <c r="AW5" s="3">
        <v>4.95</v>
      </c>
      <c r="AX5" s="3">
        <v>4.8499999999999996</v>
      </c>
      <c r="AY5" s="3">
        <v>3.75</v>
      </c>
      <c r="AZ5" s="3">
        <v>3.2</v>
      </c>
      <c r="BA5" s="3">
        <v>2.85</v>
      </c>
      <c r="BB5" s="3">
        <v>2.4</v>
      </c>
      <c r="BC5" s="3">
        <v>2.25</v>
      </c>
      <c r="BD5" s="3">
        <v>2.25</v>
      </c>
      <c r="BE5" s="3">
        <v>2.25</v>
      </c>
      <c r="BF5" s="3">
        <v>2.35</v>
      </c>
      <c r="BG5" s="3">
        <v>2.7</v>
      </c>
      <c r="BH5" s="3">
        <v>2.7</v>
      </c>
      <c r="BI5" s="3">
        <v>2.7</v>
      </c>
      <c r="BJ5" s="3">
        <v>2.7</v>
      </c>
      <c r="BK5" s="3">
        <v>2.7</v>
      </c>
      <c r="BL5" s="3">
        <v>2.7</v>
      </c>
      <c r="BM5" s="3">
        <v>2.95</v>
      </c>
      <c r="BN5" s="3">
        <v>3</v>
      </c>
      <c r="BO5" s="3">
        <v>3.1</v>
      </c>
      <c r="BP5" s="3">
        <v>3.2</v>
      </c>
      <c r="BQ5" s="3">
        <v>3.5</v>
      </c>
      <c r="BR5" s="3">
        <v>3.5</v>
      </c>
      <c r="BS5" s="3">
        <v>3.5</v>
      </c>
      <c r="BT5" s="3">
        <v>3.5</v>
      </c>
      <c r="BU5" s="3">
        <v>3.5</v>
      </c>
      <c r="BV5" s="3">
        <v>3.5</v>
      </c>
      <c r="BW5" s="3">
        <v>3.85</v>
      </c>
      <c r="BX5" s="3">
        <v>3.85</v>
      </c>
      <c r="BY5" s="3">
        <v>3.85</v>
      </c>
      <c r="BZ5" s="3">
        <v>4.25</v>
      </c>
      <c r="CA5" s="3">
        <v>4.25</v>
      </c>
      <c r="CB5" s="3">
        <v>4.75</v>
      </c>
      <c r="CC5" s="3">
        <v>4.75</v>
      </c>
      <c r="CD5" s="3">
        <v>4.95</v>
      </c>
      <c r="CE5" s="3">
        <v>4.95</v>
      </c>
      <c r="CF5" s="3">
        <v>4.95</v>
      </c>
      <c r="CG5" s="3">
        <v>4.95</v>
      </c>
      <c r="CH5" s="3">
        <v>4.95</v>
      </c>
      <c r="CI5" s="3">
        <v>4.75</v>
      </c>
      <c r="CJ5" s="3">
        <v>4.75</v>
      </c>
      <c r="CK5" s="3">
        <v>4.75</v>
      </c>
      <c r="CL5" s="3">
        <v>4.75</v>
      </c>
      <c r="CM5" s="3">
        <v>4.75</v>
      </c>
      <c r="CN5" s="3">
        <v>5</v>
      </c>
      <c r="CO5" s="3">
        <v>4.75</v>
      </c>
      <c r="CP5" s="3">
        <v>4.3</v>
      </c>
      <c r="CQ5" s="3">
        <v>4.3</v>
      </c>
      <c r="CR5" s="3">
        <v>4.3</v>
      </c>
      <c r="CS5" s="3">
        <v>4.3</v>
      </c>
      <c r="CT5" s="3">
        <v>4</v>
      </c>
      <c r="CU5" s="3">
        <v>4</v>
      </c>
      <c r="CV5" s="3">
        <v>3.75</v>
      </c>
      <c r="CW5" s="3">
        <v>3.75</v>
      </c>
      <c r="CX5" s="3">
        <v>3.75</v>
      </c>
      <c r="CY5" s="3">
        <v>3.9</v>
      </c>
      <c r="CZ5" s="3">
        <v>3.9</v>
      </c>
      <c r="DA5" s="3">
        <v>3.9</v>
      </c>
      <c r="DB5" s="3">
        <v>3.9</v>
      </c>
      <c r="DC5" s="3">
        <v>3.9</v>
      </c>
      <c r="DD5" s="3">
        <v>4</v>
      </c>
      <c r="DE5" s="3">
        <v>4</v>
      </c>
      <c r="DF5" s="3">
        <v>3.9</v>
      </c>
      <c r="DG5" s="3">
        <v>3.9</v>
      </c>
      <c r="DH5" s="3">
        <v>3.9</v>
      </c>
      <c r="DI5" s="3">
        <v>3.85</v>
      </c>
      <c r="DJ5" s="3">
        <v>3.85</v>
      </c>
      <c r="DK5" s="3">
        <v>3.9</v>
      </c>
      <c r="DL5" s="3">
        <v>3.9</v>
      </c>
      <c r="DM5" s="3">
        <v>3.9</v>
      </c>
      <c r="DN5" s="3">
        <v>3.9</v>
      </c>
      <c r="DO5" s="3">
        <v>3.7</v>
      </c>
      <c r="DP5" s="3">
        <v>3.7</v>
      </c>
      <c r="DQ5" s="3">
        <v>3.55</v>
      </c>
      <c r="DR5" s="3">
        <v>3.3</v>
      </c>
      <c r="DS5" s="3">
        <v>2.8</v>
      </c>
      <c r="DT5" s="3">
        <v>2.8</v>
      </c>
      <c r="DU5" s="3">
        <v>2.8</v>
      </c>
      <c r="DV5" s="3">
        <v>2.8</v>
      </c>
      <c r="DW5" s="3">
        <v>2.8</v>
      </c>
      <c r="DX5" s="3">
        <v>2.8</v>
      </c>
      <c r="DY5" s="3">
        <v>2.8</v>
      </c>
      <c r="DZ5" s="3">
        <v>2.8</v>
      </c>
      <c r="EA5" s="3">
        <v>2.7</v>
      </c>
      <c r="EB5" s="3">
        <v>2.5</v>
      </c>
      <c r="EC5" s="3">
        <v>2.4</v>
      </c>
      <c r="ED5" s="3">
        <v>2.4</v>
      </c>
      <c r="EE5" s="3">
        <v>2.2999999999999998</v>
      </c>
      <c r="EF5" s="3">
        <v>2.1</v>
      </c>
      <c r="EG5" s="3">
        <v>1.8</v>
      </c>
      <c r="EH5" s="3">
        <v>1.8</v>
      </c>
      <c r="EI5" s="3">
        <v>1.8</v>
      </c>
      <c r="EJ5" s="3">
        <v>1.95</v>
      </c>
      <c r="EK5" s="3">
        <v>2.2000000000000002</v>
      </c>
      <c r="EL5" s="3">
        <v>2.2999999999999998</v>
      </c>
      <c r="EM5" s="3">
        <v>2.2999999999999998</v>
      </c>
      <c r="EN5" s="3">
        <v>2.2999999999999998</v>
      </c>
      <c r="EO5" s="3">
        <v>2.2000000000000002</v>
      </c>
      <c r="EP5" s="3">
        <v>2.2000000000000002</v>
      </c>
      <c r="EQ5" s="3">
        <v>2.2000000000000002</v>
      </c>
    </row>
    <row r="6" spans="1:260">
      <c r="A6" t="s">
        <v>80</v>
      </c>
      <c r="B6" s="3">
        <v>1.1499999999999999</v>
      </c>
      <c r="C6" s="3">
        <v>1</v>
      </c>
      <c r="D6" s="3">
        <v>1.1000000000000001</v>
      </c>
      <c r="E6" s="3">
        <v>1.1499999999999999</v>
      </c>
      <c r="F6" s="3">
        <v>1.28</v>
      </c>
      <c r="G6" s="3">
        <v>1.26</v>
      </c>
      <c r="H6" s="3">
        <v>1.18</v>
      </c>
      <c r="I6" s="3">
        <v>1.3</v>
      </c>
      <c r="J6" s="3">
        <v>1.4</v>
      </c>
      <c r="K6" s="3">
        <v>1.53</v>
      </c>
      <c r="L6" s="3">
        <v>1.53</v>
      </c>
      <c r="M6" s="3">
        <v>1.5</v>
      </c>
      <c r="N6" s="3">
        <v>1.4</v>
      </c>
      <c r="O6" s="3">
        <v>1.43</v>
      </c>
      <c r="P6" s="3">
        <v>1.53</v>
      </c>
      <c r="Q6" s="3">
        <v>1.48</v>
      </c>
      <c r="R6" s="3">
        <v>1.5</v>
      </c>
      <c r="S6" s="3">
        <v>1.65</v>
      </c>
      <c r="T6" s="3">
        <v>1.7</v>
      </c>
      <c r="U6" s="3">
        <v>1.7</v>
      </c>
      <c r="V6" s="3">
        <v>1.75</v>
      </c>
      <c r="W6" s="3">
        <v>1.72</v>
      </c>
      <c r="X6" s="3">
        <v>1.5</v>
      </c>
      <c r="Y6" s="3">
        <v>1.45</v>
      </c>
      <c r="Z6" s="3">
        <v>1.45</v>
      </c>
      <c r="AA6" s="3">
        <v>1.5</v>
      </c>
      <c r="AB6" s="3">
        <v>1.3</v>
      </c>
      <c r="AC6" s="3">
        <v>1.4</v>
      </c>
      <c r="AD6" s="3">
        <v>1.44</v>
      </c>
      <c r="AE6" s="3">
        <v>1.5</v>
      </c>
      <c r="AF6" s="3">
        <v>1.5</v>
      </c>
      <c r="AG6" s="3">
        <v>1.6</v>
      </c>
      <c r="AH6" s="3">
        <v>1.75</v>
      </c>
      <c r="AI6" s="3">
        <v>1.7</v>
      </c>
      <c r="AJ6" s="3">
        <v>1.92</v>
      </c>
      <c r="AK6" s="3">
        <v>2.0499999999999998</v>
      </c>
      <c r="AL6" s="3">
        <v>2.2000000000000002</v>
      </c>
      <c r="AM6" s="3">
        <v>2.16</v>
      </c>
      <c r="AN6" s="3">
        <v>2.1800000000000002</v>
      </c>
      <c r="AO6" s="3">
        <v>2.2000000000000002</v>
      </c>
      <c r="AP6" s="3">
        <v>2.5</v>
      </c>
      <c r="AQ6" s="3">
        <v>2.75</v>
      </c>
      <c r="AR6" s="3">
        <v>3</v>
      </c>
      <c r="AS6" s="3">
        <v>3.15</v>
      </c>
      <c r="AT6" s="3">
        <v>3.15</v>
      </c>
      <c r="AU6" s="3">
        <v>2.85</v>
      </c>
      <c r="AV6" s="3">
        <v>2.5</v>
      </c>
      <c r="AW6" s="3">
        <v>1.9</v>
      </c>
      <c r="AX6" s="3">
        <v>1.3</v>
      </c>
      <c r="AY6" s="3">
        <v>1</v>
      </c>
      <c r="AZ6" s="3">
        <v>1</v>
      </c>
      <c r="BA6" s="3">
        <v>0.9</v>
      </c>
      <c r="BB6" s="3">
        <v>1.1000000000000001</v>
      </c>
      <c r="BC6" s="3">
        <v>1.1200000000000001</v>
      </c>
      <c r="BD6" s="3">
        <v>1.4</v>
      </c>
      <c r="BE6" s="3">
        <v>1.75</v>
      </c>
      <c r="BF6" s="3">
        <v>1.7</v>
      </c>
      <c r="BG6" s="3">
        <v>1.85</v>
      </c>
      <c r="BH6" s="3">
        <v>1.8</v>
      </c>
      <c r="BI6" s="3">
        <v>1.88</v>
      </c>
      <c r="BJ6" s="3">
        <v>1.9</v>
      </c>
      <c r="BK6" s="3">
        <v>1.85</v>
      </c>
      <c r="BL6" s="3">
        <v>1.9</v>
      </c>
      <c r="BM6" s="3">
        <v>1.85</v>
      </c>
      <c r="BN6" s="3">
        <v>1.95</v>
      </c>
      <c r="BO6" s="3">
        <v>2</v>
      </c>
      <c r="BP6" s="3">
        <v>1.85</v>
      </c>
      <c r="BQ6" s="3">
        <v>1.9</v>
      </c>
      <c r="BR6" s="3">
        <v>1.95</v>
      </c>
      <c r="BS6" s="3">
        <v>1.95</v>
      </c>
      <c r="BT6" s="3">
        <v>1.9</v>
      </c>
      <c r="BU6" s="3">
        <v>2</v>
      </c>
      <c r="BV6" s="3">
        <v>2</v>
      </c>
      <c r="BW6" s="3">
        <v>2.1</v>
      </c>
      <c r="BX6" s="3">
        <v>2.1</v>
      </c>
      <c r="BY6" s="3">
        <v>2.1</v>
      </c>
      <c r="BZ6" s="3">
        <v>2.4</v>
      </c>
      <c r="CA6" s="3">
        <v>2.65</v>
      </c>
      <c r="CB6" s="3">
        <v>2.35</v>
      </c>
      <c r="CC6" s="3">
        <v>2.2000000000000002</v>
      </c>
      <c r="CD6" s="3">
        <v>2.2000000000000002</v>
      </c>
      <c r="CE6" s="3">
        <v>2</v>
      </c>
      <c r="CF6" s="3">
        <v>2</v>
      </c>
      <c r="CG6" s="3">
        <v>2</v>
      </c>
      <c r="CH6" s="3">
        <v>2.2000000000000002</v>
      </c>
      <c r="CI6" s="3">
        <v>2.2999999999999998</v>
      </c>
      <c r="CJ6" s="3">
        <v>2.35</v>
      </c>
      <c r="CK6" s="3">
        <v>2.4500000000000002</v>
      </c>
      <c r="CL6" s="3">
        <v>2.5499999999999998</v>
      </c>
      <c r="CM6" s="3">
        <v>2.5</v>
      </c>
      <c r="CN6" s="3">
        <v>2.2000000000000002</v>
      </c>
      <c r="CO6" s="3">
        <v>2</v>
      </c>
      <c r="CP6" s="3">
        <v>2.1</v>
      </c>
      <c r="CQ6" s="3">
        <v>2.2000000000000002</v>
      </c>
      <c r="CR6" s="3">
        <v>2.2000000000000002</v>
      </c>
      <c r="CS6" s="3">
        <v>2.1</v>
      </c>
      <c r="CT6" s="3">
        <v>2.1</v>
      </c>
      <c r="CU6" s="3">
        <v>2.15</v>
      </c>
      <c r="CV6" s="3">
        <v>2.25</v>
      </c>
      <c r="CW6" s="3">
        <v>2.25</v>
      </c>
      <c r="CX6" s="3">
        <v>2.25</v>
      </c>
      <c r="CY6" s="3">
        <v>2.2000000000000002</v>
      </c>
      <c r="CZ6" s="3">
        <v>2.2000000000000002</v>
      </c>
      <c r="DA6" s="3">
        <v>2.2000000000000002</v>
      </c>
      <c r="DB6" s="3">
        <v>2.5</v>
      </c>
      <c r="DC6" s="3">
        <v>2.6</v>
      </c>
      <c r="DD6" s="3">
        <v>2.6</v>
      </c>
      <c r="DE6" s="3">
        <v>2.4500000000000002</v>
      </c>
      <c r="DF6" s="3">
        <v>2.2999999999999998</v>
      </c>
      <c r="DG6" s="3">
        <v>2.35</v>
      </c>
      <c r="DH6" s="3">
        <v>2.2999999999999998</v>
      </c>
      <c r="DI6" s="3">
        <v>2.35</v>
      </c>
      <c r="DJ6" s="3">
        <v>2.35</v>
      </c>
      <c r="DK6" s="3">
        <v>2.35</v>
      </c>
      <c r="DL6" s="3">
        <v>2.35</v>
      </c>
      <c r="DM6" s="3">
        <v>2.4</v>
      </c>
      <c r="DN6" s="3">
        <v>2.2999999999999998</v>
      </c>
      <c r="DO6" s="3">
        <v>2.25</v>
      </c>
      <c r="DP6" s="3">
        <v>2.15</v>
      </c>
      <c r="DQ6" s="3">
        <v>2</v>
      </c>
      <c r="DR6" s="3">
        <v>1.85</v>
      </c>
      <c r="DS6" s="3">
        <v>1.35</v>
      </c>
      <c r="DT6" s="3">
        <v>1.1000000000000001</v>
      </c>
      <c r="DU6" s="3">
        <v>1.1499999999999999</v>
      </c>
      <c r="DV6" s="3">
        <v>1.05</v>
      </c>
      <c r="DW6" s="3">
        <v>1.2</v>
      </c>
      <c r="DX6" s="3">
        <v>1.35</v>
      </c>
      <c r="DY6" s="3">
        <v>1.35</v>
      </c>
      <c r="DZ6" s="3">
        <v>1.25</v>
      </c>
      <c r="EA6" s="3">
        <v>1</v>
      </c>
      <c r="EB6" s="3">
        <v>1.05</v>
      </c>
      <c r="EC6" s="3">
        <v>1.05</v>
      </c>
      <c r="ED6" s="3">
        <v>1</v>
      </c>
      <c r="EE6" s="3">
        <v>0.85</v>
      </c>
      <c r="EF6" s="3">
        <v>0.75</v>
      </c>
      <c r="EG6" s="3">
        <v>0.75</v>
      </c>
      <c r="EH6" s="3">
        <v>1</v>
      </c>
      <c r="EI6" s="3">
        <v>1.05</v>
      </c>
      <c r="EJ6" s="3">
        <v>1.25</v>
      </c>
      <c r="EK6" s="3">
        <v>1.3</v>
      </c>
      <c r="EL6" s="3">
        <v>1.2</v>
      </c>
      <c r="EM6" s="3">
        <v>1.2</v>
      </c>
      <c r="EN6" s="3">
        <v>1.2</v>
      </c>
      <c r="EO6" s="3">
        <v>1.3</v>
      </c>
      <c r="EP6" s="3">
        <v>1.25</v>
      </c>
    </row>
    <row r="7" spans="1:260">
      <c r="A7" t="s">
        <v>83</v>
      </c>
      <c r="B7" s="3">
        <f t="shared" ref="B7:AG7" si="0">B5*0.85</f>
        <v>1.5725</v>
      </c>
      <c r="C7" s="3">
        <f t="shared" si="0"/>
        <v>1.5725</v>
      </c>
      <c r="D7" s="3">
        <f t="shared" si="0"/>
        <v>1.5725</v>
      </c>
      <c r="E7" s="3">
        <f t="shared" si="0"/>
        <v>1.5725</v>
      </c>
      <c r="F7" s="3">
        <f t="shared" si="0"/>
        <v>1.5469999999999999</v>
      </c>
      <c r="G7" s="3">
        <f t="shared" si="0"/>
        <v>1.7424999999999997</v>
      </c>
      <c r="H7" s="3">
        <f t="shared" si="0"/>
        <v>1.7424999999999997</v>
      </c>
      <c r="I7" s="3">
        <f t="shared" si="0"/>
        <v>1.7594999999999998</v>
      </c>
      <c r="J7" s="3">
        <f t="shared" si="0"/>
        <v>1.87</v>
      </c>
      <c r="K7" s="3">
        <f t="shared" si="0"/>
        <v>1.9379999999999997</v>
      </c>
      <c r="L7" s="3">
        <f t="shared" si="0"/>
        <v>2.04</v>
      </c>
      <c r="M7" s="3">
        <f t="shared" si="0"/>
        <v>2.1080000000000001</v>
      </c>
      <c r="N7" s="3">
        <f t="shared" si="0"/>
        <v>2.1675</v>
      </c>
      <c r="O7" s="3">
        <f t="shared" si="0"/>
        <v>2.1675</v>
      </c>
      <c r="P7" s="3">
        <f t="shared" si="0"/>
        <v>2.1675</v>
      </c>
      <c r="Q7" s="3">
        <f t="shared" si="0"/>
        <v>2.2949999999999999</v>
      </c>
      <c r="R7" s="3">
        <f t="shared" si="0"/>
        <v>2.3459999999999996</v>
      </c>
      <c r="S7" s="3">
        <f t="shared" si="0"/>
        <v>2.3969999999999998</v>
      </c>
      <c r="T7" s="3">
        <f t="shared" si="0"/>
        <v>2.4649999999999999</v>
      </c>
      <c r="U7" s="3">
        <f t="shared" si="0"/>
        <v>2.5499999999999998</v>
      </c>
      <c r="V7" s="3">
        <f t="shared" si="0"/>
        <v>2.6774999999999998</v>
      </c>
      <c r="W7" s="3">
        <f t="shared" si="0"/>
        <v>2.6774999999999998</v>
      </c>
      <c r="X7" s="3">
        <f t="shared" si="0"/>
        <v>2.6774999999999998</v>
      </c>
      <c r="Y7" s="3">
        <f t="shared" si="0"/>
        <v>2.6774999999999998</v>
      </c>
      <c r="Z7" s="3">
        <f t="shared" si="0"/>
        <v>2.5499999999999998</v>
      </c>
      <c r="AA7" s="3">
        <f t="shared" si="0"/>
        <v>2.5499999999999998</v>
      </c>
      <c r="AB7" s="3">
        <f t="shared" si="0"/>
        <v>2.5499999999999998</v>
      </c>
      <c r="AC7" s="3">
        <f t="shared" si="0"/>
        <v>2.5499999999999998</v>
      </c>
      <c r="AD7" s="3">
        <f t="shared" si="0"/>
        <v>2.5499999999999998</v>
      </c>
      <c r="AE7" s="3">
        <f t="shared" si="0"/>
        <v>2.5499999999999998</v>
      </c>
      <c r="AF7" s="3">
        <f t="shared" si="0"/>
        <v>2.5499999999999998</v>
      </c>
      <c r="AG7" s="3">
        <f t="shared" si="0"/>
        <v>2.6520000000000001</v>
      </c>
      <c r="AH7" s="3">
        <f t="shared" ref="AH7:BM7" si="1">AH5*0.85</f>
        <v>2.7454999999999998</v>
      </c>
      <c r="AI7" s="3">
        <f t="shared" si="1"/>
        <v>2.7454999999999998</v>
      </c>
      <c r="AJ7" s="3">
        <f t="shared" si="1"/>
        <v>2.7454999999999998</v>
      </c>
      <c r="AK7" s="3">
        <f t="shared" si="1"/>
        <v>2.7454999999999998</v>
      </c>
      <c r="AL7" s="3">
        <f t="shared" si="1"/>
        <v>2.7454999999999998</v>
      </c>
      <c r="AM7" s="3">
        <f t="shared" si="1"/>
        <v>2.8049999999999997</v>
      </c>
      <c r="AN7" s="3">
        <f t="shared" si="1"/>
        <v>2.8304999999999998</v>
      </c>
      <c r="AO7" s="3">
        <f t="shared" si="1"/>
        <v>2.8304999999999998</v>
      </c>
      <c r="AP7" s="3">
        <f t="shared" si="1"/>
        <v>3.06</v>
      </c>
      <c r="AQ7" s="3">
        <f t="shared" si="1"/>
        <v>3.23</v>
      </c>
      <c r="AR7" s="3">
        <f t="shared" si="1"/>
        <v>3.3574999999999999</v>
      </c>
      <c r="AS7" s="3">
        <f t="shared" si="1"/>
        <v>3.57</v>
      </c>
      <c r="AT7" s="3">
        <f t="shared" si="1"/>
        <v>4.165</v>
      </c>
      <c r="AU7" s="3">
        <f t="shared" si="1"/>
        <v>4.2924999999999995</v>
      </c>
      <c r="AV7" s="3">
        <f t="shared" si="1"/>
        <v>4.2924999999999995</v>
      </c>
      <c r="AW7" s="3">
        <f t="shared" si="1"/>
        <v>4.2075000000000005</v>
      </c>
      <c r="AX7" s="3">
        <f t="shared" si="1"/>
        <v>4.1224999999999996</v>
      </c>
      <c r="AY7" s="3">
        <f t="shared" si="1"/>
        <v>3.1875</v>
      </c>
      <c r="AZ7" s="3">
        <f t="shared" si="1"/>
        <v>2.72</v>
      </c>
      <c r="BA7" s="3">
        <f t="shared" si="1"/>
        <v>2.4224999999999999</v>
      </c>
      <c r="BB7" s="3">
        <f t="shared" si="1"/>
        <v>2.04</v>
      </c>
      <c r="BC7" s="3">
        <f t="shared" si="1"/>
        <v>1.9124999999999999</v>
      </c>
      <c r="BD7" s="3">
        <f t="shared" si="1"/>
        <v>1.9124999999999999</v>
      </c>
      <c r="BE7" s="3">
        <f t="shared" si="1"/>
        <v>1.9124999999999999</v>
      </c>
      <c r="BF7" s="3">
        <f t="shared" si="1"/>
        <v>1.9975000000000001</v>
      </c>
      <c r="BG7" s="3">
        <f t="shared" si="1"/>
        <v>2.2949999999999999</v>
      </c>
      <c r="BH7" s="3">
        <f t="shared" si="1"/>
        <v>2.2949999999999999</v>
      </c>
      <c r="BI7" s="3">
        <f t="shared" si="1"/>
        <v>2.2949999999999999</v>
      </c>
      <c r="BJ7" s="3">
        <f t="shared" si="1"/>
        <v>2.2949999999999999</v>
      </c>
      <c r="BK7" s="3">
        <f t="shared" si="1"/>
        <v>2.2949999999999999</v>
      </c>
      <c r="BL7" s="3">
        <f t="shared" si="1"/>
        <v>2.2949999999999999</v>
      </c>
      <c r="BM7" s="3">
        <f t="shared" si="1"/>
        <v>2.5075000000000003</v>
      </c>
      <c r="BN7" s="3">
        <f t="shared" ref="BN7:CS7" si="2">BN5*0.85</f>
        <v>2.5499999999999998</v>
      </c>
      <c r="BO7" s="3">
        <f t="shared" si="2"/>
        <v>2.6349999999999998</v>
      </c>
      <c r="BP7" s="3">
        <f t="shared" si="2"/>
        <v>2.72</v>
      </c>
      <c r="BQ7" s="3">
        <f t="shared" si="2"/>
        <v>2.9750000000000001</v>
      </c>
      <c r="BR7" s="3">
        <f t="shared" si="2"/>
        <v>2.9750000000000001</v>
      </c>
      <c r="BS7" s="3">
        <f t="shared" si="2"/>
        <v>2.9750000000000001</v>
      </c>
      <c r="BT7" s="3">
        <f t="shared" si="2"/>
        <v>2.9750000000000001</v>
      </c>
      <c r="BU7" s="3">
        <f t="shared" si="2"/>
        <v>2.9750000000000001</v>
      </c>
      <c r="BV7" s="3">
        <f t="shared" si="2"/>
        <v>2.9750000000000001</v>
      </c>
      <c r="BW7" s="3">
        <f t="shared" si="2"/>
        <v>3.2725</v>
      </c>
      <c r="BX7" s="3">
        <f t="shared" si="2"/>
        <v>3.2725</v>
      </c>
      <c r="BY7" s="3">
        <f t="shared" si="2"/>
        <v>3.2725</v>
      </c>
      <c r="BZ7" s="3">
        <f t="shared" si="2"/>
        <v>3.6124999999999998</v>
      </c>
      <c r="CA7" s="3">
        <f t="shared" si="2"/>
        <v>3.6124999999999998</v>
      </c>
      <c r="CB7" s="3">
        <f t="shared" si="2"/>
        <v>4.0374999999999996</v>
      </c>
      <c r="CC7" s="3">
        <f t="shared" si="2"/>
        <v>4.0374999999999996</v>
      </c>
      <c r="CD7" s="3">
        <f t="shared" si="2"/>
        <v>4.2075000000000005</v>
      </c>
      <c r="CE7" s="3">
        <f t="shared" si="2"/>
        <v>4.2075000000000005</v>
      </c>
      <c r="CF7" s="3">
        <f t="shared" si="2"/>
        <v>4.2075000000000005</v>
      </c>
      <c r="CG7" s="3">
        <f t="shared" si="2"/>
        <v>4.2075000000000005</v>
      </c>
      <c r="CH7" s="3">
        <f t="shared" si="2"/>
        <v>4.2075000000000005</v>
      </c>
      <c r="CI7" s="3">
        <f t="shared" si="2"/>
        <v>4.0374999999999996</v>
      </c>
      <c r="CJ7" s="3">
        <f t="shared" si="2"/>
        <v>4.0374999999999996</v>
      </c>
      <c r="CK7" s="3">
        <f t="shared" si="2"/>
        <v>4.0374999999999996</v>
      </c>
      <c r="CL7" s="3">
        <f t="shared" si="2"/>
        <v>4.0374999999999996</v>
      </c>
      <c r="CM7" s="3">
        <f t="shared" si="2"/>
        <v>4.0374999999999996</v>
      </c>
      <c r="CN7" s="3">
        <f t="shared" si="2"/>
        <v>4.25</v>
      </c>
      <c r="CO7" s="3">
        <f t="shared" si="2"/>
        <v>4.0374999999999996</v>
      </c>
      <c r="CP7" s="3">
        <f t="shared" si="2"/>
        <v>3.6549999999999998</v>
      </c>
      <c r="CQ7" s="3">
        <f t="shared" si="2"/>
        <v>3.6549999999999998</v>
      </c>
      <c r="CR7" s="3">
        <f t="shared" si="2"/>
        <v>3.6549999999999998</v>
      </c>
      <c r="CS7" s="3">
        <f t="shared" si="2"/>
        <v>3.6549999999999998</v>
      </c>
      <c r="CT7" s="3">
        <f t="shared" ref="CT7:DY7" si="3">CT5*0.85</f>
        <v>3.4</v>
      </c>
      <c r="CU7" s="3">
        <f t="shared" si="3"/>
        <v>3.4</v>
      </c>
      <c r="CV7" s="3">
        <f t="shared" si="3"/>
        <v>3.1875</v>
      </c>
      <c r="CW7" s="3">
        <f t="shared" si="3"/>
        <v>3.1875</v>
      </c>
      <c r="CX7" s="3">
        <f t="shared" si="3"/>
        <v>3.1875</v>
      </c>
      <c r="CY7" s="3">
        <f t="shared" si="3"/>
        <v>3.3149999999999999</v>
      </c>
      <c r="CZ7" s="3">
        <f t="shared" si="3"/>
        <v>3.3149999999999999</v>
      </c>
      <c r="DA7" s="3">
        <f t="shared" si="3"/>
        <v>3.3149999999999999</v>
      </c>
      <c r="DB7" s="3">
        <f t="shared" si="3"/>
        <v>3.3149999999999999</v>
      </c>
      <c r="DC7" s="3">
        <f t="shared" si="3"/>
        <v>3.3149999999999999</v>
      </c>
      <c r="DD7" s="3">
        <f t="shared" si="3"/>
        <v>3.4</v>
      </c>
      <c r="DE7" s="3">
        <f t="shared" si="3"/>
        <v>3.4</v>
      </c>
      <c r="DF7" s="3">
        <f t="shared" si="3"/>
        <v>3.3149999999999999</v>
      </c>
      <c r="DG7" s="3">
        <f t="shared" si="3"/>
        <v>3.3149999999999999</v>
      </c>
      <c r="DH7" s="3">
        <f t="shared" si="3"/>
        <v>3.3149999999999999</v>
      </c>
      <c r="DI7" s="3">
        <f t="shared" si="3"/>
        <v>3.2725</v>
      </c>
      <c r="DJ7" s="3">
        <f t="shared" si="3"/>
        <v>3.2725</v>
      </c>
      <c r="DK7" s="3">
        <f t="shared" si="3"/>
        <v>3.3149999999999999</v>
      </c>
      <c r="DL7" s="3">
        <f t="shared" si="3"/>
        <v>3.3149999999999999</v>
      </c>
      <c r="DM7" s="3">
        <f t="shared" si="3"/>
        <v>3.3149999999999999</v>
      </c>
      <c r="DN7" s="3">
        <f t="shared" si="3"/>
        <v>3.3149999999999999</v>
      </c>
      <c r="DO7" s="3">
        <f t="shared" si="3"/>
        <v>3.145</v>
      </c>
      <c r="DP7" s="3">
        <f t="shared" si="3"/>
        <v>3.145</v>
      </c>
      <c r="DQ7" s="3">
        <f t="shared" si="3"/>
        <v>3.0174999999999996</v>
      </c>
      <c r="DR7" s="3">
        <f t="shared" si="3"/>
        <v>2.8049999999999997</v>
      </c>
      <c r="DS7" s="3">
        <f t="shared" si="3"/>
        <v>2.38</v>
      </c>
      <c r="DT7" s="3">
        <f t="shared" si="3"/>
        <v>2.38</v>
      </c>
      <c r="DU7" s="3">
        <f t="shared" si="3"/>
        <v>2.38</v>
      </c>
      <c r="DV7" s="3">
        <f t="shared" si="3"/>
        <v>2.38</v>
      </c>
      <c r="DW7" s="3">
        <f t="shared" si="3"/>
        <v>2.38</v>
      </c>
      <c r="DX7" s="3">
        <f t="shared" si="3"/>
        <v>2.38</v>
      </c>
      <c r="DY7" s="3">
        <f t="shared" si="3"/>
        <v>2.38</v>
      </c>
      <c r="DZ7" s="3">
        <f t="shared" ref="DZ7:EQ7" si="4">DZ5*0.85</f>
        <v>2.38</v>
      </c>
      <c r="EA7" s="3">
        <f t="shared" si="4"/>
        <v>2.2949999999999999</v>
      </c>
      <c r="EB7" s="3">
        <f t="shared" si="4"/>
        <v>2.125</v>
      </c>
      <c r="EC7" s="3">
        <f t="shared" si="4"/>
        <v>2.04</v>
      </c>
      <c r="ED7" s="3">
        <f t="shared" si="4"/>
        <v>2.04</v>
      </c>
      <c r="EE7" s="3">
        <f t="shared" si="4"/>
        <v>1.9549999999999998</v>
      </c>
      <c r="EF7" s="3">
        <f t="shared" si="4"/>
        <v>1.7849999999999999</v>
      </c>
      <c r="EG7" s="3">
        <f t="shared" si="4"/>
        <v>1.53</v>
      </c>
      <c r="EH7" s="3">
        <f t="shared" si="4"/>
        <v>1.53</v>
      </c>
      <c r="EI7" s="3">
        <f t="shared" si="4"/>
        <v>1.53</v>
      </c>
      <c r="EJ7" s="3">
        <f t="shared" si="4"/>
        <v>1.6575</v>
      </c>
      <c r="EK7" s="3">
        <f t="shared" si="4"/>
        <v>1.87</v>
      </c>
      <c r="EL7" s="3">
        <f t="shared" si="4"/>
        <v>1.9549999999999998</v>
      </c>
      <c r="EM7" s="3">
        <f t="shared" si="4"/>
        <v>1.9549999999999998</v>
      </c>
      <c r="EN7" s="3">
        <f t="shared" si="4"/>
        <v>1.9549999999999998</v>
      </c>
      <c r="EO7" s="3">
        <f t="shared" si="4"/>
        <v>1.87</v>
      </c>
      <c r="EP7" s="3">
        <f t="shared" si="4"/>
        <v>1.87</v>
      </c>
      <c r="EQ7" s="3">
        <f t="shared" si="4"/>
        <v>1.87</v>
      </c>
    </row>
    <row r="8" spans="1:260">
      <c r="A8" t="s">
        <v>287</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FD8" s="332">
        <f>'Key Assumptions'!C31</f>
        <v>2.0491369047619048</v>
      </c>
      <c r="FE8" s="332">
        <f>FD8</f>
        <v>2.0491369047619048</v>
      </c>
      <c r="FF8" s="332">
        <f t="shared" ref="FF8:FO8" si="5">FE8</f>
        <v>2.0491369047619048</v>
      </c>
      <c r="FG8" s="332">
        <f t="shared" si="5"/>
        <v>2.0491369047619048</v>
      </c>
      <c r="FH8" s="332">
        <f t="shared" si="5"/>
        <v>2.0491369047619048</v>
      </c>
      <c r="FI8" s="332">
        <f t="shared" si="5"/>
        <v>2.0491369047619048</v>
      </c>
      <c r="FJ8" s="332">
        <f t="shared" si="5"/>
        <v>2.0491369047619048</v>
      </c>
      <c r="FK8" s="332">
        <f t="shared" si="5"/>
        <v>2.0491369047619048</v>
      </c>
      <c r="FL8" s="332">
        <f t="shared" si="5"/>
        <v>2.0491369047619048</v>
      </c>
      <c r="FM8" s="332">
        <f t="shared" si="5"/>
        <v>2.0491369047619048</v>
      </c>
      <c r="FN8" s="332">
        <f t="shared" si="5"/>
        <v>2.0491369047619048</v>
      </c>
      <c r="FO8" s="332">
        <f t="shared" si="5"/>
        <v>2.0491369047619048</v>
      </c>
      <c r="FP8" s="332">
        <f>'Key Assumptions'!D31</f>
        <v>2.0386011904761903</v>
      </c>
      <c r="FQ8" s="332">
        <f>FP8</f>
        <v>2.0386011904761903</v>
      </c>
      <c r="FR8" s="332">
        <f t="shared" ref="FR8:GA8" si="6">FQ8</f>
        <v>2.0386011904761903</v>
      </c>
      <c r="FS8" s="332">
        <f t="shared" si="6"/>
        <v>2.0386011904761903</v>
      </c>
      <c r="FT8" s="332">
        <f t="shared" si="6"/>
        <v>2.0386011904761903</v>
      </c>
      <c r="FU8" s="332">
        <f t="shared" si="6"/>
        <v>2.0386011904761903</v>
      </c>
      <c r="FV8" s="332">
        <f t="shared" si="6"/>
        <v>2.0386011904761903</v>
      </c>
      <c r="FW8" s="332">
        <f t="shared" si="6"/>
        <v>2.0386011904761903</v>
      </c>
      <c r="FX8" s="332">
        <f t="shared" si="6"/>
        <v>2.0386011904761903</v>
      </c>
      <c r="FY8" s="332">
        <f t="shared" si="6"/>
        <v>2.0386011904761903</v>
      </c>
      <c r="FZ8" s="332">
        <f t="shared" si="6"/>
        <v>2.0386011904761903</v>
      </c>
      <c r="GA8" s="332">
        <f t="shared" si="6"/>
        <v>2.0386011904761903</v>
      </c>
      <c r="GB8" s="332">
        <f>'Key Assumptions'!E31</f>
        <v>2.0408482142857141</v>
      </c>
      <c r="GC8" s="332">
        <f>GB8</f>
        <v>2.0408482142857141</v>
      </c>
      <c r="GD8" s="332">
        <f t="shared" ref="GD8:GM8" si="7">GC8</f>
        <v>2.0408482142857141</v>
      </c>
      <c r="GE8" s="332">
        <f t="shared" si="7"/>
        <v>2.0408482142857141</v>
      </c>
      <c r="GF8" s="332">
        <f t="shared" si="7"/>
        <v>2.0408482142857141</v>
      </c>
      <c r="GG8" s="332">
        <f t="shared" si="7"/>
        <v>2.0408482142857141</v>
      </c>
      <c r="GH8" s="332">
        <f t="shared" si="7"/>
        <v>2.0408482142857141</v>
      </c>
      <c r="GI8" s="332">
        <f t="shared" si="7"/>
        <v>2.0408482142857141</v>
      </c>
      <c r="GJ8" s="332">
        <f t="shared" si="7"/>
        <v>2.0408482142857141</v>
      </c>
      <c r="GK8" s="332">
        <f t="shared" si="7"/>
        <v>2.0408482142857141</v>
      </c>
      <c r="GL8" s="332">
        <f t="shared" si="7"/>
        <v>2.0408482142857141</v>
      </c>
      <c r="GM8" s="332">
        <f t="shared" si="7"/>
        <v>2.0408482142857141</v>
      </c>
      <c r="GN8" s="332">
        <f>'Key Assumptions'!F31</f>
        <v>2.0544047619047618</v>
      </c>
      <c r="GO8" s="332">
        <f>GN8</f>
        <v>2.0544047619047618</v>
      </c>
      <c r="GP8" s="332">
        <f t="shared" ref="GP8:GY8" si="8">GO8</f>
        <v>2.0544047619047618</v>
      </c>
      <c r="GQ8" s="332">
        <f t="shared" si="8"/>
        <v>2.0544047619047618</v>
      </c>
      <c r="GR8" s="332">
        <f t="shared" si="8"/>
        <v>2.0544047619047618</v>
      </c>
      <c r="GS8" s="332">
        <f t="shared" si="8"/>
        <v>2.0544047619047618</v>
      </c>
      <c r="GT8" s="332">
        <f t="shared" si="8"/>
        <v>2.0544047619047618</v>
      </c>
      <c r="GU8" s="332">
        <f t="shared" si="8"/>
        <v>2.0544047619047618</v>
      </c>
      <c r="GV8" s="332">
        <f t="shared" si="8"/>
        <v>2.0544047619047618</v>
      </c>
      <c r="GW8" s="332">
        <f t="shared" si="8"/>
        <v>2.0544047619047618</v>
      </c>
      <c r="GX8" s="332">
        <f t="shared" si="8"/>
        <v>2.0544047619047618</v>
      </c>
      <c r="GY8" s="332">
        <f t="shared" si="8"/>
        <v>2.0544047619047618</v>
      </c>
      <c r="GZ8" s="332">
        <f>'Key Assumptions'!G31</f>
        <v>2.0744494047619049</v>
      </c>
      <c r="HA8" s="332">
        <f>GZ8</f>
        <v>2.0744494047619049</v>
      </c>
      <c r="HB8" s="332">
        <f t="shared" ref="HB8:HL8" si="9">HA8</f>
        <v>2.0744494047619049</v>
      </c>
      <c r="HC8" s="332">
        <f t="shared" si="9"/>
        <v>2.0744494047619049</v>
      </c>
      <c r="HD8" s="332">
        <f t="shared" si="9"/>
        <v>2.0744494047619049</v>
      </c>
      <c r="HE8" s="332">
        <f t="shared" si="9"/>
        <v>2.0744494047619049</v>
      </c>
      <c r="HF8" s="332">
        <f t="shared" si="9"/>
        <v>2.0744494047619049</v>
      </c>
      <c r="HG8" s="332">
        <f t="shared" si="9"/>
        <v>2.0744494047619049</v>
      </c>
      <c r="HH8" s="332">
        <f t="shared" si="9"/>
        <v>2.0744494047619049</v>
      </c>
      <c r="HI8" s="332">
        <f t="shared" si="9"/>
        <v>2.0744494047619049</v>
      </c>
      <c r="HJ8" s="332">
        <f t="shared" si="9"/>
        <v>2.0744494047619049</v>
      </c>
      <c r="HK8" s="332">
        <f t="shared" si="9"/>
        <v>2.0744494047619049</v>
      </c>
      <c r="HL8" s="332">
        <f t="shared" si="9"/>
        <v>2.0744494047619049</v>
      </c>
      <c r="HM8" s="332">
        <f>'Key Assumptions'!H31</f>
        <v>2.099017857142857</v>
      </c>
      <c r="HN8" s="332">
        <f>HM8</f>
        <v>2.099017857142857</v>
      </c>
      <c r="HO8" s="332">
        <f t="shared" ref="HO8:HW8" si="10">HN8</f>
        <v>2.099017857142857</v>
      </c>
      <c r="HP8" s="332">
        <f t="shared" si="10"/>
        <v>2.099017857142857</v>
      </c>
      <c r="HQ8" s="332">
        <f t="shared" si="10"/>
        <v>2.099017857142857</v>
      </c>
      <c r="HR8" s="332">
        <f t="shared" si="10"/>
        <v>2.099017857142857</v>
      </c>
      <c r="HS8" s="332">
        <f t="shared" si="10"/>
        <v>2.099017857142857</v>
      </c>
      <c r="HT8" s="332">
        <f t="shared" si="10"/>
        <v>2.099017857142857</v>
      </c>
      <c r="HU8" s="332">
        <f t="shared" si="10"/>
        <v>2.099017857142857</v>
      </c>
      <c r="HV8" s="332">
        <f t="shared" si="10"/>
        <v>2.099017857142857</v>
      </c>
      <c r="HW8" s="332">
        <f t="shared" si="10"/>
        <v>2.099017857142857</v>
      </c>
      <c r="HX8" s="332">
        <f>'Key Assumptions'!I31</f>
        <v>2.1141071428571427</v>
      </c>
      <c r="HY8" s="332">
        <f>HX8</f>
        <v>2.1141071428571427</v>
      </c>
      <c r="HZ8" s="332">
        <f t="shared" ref="HZ8:II8" si="11">HY8</f>
        <v>2.1141071428571427</v>
      </c>
      <c r="IA8" s="332">
        <f t="shared" si="11"/>
        <v>2.1141071428571427</v>
      </c>
      <c r="IB8" s="332">
        <f t="shared" si="11"/>
        <v>2.1141071428571427</v>
      </c>
      <c r="IC8" s="332">
        <f t="shared" si="11"/>
        <v>2.1141071428571427</v>
      </c>
      <c r="ID8" s="332">
        <f t="shared" si="11"/>
        <v>2.1141071428571427</v>
      </c>
      <c r="IE8" s="332">
        <f t="shared" si="11"/>
        <v>2.1141071428571427</v>
      </c>
      <c r="IF8" s="332">
        <f t="shared" si="11"/>
        <v>2.1141071428571427</v>
      </c>
      <c r="IG8" s="332">
        <f t="shared" si="11"/>
        <v>2.1141071428571427</v>
      </c>
      <c r="IH8" s="332">
        <f t="shared" si="11"/>
        <v>2.1141071428571427</v>
      </c>
      <c r="II8" s="332">
        <f t="shared" si="11"/>
        <v>2.1141071428571427</v>
      </c>
      <c r="IJ8" s="332">
        <f>'Key Assumptions'!J31</f>
        <v>2.1236607142857142</v>
      </c>
      <c r="IK8" s="332">
        <f>IJ8</f>
        <v>2.1236607142857142</v>
      </c>
      <c r="IL8" s="332">
        <f t="shared" ref="IL8:IU8" si="12">IK8</f>
        <v>2.1236607142857142</v>
      </c>
      <c r="IM8" s="332">
        <f t="shared" si="12"/>
        <v>2.1236607142857142</v>
      </c>
      <c r="IN8" s="332">
        <f t="shared" si="12"/>
        <v>2.1236607142857142</v>
      </c>
      <c r="IO8" s="332">
        <f t="shared" si="12"/>
        <v>2.1236607142857142</v>
      </c>
      <c r="IP8" s="332">
        <f t="shared" si="12"/>
        <v>2.1236607142857142</v>
      </c>
      <c r="IQ8" s="332">
        <f t="shared" si="12"/>
        <v>2.1236607142857142</v>
      </c>
      <c r="IR8" s="332">
        <f t="shared" si="12"/>
        <v>2.1236607142857142</v>
      </c>
      <c r="IS8" s="332">
        <f t="shared" si="12"/>
        <v>2.1236607142857142</v>
      </c>
      <c r="IT8" s="332">
        <f t="shared" si="12"/>
        <v>2.1236607142857142</v>
      </c>
      <c r="IU8" s="332">
        <f t="shared" si="12"/>
        <v>2.1236607142857142</v>
      </c>
    </row>
    <row r="9" spans="1:260">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260">
      <c r="B10" s="29">
        <v>38292</v>
      </c>
      <c r="C10" s="29">
        <v>38322</v>
      </c>
      <c r="D10" s="29">
        <v>38353</v>
      </c>
      <c r="E10" s="29">
        <v>38384</v>
      </c>
      <c r="F10" s="29">
        <v>38412</v>
      </c>
      <c r="G10" s="29">
        <v>38443</v>
      </c>
      <c r="H10" s="29">
        <v>38473</v>
      </c>
      <c r="I10" s="29">
        <v>38504</v>
      </c>
      <c r="J10" s="29">
        <v>38534</v>
      </c>
      <c r="K10" s="29">
        <v>38565</v>
      </c>
      <c r="L10" s="29">
        <v>38596</v>
      </c>
      <c r="M10" s="29">
        <v>38626</v>
      </c>
      <c r="N10" s="29">
        <v>38657</v>
      </c>
      <c r="O10" s="29">
        <v>38687</v>
      </c>
      <c r="P10" s="29">
        <v>38718</v>
      </c>
      <c r="Q10" s="29">
        <v>38749</v>
      </c>
      <c r="R10" s="29">
        <v>38777</v>
      </c>
      <c r="S10" s="29">
        <v>38808</v>
      </c>
      <c r="T10" s="29">
        <v>38838</v>
      </c>
      <c r="U10" s="29">
        <v>38869</v>
      </c>
      <c r="V10" s="29">
        <v>38899</v>
      </c>
      <c r="W10" s="29">
        <v>38930</v>
      </c>
      <c r="X10" s="29">
        <v>38961</v>
      </c>
      <c r="Y10" s="29">
        <v>38991</v>
      </c>
      <c r="Z10" s="29">
        <v>39022</v>
      </c>
      <c r="AA10" s="29">
        <v>39052</v>
      </c>
      <c r="AB10" s="29">
        <v>39083</v>
      </c>
      <c r="AC10" s="29">
        <v>39114</v>
      </c>
      <c r="AD10" s="29">
        <v>39142</v>
      </c>
      <c r="AE10" s="29">
        <v>39173</v>
      </c>
      <c r="AF10" s="29">
        <v>39203</v>
      </c>
      <c r="AG10" s="29">
        <v>39234</v>
      </c>
      <c r="AH10" s="29">
        <v>39264</v>
      </c>
      <c r="AI10" s="29">
        <v>39295</v>
      </c>
      <c r="AJ10" s="29">
        <v>39326</v>
      </c>
      <c r="AK10" s="29">
        <v>39356</v>
      </c>
      <c r="AL10" s="29">
        <v>39387</v>
      </c>
      <c r="AM10" s="29">
        <v>39417</v>
      </c>
      <c r="AN10" s="29">
        <v>39448</v>
      </c>
      <c r="AO10" s="29">
        <v>39479</v>
      </c>
      <c r="AP10" s="29">
        <v>39508</v>
      </c>
      <c r="AQ10" s="29">
        <v>39539</v>
      </c>
      <c r="AR10" s="29">
        <v>39569</v>
      </c>
      <c r="AS10" s="29">
        <v>39600</v>
      </c>
      <c r="AT10" s="29">
        <v>39630</v>
      </c>
      <c r="AU10" s="29">
        <v>39661</v>
      </c>
      <c r="AV10" s="29">
        <v>39692</v>
      </c>
      <c r="AW10" s="29">
        <v>39722</v>
      </c>
      <c r="AX10" s="29">
        <v>39753</v>
      </c>
      <c r="AY10" s="29">
        <v>39783</v>
      </c>
      <c r="AZ10" s="29">
        <v>39814</v>
      </c>
      <c r="BA10" s="29">
        <v>39845</v>
      </c>
      <c r="BB10" s="29">
        <v>39873</v>
      </c>
      <c r="BC10" s="29">
        <v>39904</v>
      </c>
      <c r="BD10" s="29">
        <v>39934</v>
      </c>
      <c r="BE10" s="29">
        <v>39965</v>
      </c>
      <c r="BF10" s="29">
        <v>39995</v>
      </c>
      <c r="BG10" s="29">
        <v>40026</v>
      </c>
      <c r="BH10" s="29">
        <v>40057</v>
      </c>
      <c r="BI10" s="29">
        <v>40087</v>
      </c>
      <c r="BJ10" s="29">
        <v>40118</v>
      </c>
      <c r="BK10" s="29">
        <v>40148</v>
      </c>
      <c r="BL10" s="29">
        <v>40179</v>
      </c>
      <c r="BM10" s="29">
        <v>40210</v>
      </c>
      <c r="BN10" s="29">
        <v>40238</v>
      </c>
      <c r="BO10" s="29">
        <v>40269</v>
      </c>
      <c r="BP10" s="29">
        <v>40299</v>
      </c>
      <c r="BQ10" s="29">
        <v>40330</v>
      </c>
      <c r="BR10" s="29">
        <v>40360</v>
      </c>
      <c r="BS10" s="29">
        <v>40391</v>
      </c>
      <c r="BT10" s="29">
        <v>40422</v>
      </c>
      <c r="BU10" s="29">
        <v>40452</v>
      </c>
      <c r="BV10" s="29">
        <v>40483</v>
      </c>
      <c r="BW10" s="29">
        <v>40513</v>
      </c>
      <c r="BX10" s="29">
        <v>40544</v>
      </c>
      <c r="BY10" s="29">
        <v>40575</v>
      </c>
      <c r="BZ10" s="29">
        <v>40603</v>
      </c>
      <c r="CA10" s="29">
        <v>40634</v>
      </c>
      <c r="CB10" s="29">
        <v>40664</v>
      </c>
      <c r="CC10" s="29">
        <v>40695</v>
      </c>
      <c r="CD10" s="29">
        <v>40725</v>
      </c>
      <c r="CE10" s="29">
        <v>40756</v>
      </c>
      <c r="CF10" s="29">
        <v>40787</v>
      </c>
      <c r="CG10" s="29">
        <v>40817</v>
      </c>
      <c r="CH10" s="29">
        <v>40848</v>
      </c>
      <c r="CI10" s="29">
        <v>40878</v>
      </c>
      <c r="CJ10" s="29">
        <v>40909</v>
      </c>
      <c r="CK10" s="29">
        <v>40940</v>
      </c>
      <c r="CL10" s="29">
        <v>40969</v>
      </c>
      <c r="CM10" s="29">
        <v>41000</v>
      </c>
      <c r="CN10" s="29">
        <v>41030</v>
      </c>
      <c r="CO10" s="29">
        <v>41061</v>
      </c>
      <c r="CP10" s="29">
        <v>41091</v>
      </c>
      <c r="CQ10" s="29">
        <v>41122</v>
      </c>
      <c r="CR10" s="29">
        <v>41153</v>
      </c>
      <c r="CS10" s="29">
        <v>41183</v>
      </c>
      <c r="CT10" s="29">
        <v>41214</v>
      </c>
      <c r="CU10" s="29">
        <v>41244</v>
      </c>
      <c r="CV10" s="29">
        <v>41275</v>
      </c>
      <c r="CW10" s="29">
        <v>41306</v>
      </c>
      <c r="CX10" s="29">
        <v>41334</v>
      </c>
      <c r="CY10" s="29">
        <v>41365</v>
      </c>
      <c r="CZ10" s="29">
        <v>41395</v>
      </c>
      <c r="DA10" s="29">
        <v>41426</v>
      </c>
      <c r="DB10" s="29">
        <v>41456</v>
      </c>
      <c r="DC10" s="29">
        <v>41487</v>
      </c>
      <c r="DD10" s="29">
        <v>41518</v>
      </c>
      <c r="DE10" s="29">
        <v>41548</v>
      </c>
      <c r="DF10" s="29">
        <v>41579</v>
      </c>
      <c r="DG10" s="29">
        <v>41609</v>
      </c>
      <c r="DH10" s="29">
        <v>41640</v>
      </c>
      <c r="DI10" s="29">
        <v>41671</v>
      </c>
      <c r="DJ10" s="29">
        <v>41699</v>
      </c>
      <c r="DK10" s="29">
        <v>41730</v>
      </c>
      <c r="DL10" s="29">
        <v>41760</v>
      </c>
      <c r="DM10" s="29">
        <v>41791</v>
      </c>
      <c r="DN10" s="29">
        <v>41821</v>
      </c>
      <c r="DO10" s="29">
        <v>41852</v>
      </c>
      <c r="DP10" s="29">
        <v>41883</v>
      </c>
      <c r="DQ10" s="29">
        <v>41913</v>
      </c>
      <c r="DR10" s="29">
        <v>41944</v>
      </c>
      <c r="DS10" s="29">
        <v>41974</v>
      </c>
      <c r="DT10" s="29">
        <v>42005</v>
      </c>
      <c r="DU10" s="29">
        <v>42036</v>
      </c>
      <c r="DV10" s="29">
        <v>42064</v>
      </c>
      <c r="DW10" s="29">
        <v>42095</v>
      </c>
      <c r="DX10" s="29">
        <v>42125</v>
      </c>
      <c r="DY10" s="29">
        <v>42156</v>
      </c>
      <c r="DZ10" s="29">
        <v>42186</v>
      </c>
      <c r="EA10" s="29">
        <v>42217</v>
      </c>
      <c r="EB10" s="29">
        <v>42248</v>
      </c>
      <c r="EC10" s="29">
        <v>42278</v>
      </c>
      <c r="ED10" s="29">
        <v>42309</v>
      </c>
      <c r="EE10" s="29">
        <v>42339</v>
      </c>
      <c r="EF10" s="29">
        <v>42370</v>
      </c>
      <c r="EG10" s="29">
        <v>42401</v>
      </c>
      <c r="EH10" s="29">
        <v>42430</v>
      </c>
      <c r="EI10" s="29">
        <v>42461</v>
      </c>
      <c r="EJ10" s="29">
        <v>42491</v>
      </c>
      <c r="EK10" s="29">
        <v>42522</v>
      </c>
      <c r="EL10" s="29">
        <v>42552</v>
      </c>
      <c r="EM10" s="29">
        <v>42583</v>
      </c>
      <c r="EN10" s="29">
        <v>42614</v>
      </c>
      <c r="EO10" s="29">
        <v>42644</v>
      </c>
      <c r="EP10" s="29">
        <v>42675</v>
      </c>
      <c r="EQ10" s="29">
        <v>42705</v>
      </c>
      <c r="ER10" s="29">
        <v>42736</v>
      </c>
      <c r="ES10" s="29">
        <v>42767</v>
      </c>
      <c r="ET10" s="29">
        <v>42795</v>
      </c>
      <c r="EU10" s="29">
        <v>42826</v>
      </c>
      <c r="EV10" s="29">
        <v>42856</v>
      </c>
      <c r="EW10" s="29">
        <v>42887</v>
      </c>
      <c r="EX10" s="29">
        <v>42917</v>
      </c>
      <c r="EY10" s="29">
        <v>42948</v>
      </c>
      <c r="EZ10" s="29">
        <v>42979</v>
      </c>
      <c r="FA10" s="29">
        <v>43009</v>
      </c>
      <c r="FB10" s="29">
        <v>43040</v>
      </c>
      <c r="FC10" s="29">
        <v>43070</v>
      </c>
      <c r="FD10" s="29">
        <v>43101</v>
      </c>
      <c r="FE10" s="29">
        <v>43132</v>
      </c>
      <c r="FF10" s="29">
        <v>43160</v>
      </c>
      <c r="FG10" s="29">
        <v>43191</v>
      </c>
      <c r="FH10" s="29">
        <v>43221</v>
      </c>
      <c r="FI10" s="29">
        <v>43252</v>
      </c>
      <c r="FJ10" s="29">
        <v>43282</v>
      </c>
      <c r="FK10" s="29">
        <v>43313</v>
      </c>
      <c r="FL10" s="29">
        <v>43344</v>
      </c>
      <c r="FM10" s="29">
        <v>43374</v>
      </c>
      <c r="FN10" s="29">
        <v>43405</v>
      </c>
      <c r="FO10" s="29">
        <v>43435</v>
      </c>
      <c r="FP10" s="29">
        <v>43466</v>
      </c>
      <c r="FQ10" s="29">
        <v>43497</v>
      </c>
      <c r="FR10" s="29">
        <v>43525</v>
      </c>
      <c r="FS10" s="29">
        <v>43556</v>
      </c>
      <c r="FT10" s="29">
        <v>43586</v>
      </c>
      <c r="FU10" s="29">
        <v>43617</v>
      </c>
      <c r="FV10" s="29">
        <v>43647</v>
      </c>
      <c r="FW10" s="29">
        <v>43678</v>
      </c>
      <c r="FX10" s="29">
        <v>43709</v>
      </c>
      <c r="FY10" s="29">
        <v>43739</v>
      </c>
      <c r="FZ10" s="29">
        <v>43770</v>
      </c>
      <c r="GA10" s="29">
        <v>43800</v>
      </c>
      <c r="GB10" s="29">
        <v>43831</v>
      </c>
      <c r="GC10" s="29">
        <v>43862</v>
      </c>
      <c r="GD10" s="29">
        <v>43891</v>
      </c>
      <c r="GE10" s="29">
        <v>43922</v>
      </c>
      <c r="GF10" s="29">
        <v>43952</v>
      </c>
      <c r="GG10" s="29">
        <v>43983</v>
      </c>
      <c r="GH10" s="29">
        <v>44013</v>
      </c>
      <c r="GI10" s="29">
        <v>44044</v>
      </c>
      <c r="GJ10" s="29">
        <v>44075</v>
      </c>
      <c r="GK10" s="29">
        <v>44105</v>
      </c>
      <c r="GL10" s="29">
        <v>44136</v>
      </c>
      <c r="GM10" s="29">
        <v>44166</v>
      </c>
      <c r="GN10" s="29">
        <v>44197</v>
      </c>
      <c r="GO10" s="29">
        <v>44228</v>
      </c>
    </row>
    <row r="11" spans="1:260">
      <c r="A11" t="s">
        <v>82</v>
      </c>
    </row>
    <row r="12" spans="1:260">
      <c r="A12" t="s">
        <v>81</v>
      </c>
    </row>
    <row r="13" spans="1:260">
      <c r="A13" t="s">
        <v>80</v>
      </c>
    </row>
    <row r="17" spans="1:1">
      <c r="A17">
        <f>1.85/2.75</f>
        <v>0.67272727272727273</v>
      </c>
    </row>
  </sheetData>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2"/>
  <sheetViews>
    <sheetView topLeftCell="A40" zoomScale="140" zoomScaleNormal="140" zoomScalePageLayoutView="140" workbookViewId="0">
      <selection activeCell="C59" sqref="C59"/>
    </sheetView>
  </sheetViews>
  <sheetFormatPr defaultColWidth="8.85546875" defaultRowHeight="15"/>
  <cols>
    <col min="1" max="1" width="2.85546875" customWidth="1"/>
    <col min="2" max="2" width="41.7109375" style="9" bestFit="1" customWidth="1"/>
    <col min="3" max="3" width="12.85546875" bestFit="1" customWidth="1"/>
    <col min="4" max="5" width="11.42578125" bestFit="1" customWidth="1"/>
    <col min="6" max="12" width="10.28515625" bestFit="1" customWidth="1"/>
  </cols>
  <sheetData>
    <row r="1" spans="1:13" ht="15.75">
      <c r="A1" s="35" t="s">
        <v>262</v>
      </c>
    </row>
    <row r="3" spans="1:13" ht="15.75" thickBot="1"/>
    <row r="4" spans="1:13">
      <c r="B4" s="227" t="s">
        <v>97</v>
      </c>
      <c r="C4" s="228">
        <v>2018</v>
      </c>
      <c r="D4" s="228">
        <v>2019</v>
      </c>
      <c r="E4" s="228">
        <v>2020</v>
      </c>
      <c r="F4" s="228">
        <v>2021</v>
      </c>
      <c r="G4" s="228">
        <v>2022</v>
      </c>
      <c r="H4" s="228">
        <v>2023</v>
      </c>
      <c r="I4" s="228">
        <v>2024</v>
      </c>
      <c r="J4" s="228">
        <v>2025</v>
      </c>
      <c r="K4" s="229">
        <v>2026</v>
      </c>
      <c r="L4" s="229">
        <v>2027</v>
      </c>
      <c r="M4" s="229">
        <v>2028</v>
      </c>
    </row>
    <row r="5" spans="1:13">
      <c r="B5" s="97" t="s">
        <v>243</v>
      </c>
      <c r="C5" s="173">
        <f>(5000000/12)</f>
        <v>416666.66666666669</v>
      </c>
      <c r="D5" s="180">
        <f>C5*IF($C$62=1,2,1)</f>
        <v>833333.33333333337</v>
      </c>
      <c r="E5" s="180">
        <f t="shared" ref="E5:K5" si="0">D5</f>
        <v>833333.33333333337</v>
      </c>
      <c r="F5" s="180">
        <f t="shared" si="0"/>
        <v>833333.33333333337</v>
      </c>
      <c r="G5" s="180">
        <f t="shared" si="0"/>
        <v>833333.33333333337</v>
      </c>
      <c r="H5" s="180">
        <f t="shared" si="0"/>
        <v>833333.33333333337</v>
      </c>
      <c r="I5" s="180">
        <f t="shared" si="0"/>
        <v>833333.33333333337</v>
      </c>
      <c r="J5" s="180">
        <f t="shared" si="0"/>
        <v>833333.33333333337</v>
      </c>
      <c r="K5" s="180">
        <f t="shared" si="0"/>
        <v>833333.33333333337</v>
      </c>
      <c r="L5" s="180">
        <f t="shared" ref="L5" si="1">K5</f>
        <v>833333.33333333337</v>
      </c>
      <c r="M5" s="180">
        <f t="shared" ref="M5" si="2">L5</f>
        <v>833333.33333333337</v>
      </c>
    </row>
    <row r="6" spans="1:13" ht="15.75" thickBot="1">
      <c r="B6" s="98" t="s">
        <v>244</v>
      </c>
      <c r="C6" s="175">
        <v>0.35</v>
      </c>
      <c r="D6" s="175">
        <f t="shared" ref="D6:K6" si="3">C6*(1+$C$56)</f>
        <v>0.35699999999999998</v>
      </c>
      <c r="E6" s="175">
        <f t="shared" si="3"/>
        <v>0.36413999999999996</v>
      </c>
      <c r="F6" s="175">
        <f t="shared" si="3"/>
        <v>0.37142279999999994</v>
      </c>
      <c r="G6" s="175">
        <f t="shared" si="3"/>
        <v>0.37885125599999997</v>
      </c>
      <c r="H6" s="175">
        <f t="shared" si="3"/>
        <v>0.38642828111999999</v>
      </c>
      <c r="I6" s="175">
        <f t="shared" si="3"/>
        <v>0.39415684674239998</v>
      </c>
      <c r="J6" s="175">
        <f t="shared" si="3"/>
        <v>0.40203998367724797</v>
      </c>
      <c r="K6" s="175">
        <f t="shared" si="3"/>
        <v>0.41008078335079295</v>
      </c>
      <c r="L6" s="175">
        <f t="shared" ref="L6" si="4">K6*(1+$C$56)</f>
        <v>0.41828239901780884</v>
      </c>
      <c r="M6" s="175">
        <f t="shared" ref="M6" si="5">L6*(1+$C$56)</f>
        <v>0.426648046998165</v>
      </c>
    </row>
    <row r="7" spans="1:13" ht="15.75" thickBot="1"/>
    <row r="8" spans="1:13" ht="25.5">
      <c r="B8" s="230" t="s">
        <v>179</v>
      </c>
      <c r="C8" s="228">
        <v>2018</v>
      </c>
      <c r="D8" s="228">
        <v>2019</v>
      </c>
      <c r="E8" s="228">
        <v>2020</v>
      </c>
      <c r="F8" s="228">
        <v>2021</v>
      </c>
      <c r="G8" s="228">
        <v>2022</v>
      </c>
      <c r="H8" s="228">
        <v>2023</v>
      </c>
      <c r="I8" s="228">
        <v>2024</v>
      </c>
      <c r="J8" s="228">
        <v>2025</v>
      </c>
      <c r="K8" s="229">
        <v>2026</v>
      </c>
      <c r="L8" s="229">
        <v>2027</v>
      </c>
      <c r="M8" s="229">
        <v>2028</v>
      </c>
    </row>
    <row r="9" spans="1:13">
      <c r="B9" s="97" t="s">
        <v>240</v>
      </c>
      <c r="C9" s="173">
        <f t="shared" ref="C9:K9" si="6">C5*$C$59</f>
        <v>312500</v>
      </c>
      <c r="D9" s="173">
        <f t="shared" si="6"/>
        <v>625000</v>
      </c>
      <c r="E9" s="173">
        <f t="shared" si="6"/>
        <v>625000</v>
      </c>
      <c r="F9" s="173">
        <f t="shared" si="6"/>
        <v>625000</v>
      </c>
      <c r="G9" s="173">
        <f t="shared" si="6"/>
        <v>625000</v>
      </c>
      <c r="H9" s="173">
        <f t="shared" si="6"/>
        <v>625000</v>
      </c>
      <c r="I9" s="173">
        <f t="shared" si="6"/>
        <v>625000</v>
      </c>
      <c r="J9" s="173">
        <f t="shared" si="6"/>
        <v>625000</v>
      </c>
      <c r="K9" s="173">
        <f t="shared" si="6"/>
        <v>625000</v>
      </c>
      <c r="L9" s="173">
        <f t="shared" ref="L9:M9" si="7">L5*$C$59</f>
        <v>625000</v>
      </c>
      <c r="M9" s="173">
        <f t="shared" si="7"/>
        <v>625000</v>
      </c>
    </row>
    <row r="10" spans="1:13">
      <c r="B10" s="97" t="s">
        <v>265</v>
      </c>
      <c r="C10" s="173"/>
      <c r="D10" s="173"/>
      <c r="E10" s="173"/>
      <c r="F10" s="173"/>
      <c r="G10" s="173"/>
      <c r="H10" s="173"/>
      <c r="I10" s="173"/>
      <c r="J10" s="173"/>
      <c r="K10" s="319"/>
      <c r="L10" s="319"/>
      <c r="M10" s="319"/>
    </row>
    <row r="11" spans="1:13">
      <c r="B11" s="97" t="s">
        <v>241</v>
      </c>
      <c r="C11" s="173">
        <f t="shared" ref="C11:K11" si="8">C5*0.1</f>
        <v>41666.666666666672</v>
      </c>
      <c r="D11" s="173">
        <f t="shared" si="8"/>
        <v>83333.333333333343</v>
      </c>
      <c r="E11" s="173">
        <f t="shared" si="8"/>
        <v>83333.333333333343</v>
      </c>
      <c r="F11" s="173">
        <f t="shared" si="8"/>
        <v>83333.333333333343</v>
      </c>
      <c r="G11" s="173">
        <f t="shared" si="8"/>
        <v>83333.333333333343</v>
      </c>
      <c r="H11" s="173">
        <f t="shared" si="8"/>
        <v>83333.333333333343</v>
      </c>
      <c r="I11" s="173">
        <f t="shared" si="8"/>
        <v>83333.333333333343</v>
      </c>
      <c r="J11" s="173">
        <f t="shared" si="8"/>
        <v>83333.333333333343</v>
      </c>
      <c r="K11" s="174">
        <f t="shared" si="8"/>
        <v>83333.333333333343</v>
      </c>
      <c r="L11" s="174">
        <f t="shared" ref="L11:M11" si="9">L5*0.1</f>
        <v>83333.333333333343</v>
      </c>
      <c r="M11" s="174">
        <f t="shared" si="9"/>
        <v>83333.333333333343</v>
      </c>
    </row>
    <row r="12" spans="1:13">
      <c r="B12" s="97" t="s">
        <v>242</v>
      </c>
      <c r="C12" s="173">
        <f>C5*3.785*0.05</f>
        <v>78854.166666666686</v>
      </c>
      <c r="D12" s="173">
        <f t="shared" ref="D12:K12" si="10">D5*3.785*0.05</f>
        <v>157708.33333333337</v>
      </c>
      <c r="E12" s="173">
        <f t="shared" si="10"/>
        <v>157708.33333333337</v>
      </c>
      <c r="F12" s="173">
        <f t="shared" si="10"/>
        <v>157708.33333333337</v>
      </c>
      <c r="G12" s="173">
        <f t="shared" si="10"/>
        <v>157708.33333333337</v>
      </c>
      <c r="H12" s="173">
        <f t="shared" si="10"/>
        <v>157708.33333333337</v>
      </c>
      <c r="I12" s="173">
        <f t="shared" si="10"/>
        <v>157708.33333333337</v>
      </c>
      <c r="J12" s="173">
        <f t="shared" si="10"/>
        <v>157708.33333333337</v>
      </c>
      <c r="K12" s="173">
        <f t="shared" si="10"/>
        <v>157708.33333333337</v>
      </c>
      <c r="L12" s="173">
        <f t="shared" ref="L12:M12" si="11">L5*3.785*0.05</f>
        <v>157708.33333333337</v>
      </c>
      <c r="M12" s="173">
        <f t="shared" si="11"/>
        <v>157708.33333333337</v>
      </c>
    </row>
    <row r="13" spans="1:13" ht="26.25">
      <c r="B13" s="97" t="s">
        <v>84</v>
      </c>
      <c r="C13" s="176">
        <v>0.96</v>
      </c>
      <c r="D13" s="176">
        <v>0.95</v>
      </c>
      <c r="E13" s="330">
        <v>0.93500000000000005</v>
      </c>
      <c r="F13" s="176">
        <v>0.92</v>
      </c>
      <c r="G13" s="176">
        <v>0.9</v>
      </c>
      <c r="H13" s="176">
        <v>0.88</v>
      </c>
      <c r="I13" s="176">
        <v>0.86</v>
      </c>
      <c r="J13" s="176">
        <v>0.84</v>
      </c>
      <c r="K13" s="176">
        <v>0.82</v>
      </c>
      <c r="L13" s="176">
        <v>0.82</v>
      </c>
      <c r="M13" s="176">
        <v>0.82</v>
      </c>
    </row>
    <row r="14" spans="1:13">
      <c r="B14" s="97" t="s">
        <v>258</v>
      </c>
      <c r="C14" s="177">
        <f>C13*C9</f>
        <v>300000</v>
      </c>
      <c r="D14" s="177">
        <f t="shared" ref="D14:K14" si="12">D9*D13</f>
        <v>593750</v>
      </c>
      <c r="E14" s="177">
        <f t="shared" si="12"/>
        <v>584375</v>
      </c>
      <c r="F14" s="177">
        <f t="shared" si="12"/>
        <v>575000</v>
      </c>
      <c r="G14" s="177">
        <f t="shared" si="12"/>
        <v>562500</v>
      </c>
      <c r="H14" s="177">
        <f t="shared" si="12"/>
        <v>550000</v>
      </c>
      <c r="I14" s="177">
        <f t="shared" si="12"/>
        <v>537500</v>
      </c>
      <c r="J14" s="177">
        <f t="shared" si="12"/>
        <v>525000</v>
      </c>
      <c r="K14" s="177">
        <f t="shared" si="12"/>
        <v>512499.99999999994</v>
      </c>
      <c r="L14" s="177">
        <f t="shared" ref="L14:M14" si="13">L9*L13</f>
        <v>512499.99999999994</v>
      </c>
      <c r="M14" s="177">
        <f t="shared" si="13"/>
        <v>512499.99999999994</v>
      </c>
    </row>
    <row r="15" spans="1:13">
      <c r="B15" s="97" t="s">
        <v>270</v>
      </c>
      <c r="C15" s="177"/>
      <c r="D15" s="177"/>
      <c r="E15" s="177"/>
      <c r="F15" s="177"/>
      <c r="G15" s="177"/>
      <c r="H15" s="177"/>
      <c r="I15" s="177"/>
      <c r="J15" s="177"/>
      <c r="K15" s="177"/>
      <c r="L15" s="177"/>
      <c r="M15" s="177"/>
    </row>
    <row r="16" spans="1:13">
      <c r="B16" s="97"/>
      <c r="C16" s="177"/>
      <c r="D16" s="177"/>
      <c r="E16" s="177"/>
      <c r="F16" s="177"/>
      <c r="G16" s="177"/>
      <c r="H16" s="177"/>
      <c r="I16" s="177"/>
      <c r="J16" s="177"/>
      <c r="K16" s="177"/>
      <c r="L16" s="177"/>
      <c r="M16" s="177"/>
    </row>
    <row r="17" spans="2:13">
      <c r="B17" s="97" t="s">
        <v>288</v>
      </c>
      <c r="C17" s="325">
        <f t="shared" ref="C17:K17" si="14">C18/(C18+C14+C12+C11)</f>
        <v>2.8866971373586743E-2</v>
      </c>
      <c r="D17" s="325">
        <f t="shared" si="14"/>
        <v>3.6083714216983434E-2</v>
      </c>
      <c r="E17" s="325">
        <f t="shared" si="14"/>
        <v>4.6908828482078377E-2</v>
      </c>
      <c r="F17" s="325">
        <f t="shared" si="14"/>
        <v>5.773394274717341E-2</v>
      </c>
      <c r="G17" s="325">
        <f t="shared" si="14"/>
        <v>7.2167428433966785E-2</v>
      </c>
      <c r="H17" s="325">
        <f t="shared" si="14"/>
        <v>8.6600914120760153E-2</v>
      </c>
      <c r="I17" s="325">
        <f t="shared" si="14"/>
        <v>0.10103439980755353</v>
      </c>
      <c r="J17" s="325">
        <f t="shared" si="14"/>
        <v>0.11546788549434689</v>
      </c>
      <c r="K17" s="325">
        <f t="shared" si="14"/>
        <v>0.12990137118114026</v>
      </c>
      <c r="L17" s="325">
        <f t="shared" ref="L17:M17" si="15">L18/(L18+L14+L12+L11)</f>
        <v>0.12990137118114026</v>
      </c>
      <c r="M17" s="325">
        <f t="shared" si="15"/>
        <v>0.12990137118114026</v>
      </c>
    </row>
    <row r="18" spans="2:13">
      <c r="B18" s="105" t="s">
        <v>245</v>
      </c>
      <c r="C18" s="177">
        <f>C9*(1-C13)</f>
        <v>12500.000000000011</v>
      </c>
      <c r="D18" s="177">
        <f t="shared" ref="D18:K18" si="16">D9*(1-D13)</f>
        <v>31250.000000000029</v>
      </c>
      <c r="E18" s="177">
        <f t="shared" si="16"/>
        <v>40624.999999999964</v>
      </c>
      <c r="F18" s="177">
        <f t="shared" si="16"/>
        <v>49999.999999999978</v>
      </c>
      <c r="G18" s="177">
        <f t="shared" si="16"/>
        <v>62499.999999999985</v>
      </c>
      <c r="H18" s="177">
        <f t="shared" si="16"/>
        <v>75000</v>
      </c>
      <c r="I18" s="177">
        <f t="shared" si="16"/>
        <v>87500.000000000015</v>
      </c>
      <c r="J18" s="177">
        <f t="shared" si="16"/>
        <v>100000.00000000001</v>
      </c>
      <c r="K18" s="177">
        <f t="shared" si="16"/>
        <v>112500.00000000003</v>
      </c>
      <c r="L18" s="177">
        <f t="shared" ref="L18:M18" si="17">L9*(1-L13)</f>
        <v>112500.00000000003</v>
      </c>
      <c r="M18" s="177">
        <f t="shared" si="17"/>
        <v>112500.00000000003</v>
      </c>
    </row>
    <row r="19" spans="2:13">
      <c r="B19" s="105" t="s">
        <v>247</v>
      </c>
      <c r="C19" s="177">
        <f t="shared" ref="C19:K19" si="18">C18/55</f>
        <v>227.27272727272748</v>
      </c>
      <c r="D19" s="177">
        <f t="shared" si="18"/>
        <v>568.1818181818187</v>
      </c>
      <c r="E19" s="177">
        <f t="shared" si="18"/>
        <v>738.63636363636294</v>
      </c>
      <c r="F19" s="177">
        <f t="shared" si="18"/>
        <v>909.09090909090867</v>
      </c>
      <c r="G19" s="177">
        <f t="shared" si="18"/>
        <v>1136.363636363636</v>
      </c>
      <c r="H19" s="177">
        <f t="shared" si="18"/>
        <v>1363.6363636363637</v>
      </c>
      <c r="I19" s="177">
        <f t="shared" si="18"/>
        <v>1590.9090909090912</v>
      </c>
      <c r="J19" s="177">
        <f t="shared" si="18"/>
        <v>1818.1818181818185</v>
      </c>
      <c r="K19" s="177">
        <f t="shared" si="18"/>
        <v>2045.454545454546</v>
      </c>
      <c r="L19" s="177">
        <f t="shared" ref="L19:M19" si="19">L18/55</f>
        <v>2045.454545454546</v>
      </c>
      <c r="M19" s="177">
        <f t="shared" si="19"/>
        <v>2045.454545454546</v>
      </c>
    </row>
    <row r="20" spans="2:13">
      <c r="B20" s="105"/>
      <c r="C20" s="297"/>
      <c r="D20" s="297"/>
      <c r="E20" s="297"/>
      <c r="F20" s="297"/>
      <c r="G20" s="297"/>
      <c r="H20" s="297"/>
      <c r="I20" s="297"/>
      <c r="J20" s="297"/>
      <c r="K20" s="298"/>
      <c r="L20" s="298"/>
      <c r="M20" s="298"/>
    </row>
    <row r="21" spans="2:13">
      <c r="B21" s="96" t="s">
        <v>70</v>
      </c>
      <c r="C21" s="106"/>
      <c r="D21" s="106"/>
      <c r="E21" s="106"/>
      <c r="F21" s="106"/>
      <c r="G21" s="106"/>
      <c r="H21" s="106"/>
      <c r="I21" s="106"/>
      <c r="J21" s="106"/>
      <c r="K21" s="107"/>
      <c r="L21" s="107"/>
      <c r="M21" s="107"/>
    </row>
    <row r="22" spans="2:13">
      <c r="B22" s="97" t="s">
        <v>71</v>
      </c>
      <c r="C22" s="178">
        <v>0.05</v>
      </c>
      <c r="D22" s="178">
        <v>7.0000000000000007E-2</v>
      </c>
      <c r="E22" s="178">
        <v>0.09</v>
      </c>
      <c r="F22" s="178">
        <v>0.11</v>
      </c>
      <c r="G22" s="178">
        <v>0.13</v>
      </c>
      <c r="H22" s="178">
        <v>0.15</v>
      </c>
      <c r="I22" s="178">
        <v>0.17</v>
      </c>
      <c r="J22" s="178">
        <v>0.19</v>
      </c>
      <c r="K22" s="178">
        <v>0.25</v>
      </c>
      <c r="L22" s="178">
        <v>0.25</v>
      </c>
      <c r="M22" s="178">
        <v>0.25</v>
      </c>
    </row>
    <row r="23" spans="2:13">
      <c r="B23" s="97" t="s">
        <v>72</v>
      </c>
      <c r="C23" s="178">
        <v>0.05</v>
      </c>
      <c r="D23" s="178">
        <v>7.0000000000000007E-2</v>
      </c>
      <c r="E23" s="178">
        <v>0.09</v>
      </c>
      <c r="F23" s="178">
        <v>0.11</v>
      </c>
      <c r="G23" s="178">
        <v>0.13</v>
      </c>
      <c r="H23" s="178">
        <v>0.15</v>
      </c>
      <c r="I23" s="178">
        <v>0.17</v>
      </c>
      <c r="J23" s="178">
        <v>0.19</v>
      </c>
      <c r="K23" s="178">
        <v>0.25</v>
      </c>
      <c r="L23" s="178">
        <v>0.25</v>
      </c>
      <c r="M23" s="178">
        <v>0.25</v>
      </c>
    </row>
    <row r="24" spans="2:13">
      <c r="B24" s="97" t="s">
        <v>73</v>
      </c>
      <c r="C24" s="178">
        <f>100%-C22-C23-C25</f>
        <v>0.64999999999999991</v>
      </c>
      <c r="D24" s="178">
        <f t="shared" ref="D24:J24" si="20">100%-D22-D23-D25</f>
        <v>0.58999999999999986</v>
      </c>
      <c r="E24" s="178">
        <f t="shared" si="20"/>
        <v>0.52</v>
      </c>
      <c r="F24" s="178">
        <f t="shared" si="20"/>
        <v>0.45666666666666705</v>
      </c>
      <c r="G24" s="178">
        <f t="shared" si="20"/>
        <v>0.41</v>
      </c>
      <c r="H24" s="178">
        <f t="shared" si="20"/>
        <v>0.36999999999999994</v>
      </c>
      <c r="I24" s="178">
        <f t="shared" si="20"/>
        <v>0.3299999999999999</v>
      </c>
      <c r="J24" s="178">
        <f t="shared" si="20"/>
        <v>0.29000000000000009</v>
      </c>
      <c r="K24" s="178">
        <v>0.25</v>
      </c>
      <c r="L24" s="178">
        <v>0.25</v>
      </c>
      <c r="M24" s="178">
        <v>0.25</v>
      </c>
    </row>
    <row r="25" spans="2:13">
      <c r="B25" s="97" t="s">
        <v>74</v>
      </c>
      <c r="C25" s="178">
        <v>0.25</v>
      </c>
      <c r="D25" s="178">
        <v>0.27</v>
      </c>
      <c r="E25" s="178">
        <v>0.3</v>
      </c>
      <c r="F25" s="178">
        <v>0.32333333333333297</v>
      </c>
      <c r="G25" s="178">
        <v>0.33</v>
      </c>
      <c r="H25" s="178">
        <v>0.33</v>
      </c>
      <c r="I25" s="178">
        <v>0.33</v>
      </c>
      <c r="J25" s="178">
        <v>0.33</v>
      </c>
      <c r="K25" s="178">
        <v>0.25</v>
      </c>
      <c r="L25" s="178">
        <v>0.25</v>
      </c>
      <c r="M25" s="178">
        <v>0.25</v>
      </c>
    </row>
    <row r="26" spans="2:13">
      <c r="B26" s="97" t="s">
        <v>113</v>
      </c>
      <c r="C26" s="179">
        <f t="shared" ref="C26:K26" si="21">SUM(C22:C25)</f>
        <v>0.99999999999999989</v>
      </c>
      <c r="D26" s="179">
        <f t="shared" si="21"/>
        <v>0.99999999999999989</v>
      </c>
      <c r="E26" s="179">
        <f t="shared" si="21"/>
        <v>1</v>
      </c>
      <c r="F26" s="179">
        <f t="shared" si="21"/>
        <v>1</v>
      </c>
      <c r="G26" s="179">
        <f t="shared" si="21"/>
        <v>1</v>
      </c>
      <c r="H26" s="179">
        <f t="shared" si="21"/>
        <v>1</v>
      </c>
      <c r="I26" s="179">
        <f t="shared" si="21"/>
        <v>1</v>
      </c>
      <c r="J26" s="179">
        <f t="shared" si="21"/>
        <v>1.0000000000000002</v>
      </c>
      <c r="K26" s="266">
        <f t="shared" si="21"/>
        <v>1</v>
      </c>
      <c r="L26" s="266">
        <f t="shared" ref="L26:M26" si="22">SUM(L22:L25)</f>
        <v>1</v>
      </c>
      <c r="M26" s="266">
        <f t="shared" si="22"/>
        <v>1</v>
      </c>
    </row>
    <row r="27" spans="2:13">
      <c r="B27" s="97"/>
      <c r="C27" s="104"/>
      <c r="D27" s="104"/>
      <c r="E27" s="104"/>
      <c r="F27" s="104"/>
      <c r="G27" s="104"/>
      <c r="H27" s="104"/>
      <c r="I27" s="104"/>
      <c r="J27" s="104"/>
      <c r="K27" s="267"/>
      <c r="L27" s="267"/>
      <c r="M27" s="267"/>
    </row>
    <row r="28" spans="2:13">
      <c r="B28" s="97"/>
      <c r="C28" s="102"/>
      <c r="D28" s="102"/>
      <c r="E28" s="102"/>
      <c r="F28" s="102"/>
      <c r="G28" s="102"/>
      <c r="H28" s="102"/>
      <c r="I28" s="102"/>
      <c r="J28" s="102"/>
      <c r="K28" s="103"/>
      <c r="L28" s="103"/>
      <c r="M28" s="103"/>
    </row>
    <row r="29" spans="2:13" ht="15.75" thickBot="1"/>
    <row r="30" spans="2:13">
      <c r="B30" s="227" t="s">
        <v>92</v>
      </c>
      <c r="C30" s="228">
        <v>2018</v>
      </c>
      <c r="D30" s="228">
        <v>2019</v>
      </c>
      <c r="E30" s="228">
        <v>2020</v>
      </c>
      <c r="F30" s="228">
        <v>2021</v>
      </c>
      <c r="G30" s="228">
        <v>2022</v>
      </c>
      <c r="H30" s="228">
        <v>2023</v>
      </c>
      <c r="I30" s="228">
        <v>2024</v>
      </c>
      <c r="J30" s="228">
        <v>2025</v>
      </c>
      <c r="K30" s="229">
        <v>2026</v>
      </c>
      <c r="L30" s="229">
        <v>2027</v>
      </c>
      <c r="M30" s="229">
        <v>2028</v>
      </c>
    </row>
    <row r="31" spans="2:13">
      <c r="B31" s="97" t="s">
        <v>98</v>
      </c>
      <c r="C31" s="188">
        <f>' Crude Oil-Base Oil'!E38</f>
        <v>2.0491369047619048</v>
      </c>
      <c r="D31" s="188">
        <f>' Crude Oil-Base Oil'!F38</f>
        <v>2.0386011904761903</v>
      </c>
      <c r="E31" s="188">
        <f>' Crude Oil-Base Oil'!G38</f>
        <v>2.0408482142857141</v>
      </c>
      <c r="F31" s="188">
        <f>' Crude Oil-Base Oil'!H38</f>
        <v>2.0544047619047618</v>
      </c>
      <c r="G31" s="188">
        <f>' Crude Oil-Base Oil'!I38</f>
        <v>2.0744494047619049</v>
      </c>
      <c r="H31" s="188">
        <f>' Crude Oil-Base Oil'!J38</f>
        <v>2.099017857142857</v>
      </c>
      <c r="I31" s="188">
        <f>' Crude Oil-Base Oil'!K38</f>
        <v>2.1141071428571427</v>
      </c>
      <c r="J31" s="188">
        <f>' Crude Oil-Base Oil'!L38</f>
        <v>2.1236607142857142</v>
      </c>
      <c r="K31" s="188">
        <f>' Crude Oil-Base Oil'!M38</f>
        <v>2.1386406249999999</v>
      </c>
      <c r="L31" s="188">
        <f>' Crude Oil-Base Oil'!N38</f>
        <v>2.1538452343749999</v>
      </c>
      <c r="M31" s="188">
        <f>' Crude Oil-Base Oil'!O38</f>
        <v>2.1692779128906245</v>
      </c>
    </row>
    <row r="32" spans="2:13">
      <c r="B32" s="97" t="s">
        <v>269</v>
      </c>
      <c r="C32" s="181">
        <v>1</v>
      </c>
      <c r="D32" s="181"/>
      <c r="E32" s="181"/>
      <c r="F32" s="181"/>
      <c r="G32" s="181"/>
      <c r="H32" s="181"/>
      <c r="I32" s="181"/>
      <c r="J32" s="181"/>
      <c r="K32" s="181"/>
      <c r="L32" s="181"/>
      <c r="M32" s="181"/>
    </row>
    <row r="33" spans="1:13">
      <c r="B33" s="97" t="s">
        <v>260</v>
      </c>
      <c r="C33" s="181">
        <v>0.4</v>
      </c>
      <c r="D33" s="183">
        <f t="shared" ref="D33:K33" si="23">C33*(1+$C$56)</f>
        <v>0.40800000000000003</v>
      </c>
      <c r="E33" s="183">
        <f t="shared" si="23"/>
        <v>0.41616000000000003</v>
      </c>
      <c r="F33" s="183">
        <f t="shared" si="23"/>
        <v>0.42448320000000006</v>
      </c>
      <c r="G33" s="183">
        <f t="shared" si="23"/>
        <v>0.43297286400000007</v>
      </c>
      <c r="H33" s="183">
        <f t="shared" si="23"/>
        <v>0.44163232128000007</v>
      </c>
      <c r="I33" s="183">
        <f t="shared" si="23"/>
        <v>0.45046496770560007</v>
      </c>
      <c r="J33" s="183">
        <f t="shared" si="23"/>
        <v>0.45947426705971206</v>
      </c>
      <c r="K33" s="183">
        <f t="shared" si="23"/>
        <v>0.4686637524009063</v>
      </c>
      <c r="L33" s="183">
        <f t="shared" ref="L33:L34" si="24">K33*(1+$C$56)</f>
        <v>0.47803702744892446</v>
      </c>
      <c r="M33" s="183">
        <f t="shared" ref="M33:M34" si="25">L33*(1+$C$56)</f>
        <v>0.48759776799790294</v>
      </c>
    </row>
    <row r="34" spans="1:13" ht="15.75" thickBot="1">
      <c r="B34" s="97" t="s">
        <v>248</v>
      </c>
      <c r="C34" s="181">
        <v>0.66</v>
      </c>
      <c r="D34" s="183">
        <f t="shared" ref="D34:K34" si="26">C34*(1+$C$56)</f>
        <v>0.67320000000000002</v>
      </c>
      <c r="E34" s="183">
        <f t="shared" si="26"/>
        <v>0.68666400000000005</v>
      </c>
      <c r="F34" s="183">
        <f t="shared" si="26"/>
        <v>0.70039728000000001</v>
      </c>
      <c r="G34" s="183">
        <f t="shared" si="26"/>
        <v>0.71440522559999997</v>
      </c>
      <c r="H34" s="183">
        <f t="shared" si="26"/>
        <v>0.72869333011199999</v>
      </c>
      <c r="I34" s="183">
        <f t="shared" si="26"/>
        <v>0.74326719671424002</v>
      </c>
      <c r="J34" s="183">
        <f t="shared" si="26"/>
        <v>0.75813254064852487</v>
      </c>
      <c r="K34" s="183">
        <f t="shared" si="26"/>
        <v>0.77329519146149539</v>
      </c>
      <c r="L34" s="183">
        <f t="shared" si="24"/>
        <v>0.78876109529072536</v>
      </c>
      <c r="M34" s="183">
        <f t="shared" si="25"/>
        <v>0.80453631719653984</v>
      </c>
    </row>
    <row r="35" spans="1:13">
      <c r="B35" s="110" t="s">
        <v>246</v>
      </c>
      <c r="C35" s="185">
        <f t="shared" ref="C35:K35" si="27">C22*C36+C23*C37+C24*C38+C25*C39</f>
        <v>3.7749999999999995</v>
      </c>
      <c r="D35" s="185">
        <f>D22*D36+D23*D37+D24*D38+D25*D39</f>
        <v>3.8869499999999997</v>
      </c>
      <c r="E35" s="185">
        <f t="shared" si="27"/>
        <v>4.0079270000000005</v>
      </c>
      <c r="F35" s="185">
        <f t="shared" si="27"/>
        <v>4.1296170083333337</v>
      </c>
      <c r="G35" s="185">
        <f t="shared" si="27"/>
        <v>4.2468375580500002</v>
      </c>
      <c r="H35" s="185">
        <f t="shared" si="27"/>
        <v>4.3647094209864994</v>
      </c>
      <c r="I35" s="185">
        <f t="shared" si="27"/>
        <v>4.4867925571227252</v>
      </c>
      <c r="J35" s="185">
        <f t="shared" si="27"/>
        <v>4.6132160159383435</v>
      </c>
      <c r="K35" s="185">
        <f t="shared" si="27"/>
        <v>4.8485014313405825</v>
      </c>
      <c r="L35" s="185">
        <f t="shared" ref="L35:M35" si="28">L22*L36+L23*L37+L24*L38+L25*L39</f>
        <v>4.911632187916517</v>
      </c>
      <c r="M35" s="185">
        <f t="shared" si="28"/>
        <v>4.9756871669034606</v>
      </c>
    </row>
    <row r="36" spans="1:13">
      <c r="B36" s="97" t="s">
        <v>71</v>
      </c>
      <c r="C36" s="182">
        <v>5</v>
      </c>
      <c r="D36" s="183">
        <f>C36*1.02</f>
        <v>5.0999999999999996</v>
      </c>
      <c r="E36" s="183">
        <f t="shared" ref="E36:K36" si="29">D36*1.02</f>
        <v>5.202</v>
      </c>
      <c r="F36" s="183">
        <f t="shared" si="29"/>
        <v>5.3060400000000003</v>
      </c>
      <c r="G36" s="183">
        <f t="shared" si="29"/>
        <v>5.4121608000000005</v>
      </c>
      <c r="H36" s="183">
        <f t="shared" si="29"/>
        <v>5.5204040160000005</v>
      </c>
      <c r="I36" s="183">
        <f t="shared" si="29"/>
        <v>5.6308120963200006</v>
      </c>
      <c r="J36" s="183">
        <f t="shared" si="29"/>
        <v>5.7434283382464004</v>
      </c>
      <c r="K36" s="184">
        <f t="shared" si="29"/>
        <v>5.8582969050113283</v>
      </c>
      <c r="L36" s="184">
        <f t="shared" ref="L36" si="30">K36*1.02</f>
        <v>5.9754628431115551</v>
      </c>
      <c r="M36" s="184">
        <f t="shared" ref="M36" si="31">L36*1.02</f>
        <v>6.094972099973786</v>
      </c>
    </row>
    <row r="37" spans="1:13">
      <c r="B37" s="97" t="s">
        <v>72</v>
      </c>
      <c r="C37" s="182">
        <v>5</v>
      </c>
      <c r="D37" s="183">
        <f t="shared" ref="D37:D39" si="32">C37*1.01</f>
        <v>5.05</v>
      </c>
      <c r="E37" s="183">
        <f t="shared" ref="E37:E39" si="33">D37*1.01</f>
        <v>5.1005000000000003</v>
      </c>
      <c r="F37" s="183">
        <f t="shared" ref="F37:F39" si="34">E37*1.01</f>
        <v>5.1515050000000002</v>
      </c>
      <c r="G37" s="183">
        <f t="shared" ref="G37:G39" si="35">F37*1.01</f>
        <v>5.2030200500000001</v>
      </c>
      <c r="H37" s="183">
        <f t="shared" ref="H37:H39" si="36">G37*1.01</f>
        <v>5.2550502505000001</v>
      </c>
      <c r="I37" s="183">
        <f t="shared" ref="I37:I39" si="37">H37*1.01</f>
        <v>5.3076007530050004</v>
      </c>
      <c r="J37" s="183">
        <f t="shared" ref="J37:J39" si="38">I37*1.01</f>
        <v>5.3606767605350507</v>
      </c>
      <c r="K37" s="184">
        <f t="shared" ref="K37:K39" si="39">J37*1.01</f>
        <v>5.4142835281404009</v>
      </c>
      <c r="L37" s="184">
        <f t="shared" ref="L37:L39" si="40">K37*1.01</f>
        <v>5.4684263634218047</v>
      </c>
      <c r="M37" s="184">
        <f t="shared" ref="M37:M39" si="41">L37*1.01</f>
        <v>5.5231106270560231</v>
      </c>
    </row>
    <row r="38" spans="1:13">
      <c r="B38" s="97" t="s">
        <v>73</v>
      </c>
      <c r="C38" s="182">
        <v>3.5</v>
      </c>
      <c r="D38" s="183">
        <f t="shared" si="32"/>
        <v>3.5350000000000001</v>
      </c>
      <c r="E38" s="183">
        <f t="shared" si="33"/>
        <v>3.5703500000000004</v>
      </c>
      <c r="F38" s="183">
        <f t="shared" si="34"/>
        <v>3.6060535000000002</v>
      </c>
      <c r="G38" s="183">
        <f t="shared" si="35"/>
        <v>3.6421140350000001</v>
      </c>
      <c r="H38" s="183">
        <f t="shared" si="36"/>
        <v>3.67853517535</v>
      </c>
      <c r="I38" s="183">
        <f t="shared" si="37"/>
        <v>3.7153205271035001</v>
      </c>
      <c r="J38" s="183">
        <f t="shared" si="38"/>
        <v>3.752473732374535</v>
      </c>
      <c r="K38" s="184">
        <f t="shared" si="39"/>
        <v>3.7899984696982805</v>
      </c>
      <c r="L38" s="184">
        <f t="shared" si="40"/>
        <v>3.8278984543952634</v>
      </c>
      <c r="M38" s="184">
        <f t="shared" si="41"/>
        <v>3.8661774389392161</v>
      </c>
    </row>
    <row r="39" spans="1:13" ht="15.75" thickBot="1">
      <c r="B39" s="98" t="s">
        <v>74</v>
      </c>
      <c r="C39" s="175">
        <v>4</v>
      </c>
      <c r="D39" s="301">
        <f t="shared" si="32"/>
        <v>4.04</v>
      </c>
      <c r="E39" s="301">
        <f t="shared" si="33"/>
        <v>4.0804</v>
      </c>
      <c r="F39" s="301">
        <f t="shared" si="34"/>
        <v>4.1212039999999996</v>
      </c>
      <c r="G39" s="301">
        <f t="shared" si="35"/>
        <v>4.1624160400000001</v>
      </c>
      <c r="H39" s="301">
        <f t="shared" si="36"/>
        <v>4.2040402003999997</v>
      </c>
      <c r="I39" s="301">
        <f t="shared" si="37"/>
        <v>4.2460806024039996</v>
      </c>
      <c r="J39" s="301">
        <f t="shared" si="38"/>
        <v>4.2885414084280393</v>
      </c>
      <c r="K39" s="302">
        <f t="shared" si="39"/>
        <v>4.33142682251232</v>
      </c>
      <c r="L39" s="302">
        <f t="shared" si="40"/>
        <v>4.3747410907374435</v>
      </c>
      <c r="M39" s="302">
        <f t="shared" si="41"/>
        <v>4.4184885016448181</v>
      </c>
    </row>
    <row r="40" spans="1:13" ht="15.75" thickBot="1"/>
    <row r="41" spans="1:13">
      <c r="A41" s="17"/>
      <c r="B41" s="227" t="s">
        <v>24</v>
      </c>
      <c r="C41" s="228">
        <v>2018</v>
      </c>
      <c r="D41" s="228">
        <v>2019</v>
      </c>
      <c r="E41" s="228">
        <v>2020</v>
      </c>
      <c r="F41" s="228">
        <v>2021</v>
      </c>
      <c r="G41" s="228">
        <v>2022</v>
      </c>
      <c r="H41" s="228">
        <v>2023</v>
      </c>
      <c r="I41" s="228">
        <v>2024</v>
      </c>
      <c r="J41" s="228">
        <v>2025</v>
      </c>
      <c r="K41" s="229">
        <v>2026</v>
      </c>
      <c r="L41" s="229">
        <v>2027</v>
      </c>
      <c r="M41" s="229">
        <v>2028</v>
      </c>
    </row>
    <row r="42" spans="1:13">
      <c r="A42" s="17"/>
      <c r="B42" s="97" t="s">
        <v>239</v>
      </c>
      <c r="C42" s="188">
        <f>'Plant Ops Cost 2500 lph'!L44</f>
        <v>0.559878714</v>
      </c>
      <c r="D42" s="188">
        <f>'Plant Ops Cost 5000 lph '!L44</f>
        <v>0.330535723</v>
      </c>
      <c r="E42" s="186">
        <f t="shared" ref="E42:E43" si="42">D42*1.03</f>
        <v>0.34045179469000003</v>
      </c>
      <c r="F42" s="186">
        <f t="shared" ref="F42:F43" si="43">E42*1.03</f>
        <v>0.35066534853070003</v>
      </c>
      <c r="G42" s="186">
        <f t="shared" ref="G42:G43" si="44">F42*1.03</f>
        <v>0.36118530898662105</v>
      </c>
      <c r="H42" s="186">
        <f t="shared" ref="H42:H43" si="45">G42*1.03</f>
        <v>0.37202086825621966</v>
      </c>
      <c r="I42" s="186">
        <f t="shared" ref="I42:I43" si="46">H42*1.03</f>
        <v>0.38318149430390624</v>
      </c>
      <c r="J42" s="186">
        <f t="shared" ref="J42:J43" si="47">I42*1.03</f>
        <v>0.39467693913302343</v>
      </c>
      <c r="K42" s="186">
        <f t="shared" ref="K42:K43" si="48">J42*1.03</f>
        <v>0.40651724730701416</v>
      </c>
      <c r="L42" s="186">
        <f t="shared" ref="L42:L45" si="49">K42*1.03</f>
        <v>0.4187127647262246</v>
      </c>
      <c r="M42" s="186">
        <f t="shared" ref="M42:M45" si="50">L42*1.03</f>
        <v>0.43127414766801137</v>
      </c>
    </row>
    <row r="43" spans="1:13" ht="26.25">
      <c r="A43" s="17"/>
      <c r="B43" s="97" t="s">
        <v>274</v>
      </c>
      <c r="C43" s="188">
        <v>0.2</v>
      </c>
      <c r="D43" s="188">
        <v>0.25</v>
      </c>
      <c r="E43" s="186">
        <f t="shared" si="42"/>
        <v>0.25750000000000001</v>
      </c>
      <c r="F43" s="186">
        <f t="shared" si="43"/>
        <v>0.26522499999999999</v>
      </c>
      <c r="G43" s="186">
        <f t="shared" si="44"/>
        <v>0.27318175</v>
      </c>
      <c r="H43" s="186">
        <f t="shared" si="45"/>
        <v>0.28137720250000003</v>
      </c>
      <c r="I43" s="186">
        <f t="shared" si="46"/>
        <v>0.28981851857500002</v>
      </c>
      <c r="J43" s="186">
        <f t="shared" si="47"/>
        <v>0.29851307413225003</v>
      </c>
      <c r="K43" s="186">
        <f t="shared" si="48"/>
        <v>0.30746846635621755</v>
      </c>
      <c r="L43" s="186">
        <f t="shared" si="49"/>
        <v>0.31669252034690409</v>
      </c>
      <c r="M43" s="186">
        <f t="shared" si="50"/>
        <v>0.32619329595731122</v>
      </c>
    </row>
    <row r="44" spans="1:13">
      <c r="A44" s="17"/>
      <c r="B44" s="97" t="s">
        <v>181</v>
      </c>
      <c r="C44" s="186">
        <f>C42*55</f>
        <v>30.793329270000001</v>
      </c>
      <c r="D44" s="186">
        <f>D42*55</f>
        <v>18.179464764999999</v>
      </c>
      <c r="E44" s="186">
        <f t="shared" ref="E44:K44" si="51">D44*1.03</f>
        <v>18.724848707949999</v>
      </c>
      <c r="F44" s="186">
        <f t="shared" si="51"/>
        <v>19.286594169188501</v>
      </c>
      <c r="G44" s="186">
        <f t="shared" si="51"/>
        <v>19.865191994264155</v>
      </c>
      <c r="H44" s="186">
        <f t="shared" si="51"/>
        <v>20.461147754092082</v>
      </c>
      <c r="I44" s="186">
        <f t="shared" si="51"/>
        <v>21.074982186714845</v>
      </c>
      <c r="J44" s="186">
        <f t="shared" si="51"/>
        <v>21.707231652316292</v>
      </c>
      <c r="K44" s="189">
        <f t="shared" si="51"/>
        <v>22.35844860188578</v>
      </c>
      <c r="L44" s="189">
        <f t="shared" si="49"/>
        <v>23.029202059942353</v>
      </c>
      <c r="M44" s="189">
        <f t="shared" si="50"/>
        <v>23.720078121740624</v>
      </c>
    </row>
    <row r="45" spans="1:13" s="30" customFormat="1" ht="12.75">
      <c r="A45" s="32"/>
      <c r="B45" s="268" t="s">
        <v>182</v>
      </c>
      <c r="C45" s="188">
        <v>10</v>
      </c>
      <c r="D45" s="186">
        <f t="shared" ref="D45" si="52">C45*1.03</f>
        <v>10.3</v>
      </c>
      <c r="E45" s="186">
        <f t="shared" ref="E45:K45" si="53">D45*1.03</f>
        <v>10.609000000000002</v>
      </c>
      <c r="F45" s="186">
        <f t="shared" si="53"/>
        <v>10.927270000000002</v>
      </c>
      <c r="G45" s="186">
        <f t="shared" si="53"/>
        <v>11.255088100000002</v>
      </c>
      <c r="H45" s="186">
        <f t="shared" si="53"/>
        <v>11.592740743000002</v>
      </c>
      <c r="I45" s="186">
        <f t="shared" si="53"/>
        <v>11.940522965290002</v>
      </c>
      <c r="J45" s="186">
        <f t="shared" si="53"/>
        <v>12.298738654248703</v>
      </c>
      <c r="K45" s="189">
        <f t="shared" si="53"/>
        <v>12.667700813876165</v>
      </c>
      <c r="L45" s="189">
        <f t="shared" si="49"/>
        <v>13.047731838292449</v>
      </c>
      <c r="M45" s="189">
        <f t="shared" si="50"/>
        <v>13.439163793441223</v>
      </c>
    </row>
    <row r="46" spans="1:13" ht="12.95" customHeight="1">
      <c r="A46" s="17"/>
      <c r="B46" s="97" t="s">
        <v>211</v>
      </c>
      <c r="C46" s="186">
        <f>C44+C45</f>
        <v>40.793329270000001</v>
      </c>
      <c r="D46" s="186">
        <f>D44+D45</f>
        <v>28.479464764999999</v>
      </c>
      <c r="E46" s="186">
        <f t="shared" ref="E46:K46" si="54">E44+E45</f>
        <v>29.333848707950001</v>
      </c>
      <c r="F46" s="186">
        <f t="shared" si="54"/>
        <v>30.213864169188504</v>
      </c>
      <c r="G46" s="186">
        <f t="shared" si="54"/>
        <v>31.120280094264157</v>
      </c>
      <c r="H46" s="186">
        <f t="shared" si="54"/>
        <v>32.053888497092082</v>
      </c>
      <c r="I46" s="186">
        <f t="shared" si="54"/>
        <v>33.015505152004849</v>
      </c>
      <c r="J46" s="186">
        <f t="shared" si="54"/>
        <v>34.005970306564997</v>
      </c>
      <c r="K46" s="189">
        <f t="shared" si="54"/>
        <v>35.026149415761942</v>
      </c>
      <c r="L46" s="189">
        <f t="shared" ref="L46:M46" si="55">L44+L45</f>
        <v>36.076933898234799</v>
      </c>
      <c r="M46" s="189">
        <f t="shared" si="55"/>
        <v>37.159241915181845</v>
      </c>
    </row>
    <row r="47" spans="1:13">
      <c r="A47" s="17"/>
      <c r="B47" s="97" t="s">
        <v>180</v>
      </c>
      <c r="C47" s="186">
        <f>C22*Additives!$L$15+C23*Additives!$L$16+C24*Additives!$L$17+C25*Additives!$L$18</f>
        <v>33.286000000000001</v>
      </c>
      <c r="D47" s="186">
        <f>D22*Additives!$L$15+D23*Additives!$L$16+D24*Additives!$L$17+D25*Additives!$L$18</f>
        <v>38.0336</v>
      </c>
      <c r="E47" s="186">
        <f>E22*Additives!$L$15+E23*Additives!$L$16+E24*Additives!$L$17+E25*Additives!$L$18</f>
        <v>43.3048</v>
      </c>
      <c r="F47" s="186">
        <f>F22*Additives!$L$15+F23*Additives!$L$16+F24*Additives!$L$17+F25*Additives!$L$18</f>
        <v>48.226933333333314</v>
      </c>
      <c r="G47" s="186">
        <f>G22*Additives!$L$15+G23*Additives!$L$16+G24*Additives!$L$17+G25*Additives!$L$18</f>
        <v>52.276399999999995</v>
      </c>
      <c r="H47" s="186">
        <f>H22*Additives!$L$15+H23*Additives!$L$16+H24*Additives!$L$17+H25*Additives!$L$18</f>
        <v>55.976799999999997</v>
      </c>
      <c r="I47" s="186">
        <f>I22*Additives!$L$15+I23*Additives!$L$16+I24*Additives!$L$17+I25*Additives!$L$18</f>
        <v>59.677199999999999</v>
      </c>
      <c r="J47" s="186">
        <f>J22*Additives!$L$15+J23*Additives!$L$16+J24*Additives!$L$17+J25*Additives!$L$18</f>
        <v>63.377600000000001</v>
      </c>
      <c r="K47" s="186">
        <f>K22*Additives!$L$15+K23*Additives!$L$16+K24*Additives!$L$17+K25*Additives!$L$18</f>
        <v>70.289999999999992</v>
      </c>
      <c r="L47" s="186">
        <f>L22*Additives!$L$15+L23*Additives!$L$16+L24*Additives!$L$17+L25*Additives!$L$18</f>
        <v>70.289999999999992</v>
      </c>
      <c r="M47" s="186">
        <f>M22*Additives!$L$15+M23*Additives!$L$16+M24*Additives!$L$17+M25*Additives!$L$18</f>
        <v>70.289999999999992</v>
      </c>
    </row>
    <row r="48" spans="1:13">
      <c r="A48" s="17"/>
      <c r="B48" s="97" t="s">
        <v>75</v>
      </c>
      <c r="C48" s="186">
        <f>C47/220</f>
        <v>0.15130000000000002</v>
      </c>
      <c r="D48" s="186">
        <f t="shared" ref="D48:K48" si="56">D47/220</f>
        <v>0.17288000000000001</v>
      </c>
      <c r="E48" s="186">
        <f t="shared" si="56"/>
        <v>0.19683999999999999</v>
      </c>
      <c r="F48" s="186">
        <f t="shared" si="56"/>
        <v>0.21921333333333323</v>
      </c>
      <c r="G48" s="186">
        <f t="shared" si="56"/>
        <v>0.23761999999999997</v>
      </c>
      <c r="H48" s="186">
        <f t="shared" si="56"/>
        <v>0.25444</v>
      </c>
      <c r="I48" s="186">
        <f t="shared" si="56"/>
        <v>0.27126</v>
      </c>
      <c r="J48" s="186">
        <f t="shared" si="56"/>
        <v>0.28808</v>
      </c>
      <c r="K48" s="186">
        <f t="shared" si="56"/>
        <v>0.31949999999999995</v>
      </c>
      <c r="L48" s="186">
        <f t="shared" ref="L48:M48" si="57">L47/220</f>
        <v>0.31949999999999995</v>
      </c>
      <c r="M48" s="186">
        <f t="shared" si="57"/>
        <v>0.31949999999999995</v>
      </c>
    </row>
    <row r="49" spans="1:13">
      <c r="A49" s="17"/>
      <c r="B49" s="97" t="s">
        <v>32</v>
      </c>
      <c r="C49" s="188">
        <v>15</v>
      </c>
      <c r="D49" s="186">
        <f t="shared" ref="D49:K49" si="58">C49*1.03</f>
        <v>15.450000000000001</v>
      </c>
      <c r="E49" s="186">
        <f t="shared" si="58"/>
        <v>15.913500000000001</v>
      </c>
      <c r="F49" s="186">
        <f t="shared" si="58"/>
        <v>16.390905</v>
      </c>
      <c r="G49" s="186">
        <f t="shared" si="58"/>
        <v>16.882632149999999</v>
      </c>
      <c r="H49" s="186">
        <f t="shared" si="58"/>
        <v>17.3891111145</v>
      </c>
      <c r="I49" s="186">
        <f t="shared" si="58"/>
        <v>17.910784447935001</v>
      </c>
      <c r="J49" s="186">
        <f t="shared" si="58"/>
        <v>18.448107981373052</v>
      </c>
      <c r="K49" s="189">
        <f t="shared" si="58"/>
        <v>19.001551220814246</v>
      </c>
      <c r="L49" s="189">
        <f t="shared" ref="L49" si="59">K49*1.03</f>
        <v>19.571597757438674</v>
      </c>
      <c r="M49" s="189">
        <f t="shared" ref="M49" si="60">L49*1.03</f>
        <v>20.158745690161833</v>
      </c>
    </row>
    <row r="50" spans="1:13" ht="15.75" thickBot="1">
      <c r="A50" s="17"/>
      <c r="B50" s="98" t="s">
        <v>150</v>
      </c>
      <c r="C50" s="99">
        <f t="shared" ref="C50:K50" si="61">C6</f>
        <v>0.35</v>
      </c>
      <c r="D50" s="99">
        <f t="shared" si="61"/>
        <v>0.35699999999999998</v>
      </c>
      <c r="E50" s="99">
        <f t="shared" si="61"/>
        <v>0.36413999999999996</v>
      </c>
      <c r="F50" s="99">
        <f t="shared" si="61"/>
        <v>0.37142279999999994</v>
      </c>
      <c r="G50" s="99">
        <f t="shared" si="61"/>
        <v>0.37885125599999997</v>
      </c>
      <c r="H50" s="99">
        <f t="shared" si="61"/>
        <v>0.38642828111999999</v>
      </c>
      <c r="I50" s="99">
        <f t="shared" si="61"/>
        <v>0.39415684674239998</v>
      </c>
      <c r="J50" s="99">
        <f t="shared" si="61"/>
        <v>0.40203998367724797</v>
      </c>
      <c r="K50" s="100">
        <f t="shared" si="61"/>
        <v>0.41008078335079295</v>
      </c>
      <c r="L50" s="100">
        <f t="shared" ref="L50:M50" si="62">L6</f>
        <v>0.41828239901780884</v>
      </c>
      <c r="M50" s="100">
        <f t="shared" si="62"/>
        <v>0.426648046998165</v>
      </c>
    </row>
    <row r="51" spans="1:13" ht="15.75" thickBot="1">
      <c r="A51" s="13"/>
      <c r="B51" s="101"/>
      <c r="C51" s="108"/>
      <c r="D51" s="32"/>
      <c r="E51" s="32"/>
      <c r="F51" s="32"/>
      <c r="G51" s="32"/>
      <c r="H51" s="32"/>
      <c r="I51" s="32"/>
      <c r="J51" s="32"/>
      <c r="K51" s="32"/>
      <c r="L51" s="32"/>
    </row>
    <row r="52" spans="1:13">
      <c r="A52" s="13"/>
      <c r="B52" s="227" t="s">
        <v>93</v>
      </c>
      <c r="C52" s="227"/>
      <c r="D52" s="280"/>
      <c r="E52" s="32"/>
      <c r="F52" s="109"/>
      <c r="G52" s="32"/>
      <c r="H52" s="32"/>
      <c r="I52" s="32"/>
      <c r="J52" s="32"/>
      <c r="K52" s="32"/>
      <c r="L52" s="32"/>
    </row>
    <row r="53" spans="1:13">
      <c r="A53" s="13"/>
      <c r="B53" s="187" t="s">
        <v>79</v>
      </c>
      <c r="C53" s="299">
        <v>35</v>
      </c>
      <c r="D53" s="32"/>
      <c r="E53" s="32"/>
      <c r="F53" s="32"/>
      <c r="G53" s="32"/>
      <c r="H53" s="32"/>
      <c r="I53" s="32"/>
      <c r="J53" s="32"/>
      <c r="K53" s="32"/>
      <c r="L53" s="32"/>
    </row>
    <row r="54" spans="1:13">
      <c r="A54" s="13"/>
      <c r="B54" s="187" t="s">
        <v>291</v>
      </c>
      <c r="C54" s="329">
        <v>0.5</v>
      </c>
      <c r="D54" s="32"/>
      <c r="E54" s="32"/>
      <c r="F54" s="32"/>
      <c r="G54" s="32"/>
      <c r="H54" s="32"/>
      <c r="I54" s="32"/>
      <c r="J54" s="32"/>
      <c r="K54" s="32"/>
      <c r="L54" s="32"/>
    </row>
    <row r="55" spans="1:13">
      <c r="A55" s="13"/>
      <c r="B55" s="187" t="s">
        <v>99</v>
      </c>
      <c r="C55" s="187">
        <v>3.7850000000000001</v>
      </c>
      <c r="D55" s="32"/>
      <c r="E55" s="32"/>
      <c r="F55" s="32"/>
      <c r="G55" s="32"/>
      <c r="H55" s="32"/>
      <c r="I55" s="32"/>
      <c r="J55" s="32"/>
      <c r="K55" s="32"/>
      <c r="L55" s="32"/>
    </row>
    <row r="56" spans="1:13">
      <c r="A56" s="13"/>
      <c r="B56" s="187" t="s">
        <v>100</v>
      </c>
      <c r="C56" s="300">
        <v>0.02</v>
      </c>
      <c r="D56" s="32"/>
      <c r="E56" s="32"/>
      <c r="F56" s="32"/>
      <c r="G56" s="32"/>
      <c r="H56" s="32"/>
      <c r="I56" s="32"/>
      <c r="J56" s="32"/>
      <c r="K56" s="32"/>
      <c r="L56" s="32"/>
    </row>
    <row r="57" spans="1:13">
      <c r="A57" s="13"/>
      <c r="B57" s="187" t="s">
        <v>236</v>
      </c>
      <c r="C57" s="300">
        <v>0.02</v>
      </c>
      <c r="D57" s="32"/>
      <c r="E57" s="32"/>
      <c r="F57" s="32"/>
      <c r="G57" s="32"/>
      <c r="H57" s="32"/>
      <c r="I57" s="32"/>
      <c r="J57" s="32"/>
      <c r="K57" s="32"/>
      <c r="L57" s="32"/>
    </row>
    <row r="58" spans="1:13">
      <c r="A58" s="13"/>
      <c r="B58" s="187" t="s">
        <v>237</v>
      </c>
      <c r="C58" s="300">
        <v>0.2</v>
      </c>
      <c r="D58" s="32"/>
      <c r="E58" s="32"/>
      <c r="F58" s="32"/>
      <c r="G58" s="32"/>
      <c r="H58" s="32"/>
      <c r="I58" s="32"/>
      <c r="J58" s="32"/>
      <c r="K58" s="32"/>
      <c r="L58" s="32"/>
    </row>
    <row r="59" spans="1:13">
      <c r="A59" s="13"/>
      <c r="B59" s="187" t="s">
        <v>267</v>
      </c>
      <c r="C59" s="300">
        <v>0.75</v>
      </c>
      <c r="D59" s="32"/>
      <c r="E59" s="32"/>
      <c r="F59" s="32"/>
      <c r="G59" s="32"/>
      <c r="H59" s="32"/>
      <c r="I59" s="32"/>
      <c r="J59" s="32"/>
      <c r="K59" s="32"/>
      <c r="L59" s="32"/>
    </row>
    <row r="60" spans="1:13">
      <c r="A60" s="13"/>
      <c r="B60" s="187" t="s">
        <v>268</v>
      </c>
      <c r="C60" s="300">
        <f>C59/2</f>
        <v>0.375</v>
      </c>
      <c r="D60" s="31"/>
      <c r="E60" s="31"/>
      <c r="F60" s="31"/>
      <c r="G60" s="31"/>
      <c r="H60" s="31"/>
      <c r="I60" s="31"/>
      <c r="J60" s="31"/>
      <c r="K60" s="31"/>
      <c r="L60" s="31"/>
    </row>
    <row r="61" spans="1:13">
      <c r="B61" s="187" t="s">
        <v>348</v>
      </c>
      <c r="C61" s="300">
        <v>0.25</v>
      </c>
      <c r="D61" s="30"/>
      <c r="E61" s="30"/>
      <c r="F61" s="30"/>
      <c r="G61" s="30"/>
      <c r="H61" s="30"/>
      <c r="I61" s="30"/>
      <c r="J61" s="30"/>
      <c r="K61" s="30"/>
      <c r="L61" s="30"/>
    </row>
    <row r="62" spans="1:13">
      <c r="B62" s="187" t="s">
        <v>276</v>
      </c>
      <c r="C62" s="187">
        <v>1</v>
      </c>
      <c r="D62" s="321" t="s">
        <v>277</v>
      </c>
    </row>
  </sheetData>
  <phoneticPr fontId="26" type="noConversion"/>
  <printOptions horizontalCentered="1"/>
  <pageMargins left="0.2" right="0.2" top="0.39000000000000007" bottom="0.2" header="0.30000000000000004" footer="0.30000000000000004"/>
  <pageSetup scale="80"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U38"/>
  <sheetViews>
    <sheetView topLeftCell="D13" workbookViewId="0">
      <selection activeCell="E38" sqref="E38:U38"/>
    </sheetView>
  </sheetViews>
  <sheetFormatPr defaultRowHeight="15"/>
  <cols>
    <col min="1" max="1" width="4.42578125" customWidth="1"/>
    <col min="3" max="3" width="49.85546875" customWidth="1"/>
    <col min="4" max="4" width="12" customWidth="1"/>
    <col min="5" max="5" width="9.5703125" customWidth="1"/>
    <col min="6" max="11" width="9.28515625" bestFit="1" customWidth="1"/>
  </cols>
  <sheetData>
    <row r="2" spans="2:21">
      <c r="C2" s="333" t="s">
        <v>295</v>
      </c>
      <c r="D2" s="334">
        <v>2017</v>
      </c>
      <c r="E2" s="334">
        <v>2018</v>
      </c>
      <c r="F2" s="334">
        <v>2019</v>
      </c>
      <c r="G2" s="334">
        <v>2020</v>
      </c>
      <c r="H2" s="334">
        <v>2021</v>
      </c>
      <c r="I2" s="334">
        <v>2022</v>
      </c>
      <c r="J2" s="334">
        <v>2023</v>
      </c>
      <c r="K2" s="334">
        <v>2024</v>
      </c>
      <c r="L2" s="334">
        <v>2025</v>
      </c>
      <c r="M2" s="334">
        <v>2026</v>
      </c>
      <c r="N2" s="334">
        <v>2027</v>
      </c>
      <c r="O2" s="334">
        <v>2028</v>
      </c>
      <c r="P2" s="334">
        <v>2029</v>
      </c>
      <c r="Q2" s="334">
        <v>2030</v>
      </c>
      <c r="R2" s="334">
        <v>2031</v>
      </c>
      <c r="S2" s="334">
        <v>2032</v>
      </c>
      <c r="T2" s="334">
        <v>2033</v>
      </c>
      <c r="U2" s="334">
        <v>2034</v>
      </c>
    </row>
    <row r="3" spans="2:21">
      <c r="B3" s="335">
        <v>1</v>
      </c>
      <c r="C3" s="336" t="s">
        <v>296</v>
      </c>
      <c r="D3" s="337">
        <v>52</v>
      </c>
      <c r="E3" s="338">
        <f>'[9]Macrotrends-crude-oil-prices'!AN9</f>
        <v>58.1</v>
      </c>
      <c r="F3" s="338">
        <f>'[9]Macrotrends-crude-oil-prices'!AO9</f>
        <v>73</v>
      </c>
      <c r="G3" s="338">
        <f>'[9]Macrotrends-crude-oil-prices'!AP9</f>
        <v>76</v>
      </c>
      <c r="H3" s="338">
        <f>'[9]Macrotrends-crude-oil-prices'!AQ9</f>
        <v>78</v>
      </c>
      <c r="I3" s="338">
        <f>'[9]Macrotrends-crude-oil-prices'!AR9</f>
        <v>81</v>
      </c>
      <c r="J3" s="338">
        <f>'[9]Macrotrends-crude-oil-prices'!AS9</f>
        <v>82</v>
      </c>
      <c r="K3" s="338">
        <f>'[9]Macrotrends-crude-oil-prices'!AT9</f>
        <v>83</v>
      </c>
      <c r="L3" s="338">
        <f>'[9]Macrotrends-crude-oil-prices'!AU9</f>
        <v>85</v>
      </c>
      <c r="M3" s="339">
        <f>'[9]Macrotrends-crude-oil-prices'!AV9</f>
        <v>85</v>
      </c>
      <c r="N3" s="339">
        <f>'[9]Macrotrends-crude-oil-prices'!AW9</f>
        <v>86</v>
      </c>
      <c r="O3" s="339">
        <f>'[9]Macrotrends-crude-oil-prices'!AX9</f>
        <v>88</v>
      </c>
      <c r="P3" s="339">
        <f>'[9]Macrotrends-crude-oil-prices'!AY9</f>
        <v>90.5</v>
      </c>
      <c r="Q3" s="339">
        <f>'[9]Macrotrends-crude-oil-prices'!AZ9</f>
        <v>91</v>
      </c>
      <c r="R3" s="338">
        <f>'[9]Macrotrends-crude-oil-prices'!BA9</f>
        <v>92</v>
      </c>
      <c r="S3" s="338">
        <f>'[9]Macrotrends-crude-oil-prices'!BB9</f>
        <v>92.5</v>
      </c>
      <c r="T3" s="338">
        <f>'[9]Macrotrends-crude-oil-prices'!BC9</f>
        <v>93</v>
      </c>
      <c r="U3" s="338">
        <f>T3</f>
        <v>93</v>
      </c>
    </row>
    <row r="4" spans="2:21">
      <c r="B4" s="335">
        <v>2</v>
      </c>
      <c r="C4" s="336" t="s">
        <v>297</v>
      </c>
      <c r="E4" s="337">
        <f>'[9]WTI NYMEX Futures May 24 2017'!$K20</f>
        <v>51.751666666666672</v>
      </c>
      <c r="F4" s="337">
        <f>'[9]WTI NYMEX Futures May 24 2017'!$K32</f>
        <v>51.161666666666655</v>
      </c>
      <c r="G4" s="337">
        <f>'[9]WTI NYMEX Futures May 24 2017'!$K44</f>
        <v>51.287500000000001</v>
      </c>
      <c r="H4" s="337">
        <f>'[9]WTI NYMEX Futures May 24 2017'!$K56</f>
        <v>52.04666666666666</v>
      </c>
      <c r="I4" s="337">
        <f>'[9]WTI NYMEX Futures May 24 2017'!$K68</f>
        <v>53.169166666666662</v>
      </c>
      <c r="J4" s="337">
        <f>'[9]WTI NYMEX Futures May 24 2017'!$K70</f>
        <v>54.545000000000002</v>
      </c>
      <c r="K4" s="337">
        <f>'[9]WTI NYMEX Futures May 24 2017'!$K72</f>
        <v>55.39</v>
      </c>
      <c r="L4" s="337">
        <f>'[9]WTI NYMEX Futures May 24 2017'!$K74</f>
        <v>55.924999999999997</v>
      </c>
      <c r="M4" s="340">
        <f>L4*1.015</f>
        <v>56.763874999999992</v>
      </c>
      <c r="N4" s="341">
        <f t="shared" ref="N4:U5" si="0">M4*1.015</f>
        <v>57.615333124999985</v>
      </c>
      <c r="O4" s="341">
        <f t="shared" si="0"/>
        <v>58.479563121874982</v>
      </c>
      <c r="P4" s="341">
        <f t="shared" si="0"/>
        <v>59.356756568703098</v>
      </c>
      <c r="Q4" s="341">
        <f t="shared" si="0"/>
        <v>60.247107917233642</v>
      </c>
      <c r="R4" s="342">
        <f t="shared" si="0"/>
        <v>61.15081453599214</v>
      </c>
      <c r="S4" s="342">
        <f t="shared" si="0"/>
        <v>62.068076754032013</v>
      </c>
      <c r="T4" s="342">
        <f t="shared" si="0"/>
        <v>62.999097905342488</v>
      </c>
      <c r="U4" s="342">
        <f t="shared" si="0"/>
        <v>63.944084373922621</v>
      </c>
    </row>
    <row r="5" spans="2:21">
      <c r="B5" s="335">
        <v>3</v>
      </c>
      <c r="C5" s="336" t="s">
        <v>298</v>
      </c>
      <c r="E5" s="337">
        <f>(E3+E4)/2</f>
        <v>54.925833333333337</v>
      </c>
      <c r="F5" s="337">
        <f t="shared" ref="F5:L5" si="1">(F3+F4)/2</f>
        <v>62.080833333333331</v>
      </c>
      <c r="G5" s="337">
        <f t="shared" si="1"/>
        <v>63.643749999999997</v>
      </c>
      <c r="H5" s="337">
        <f t="shared" si="1"/>
        <v>65.023333333333326</v>
      </c>
      <c r="I5" s="337">
        <f t="shared" si="1"/>
        <v>67.084583333333327</v>
      </c>
      <c r="J5" s="337">
        <f t="shared" si="1"/>
        <v>68.272500000000008</v>
      </c>
      <c r="K5" s="337">
        <f t="shared" si="1"/>
        <v>69.194999999999993</v>
      </c>
      <c r="L5" s="337">
        <f t="shared" si="1"/>
        <v>70.462500000000006</v>
      </c>
      <c r="M5" s="340">
        <f>L5*1.015</f>
        <v>71.519437499999995</v>
      </c>
      <c r="N5" s="341">
        <f t="shared" si="0"/>
        <v>72.592229062499982</v>
      </c>
      <c r="O5" s="341">
        <f t="shared" si="0"/>
        <v>73.681112498437471</v>
      </c>
      <c r="P5" s="341">
        <f t="shared" si="0"/>
        <v>74.786329185914028</v>
      </c>
      <c r="Q5" s="341">
        <f t="shared" si="0"/>
        <v>75.908124123702734</v>
      </c>
      <c r="R5" s="342">
        <f t="shared" si="0"/>
        <v>77.046745985558275</v>
      </c>
      <c r="S5" s="342">
        <f t="shared" si="0"/>
        <v>78.202447175341646</v>
      </c>
      <c r="T5" s="342">
        <f t="shared" si="0"/>
        <v>79.375483882971764</v>
      </c>
      <c r="U5" s="342">
        <f t="shared" si="0"/>
        <v>80.566116141216327</v>
      </c>
    </row>
    <row r="6" spans="2:21">
      <c r="B6" s="335"/>
      <c r="C6" s="336"/>
      <c r="E6" s="337"/>
      <c r="F6" s="337"/>
      <c r="G6" s="337"/>
      <c r="H6" s="337"/>
      <c r="I6" s="337"/>
      <c r="M6" s="343"/>
      <c r="N6" s="337"/>
      <c r="O6" s="337"/>
      <c r="P6" s="337"/>
      <c r="Q6" s="337"/>
      <c r="R6" s="337"/>
      <c r="S6" s="337"/>
      <c r="T6" s="337"/>
      <c r="U6" s="337"/>
    </row>
    <row r="7" spans="2:21" ht="15.75" thickBot="1">
      <c r="C7" s="344" t="s">
        <v>299</v>
      </c>
      <c r="E7" s="337"/>
      <c r="F7" s="337"/>
      <c r="G7" s="337"/>
      <c r="H7" s="337"/>
      <c r="I7" s="337"/>
      <c r="J7" s="337"/>
      <c r="K7" s="337"/>
      <c r="L7" s="337"/>
      <c r="M7" s="345" t="s">
        <v>300</v>
      </c>
      <c r="N7" s="346"/>
      <c r="O7" s="346"/>
      <c r="P7" s="346"/>
      <c r="Q7" s="346"/>
      <c r="R7" s="337"/>
      <c r="S7" s="337"/>
      <c r="T7" s="337"/>
      <c r="U7" s="337"/>
    </row>
    <row r="8" spans="2:21">
      <c r="C8" s="336" t="s">
        <v>301</v>
      </c>
      <c r="D8" s="347">
        <v>2</v>
      </c>
      <c r="E8" s="337"/>
      <c r="F8" s="337"/>
      <c r="G8" s="337"/>
      <c r="H8" s="337"/>
      <c r="I8" s="337"/>
      <c r="J8" s="337"/>
      <c r="K8" s="337"/>
      <c r="L8" s="337"/>
      <c r="M8" s="337"/>
      <c r="N8" s="337"/>
      <c r="O8" s="337"/>
      <c r="P8" s="337"/>
      <c r="Q8" s="337"/>
      <c r="R8" s="337"/>
      <c r="S8" s="337"/>
      <c r="T8" s="337"/>
      <c r="U8" s="337"/>
    </row>
    <row r="9" spans="2:21">
      <c r="C9" s="336" t="s">
        <v>302</v>
      </c>
      <c r="D9" s="347" t="s">
        <v>304</v>
      </c>
      <c r="E9" s="337"/>
      <c r="F9" s="337"/>
      <c r="G9" s="337"/>
      <c r="H9" s="337"/>
      <c r="I9" s="337"/>
      <c r="J9" s="337"/>
      <c r="K9" s="337"/>
      <c r="L9" s="337"/>
      <c r="M9" s="337"/>
      <c r="N9" s="337"/>
      <c r="O9" s="337"/>
      <c r="P9" s="337"/>
      <c r="Q9" s="337"/>
      <c r="R9" s="337"/>
      <c r="S9" s="337"/>
      <c r="T9" s="337"/>
      <c r="U9" s="337"/>
    </row>
    <row r="10" spans="2:21">
      <c r="C10" s="336" t="s">
        <v>303</v>
      </c>
      <c r="D10" s="348">
        <v>1.5</v>
      </c>
      <c r="E10" s="337"/>
      <c r="F10" s="337"/>
      <c r="G10" s="337"/>
      <c r="H10" s="337"/>
      <c r="I10" s="337"/>
      <c r="J10" s="337"/>
      <c r="K10" s="337"/>
      <c r="L10" s="337"/>
      <c r="M10" s="337"/>
      <c r="N10" s="337"/>
      <c r="O10" s="337"/>
      <c r="P10" s="337"/>
      <c r="Q10" s="337"/>
      <c r="R10" s="337"/>
      <c r="S10" s="337"/>
      <c r="T10" s="337"/>
      <c r="U10" s="337"/>
    </row>
    <row r="11" spans="2:21">
      <c r="C11" s="336"/>
      <c r="E11" s="337"/>
      <c r="F11" s="337"/>
      <c r="G11" s="337"/>
      <c r="H11" s="337"/>
      <c r="I11" s="337"/>
      <c r="J11" s="337"/>
      <c r="K11" s="337"/>
      <c r="L11" s="337"/>
      <c r="M11" s="337"/>
      <c r="N11" s="337"/>
      <c r="O11" s="337"/>
      <c r="P11" s="337"/>
      <c r="Q11" s="337"/>
      <c r="R11" s="337"/>
      <c r="S11" s="337"/>
      <c r="T11" s="337"/>
      <c r="U11" s="337"/>
    </row>
    <row r="12" spans="2:21">
      <c r="B12" s="335" t="s">
        <v>304</v>
      </c>
      <c r="C12" s="336" t="s">
        <v>305</v>
      </c>
      <c r="E12" s="337"/>
      <c r="F12" s="337"/>
      <c r="G12" s="337"/>
      <c r="H12" s="337"/>
      <c r="I12" s="337"/>
      <c r="J12" s="337"/>
      <c r="K12" s="337"/>
      <c r="L12" s="337"/>
      <c r="M12" s="337"/>
      <c r="N12" s="337"/>
      <c r="O12" s="337"/>
      <c r="P12" s="337"/>
      <c r="Q12" s="337"/>
      <c r="R12" s="337"/>
      <c r="S12" s="337"/>
      <c r="T12" s="337"/>
      <c r="U12" s="337"/>
    </row>
    <row r="13" spans="2:21">
      <c r="B13" s="335" t="s">
        <v>306</v>
      </c>
      <c r="C13" s="336" t="s">
        <v>307</v>
      </c>
      <c r="E13" s="337"/>
      <c r="F13" s="337"/>
      <c r="G13" s="337"/>
      <c r="H13" s="337"/>
      <c r="I13" s="337"/>
      <c r="J13" s="337"/>
      <c r="K13" s="337"/>
      <c r="L13" s="337"/>
      <c r="M13" s="337"/>
      <c r="N13" s="337"/>
      <c r="O13" s="337"/>
      <c r="P13" s="337"/>
      <c r="Q13" s="337"/>
      <c r="R13" s="337"/>
      <c r="S13" s="337"/>
      <c r="T13" s="337"/>
      <c r="U13" s="337"/>
    </row>
    <row r="14" spans="2:21">
      <c r="C14" s="336"/>
      <c r="E14" s="337"/>
      <c r="F14" s="337"/>
      <c r="G14" s="337"/>
      <c r="H14" s="337"/>
      <c r="I14" s="337"/>
      <c r="J14" s="337"/>
      <c r="K14" s="337"/>
      <c r="L14" s="337"/>
      <c r="M14" s="337"/>
      <c r="N14" s="337"/>
      <c r="O14" s="337"/>
      <c r="P14" s="337"/>
      <c r="Q14" s="337"/>
      <c r="R14" s="337"/>
      <c r="S14" s="337"/>
      <c r="T14" s="337"/>
      <c r="U14" s="337"/>
    </row>
    <row r="15" spans="2:21">
      <c r="C15" s="333" t="s">
        <v>308</v>
      </c>
      <c r="D15" s="334">
        <v>2017</v>
      </c>
      <c r="E15" s="334">
        <v>2018</v>
      </c>
      <c r="F15" s="334">
        <v>2019</v>
      </c>
      <c r="G15" s="334">
        <v>2020</v>
      </c>
      <c r="H15" s="334">
        <v>2021</v>
      </c>
      <c r="I15" s="334">
        <v>2022</v>
      </c>
      <c r="J15" s="334">
        <v>2023</v>
      </c>
      <c r="K15" s="334">
        <v>2024</v>
      </c>
      <c r="L15" s="334">
        <v>2025</v>
      </c>
      <c r="M15" s="334">
        <v>2026</v>
      </c>
      <c r="N15" s="334">
        <v>2027</v>
      </c>
      <c r="O15" s="334">
        <v>2028</v>
      </c>
      <c r="P15" s="334">
        <v>2029</v>
      </c>
      <c r="Q15" s="334">
        <v>2030</v>
      </c>
      <c r="R15" s="334">
        <v>2031</v>
      </c>
      <c r="S15" s="334">
        <v>2032</v>
      </c>
      <c r="T15" s="334">
        <v>2033</v>
      </c>
      <c r="U15" s="334">
        <v>2034</v>
      </c>
    </row>
    <row r="16" spans="2:21">
      <c r="C16" s="349" t="s">
        <v>309</v>
      </c>
      <c r="D16" s="336"/>
      <c r="E16" s="350">
        <f>(E17/D17)-1</f>
        <v>-4.7756410256408754E-3</v>
      </c>
      <c r="F16" s="350">
        <f t="shared" ref="F16:U16" si="2">(F17/E17)-1</f>
        <v>-1.1400599014524837E-2</v>
      </c>
      <c r="G16" s="350">
        <f t="shared" si="2"/>
        <v>2.4595237319611218E-3</v>
      </c>
      <c r="H16" s="350">
        <f t="shared" si="2"/>
        <v>1.4802177268665062E-2</v>
      </c>
      <c r="I16" s="350">
        <f t="shared" si="2"/>
        <v>2.1567183297041215E-2</v>
      </c>
      <c r="J16" s="350">
        <f t="shared" si="2"/>
        <v>2.5876526182154524E-2</v>
      </c>
      <c r="K16" s="350">
        <f t="shared" si="2"/>
        <v>1.5491795764964733E-2</v>
      </c>
      <c r="L16" s="350">
        <f t="shared" si="2"/>
        <v>9.6587831738579322E-3</v>
      </c>
      <c r="M16" s="350">
        <f t="shared" si="2"/>
        <v>1.4999999999999902E-2</v>
      </c>
      <c r="N16" s="350">
        <f t="shared" si="2"/>
        <v>1.4999999999999902E-2</v>
      </c>
      <c r="O16" s="350">
        <f t="shared" si="2"/>
        <v>1.4999999999999902E-2</v>
      </c>
      <c r="P16" s="350">
        <f t="shared" si="2"/>
        <v>1.4999999999999902E-2</v>
      </c>
      <c r="Q16" s="350">
        <f t="shared" si="2"/>
        <v>1.4999999999999902E-2</v>
      </c>
      <c r="R16" s="350">
        <f t="shared" si="2"/>
        <v>1.4999999999999902E-2</v>
      </c>
      <c r="S16" s="350">
        <f t="shared" si="2"/>
        <v>1.4999999999999902E-2</v>
      </c>
      <c r="T16" s="350">
        <f t="shared" si="2"/>
        <v>1.4999999999999902E-2</v>
      </c>
      <c r="U16" s="350">
        <f t="shared" si="2"/>
        <v>1.4999999999999902E-2</v>
      </c>
    </row>
    <row r="17" spans="3:21">
      <c r="C17" s="351" t="s">
        <v>310</v>
      </c>
      <c r="D17" s="337">
        <f>D3</f>
        <v>52</v>
      </c>
      <c r="E17" s="338">
        <f>IF($D$8=1,E3,IF($D$8=2,E4,IF($D$8+3,E5,E5)))</f>
        <v>51.751666666666672</v>
      </c>
      <c r="F17" s="338">
        <f t="shared" ref="F17:U17" si="3">IF($D$8=1,F3,IF($D$8=2,F4,IF($D$8+3,F5,F5)))</f>
        <v>51.161666666666655</v>
      </c>
      <c r="G17" s="338">
        <f t="shared" si="3"/>
        <v>51.287500000000001</v>
      </c>
      <c r="H17" s="338">
        <f t="shared" si="3"/>
        <v>52.04666666666666</v>
      </c>
      <c r="I17" s="338">
        <f t="shared" si="3"/>
        <v>53.169166666666662</v>
      </c>
      <c r="J17" s="338">
        <f t="shared" si="3"/>
        <v>54.545000000000002</v>
      </c>
      <c r="K17" s="338">
        <f t="shared" si="3"/>
        <v>55.39</v>
      </c>
      <c r="L17" s="338">
        <f t="shared" si="3"/>
        <v>55.924999999999997</v>
      </c>
      <c r="M17" s="338">
        <f t="shared" si="3"/>
        <v>56.763874999999992</v>
      </c>
      <c r="N17" s="338">
        <f t="shared" si="3"/>
        <v>57.615333124999985</v>
      </c>
      <c r="O17" s="338">
        <f t="shared" si="3"/>
        <v>58.479563121874982</v>
      </c>
      <c r="P17" s="338">
        <f t="shared" si="3"/>
        <v>59.356756568703098</v>
      </c>
      <c r="Q17" s="338">
        <f t="shared" si="3"/>
        <v>60.247107917233642</v>
      </c>
      <c r="R17" s="338">
        <f t="shared" si="3"/>
        <v>61.15081453599214</v>
      </c>
      <c r="S17" s="338">
        <f t="shared" si="3"/>
        <v>62.068076754032013</v>
      </c>
      <c r="T17" s="338">
        <f t="shared" si="3"/>
        <v>62.999097905342488</v>
      </c>
      <c r="U17" s="338">
        <f t="shared" si="3"/>
        <v>63.944084373922621</v>
      </c>
    </row>
    <row r="18" spans="3:21">
      <c r="C18" s="351"/>
      <c r="D18" s="337"/>
      <c r="E18" s="338"/>
      <c r="F18" s="338"/>
      <c r="G18" s="338"/>
      <c r="H18" s="338"/>
      <c r="I18" s="338"/>
      <c r="J18" s="338"/>
      <c r="K18" s="338"/>
      <c r="L18" s="338"/>
      <c r="M18" s="338"/>
      <c r="N18" s="338"/>
      <c r="O18" s="338"/>
      <c r="P18" s="338"/>
      <c r="Q18" s="338"/>
      <c r="R18" s="338"/>
      <c r="S18" s="338"/>
      <c r="T18" s="338"/>
      <c r="U18" s="338"/>
    </row>
    <row r="19" spans="3:21">
      <c r="C19" s="351"/>
      <c r="D19" s="334">
        <v>2017</v>
      </c>
      <c r="E19" s="334">
        <v>2018</v>
      </c>
      <c r="F19" s="334">
        <v>2019</v>
      </c>
      <c r="G19" s="334">
        <v>2020</v>
      </c>
      <c r="H19" s="334">
        <v>2021</v>
      </c>
      <c r="I19" s="334">
        <v>2022</v>
      </c>
      <c r="J19" s="334">
        <v>2023</v>
      </c>
      <c r="K19" s="334">
        <v>2024</v>
      </c>
      <c r="L19" s="334">
        <v>2025</v>
      </c>
      <c r="M19" s="334">
        <v>2026</v>
      </c>
      <c r="N19" s="334">
        <v>2027</v>
      </c>
      <c r="O19" s="334">
        <v>2028</v>
      </c>
      <c r="P19" s="334">
        <v>2029</v>
      </c>
      <c r="Q19" s="334">
        <v>2030</v>
      </c>
      <c r="R19" s="334">
        <v>2031</v>
      </c>
      <c r="S19" s="334">
        <v>2032</v>
      </c>
      <c r="T19" s="334">
        <v>2033</v>
      </c>
      <c r="U19" s="334">
        <v>2034</v>
      </c>
    </row>
    <row r="20" spans="3:21">
      <c r="C20" s="352" t="s">
        <v>311</v>
      </c>
      <c r="D20" s="352"/>
      <c r="E20" s="338">
        <f>E17+'[9]Key Assumptions'!$C$27</f>
        <v>54.751666666666672</v>
      </c>
      <c r="F20" s="338">
        <f>F17+'[9]Key Assumptions'!$C$27</f>
        <v>54.161666666666655</v>
      </c>
      <c r="G20" s="338">
        <f>G17+'[9]Key Assumptions'!$C$27</f>
        <v>54.287500000000001</v>
      </c>
      <c r="H20" s="338">
        <f>H17+'[9]Key Assumptions'!$C$27</f>
        <v>55.04666666666666</v>
      </c>
      <c r="I20" s="338">
        <f>I17+'[9]Key Assumptions'!$C$27</f>
        <v>56.169166666666662</v>
      </c>
      <c r="J20" s="338">
        <f>J17+'[9]Key Assumptions'!$C$27</f>
        <v>57.545000000000002</v>
      </c>
      <c r="K20" s="338">
        <f>K17+'[9]Key Assumptions'!$C$27</f>
        <v>58.39</v>
      </c>
      <c r="L20" s="338">
        <f>L17+'[9]Key Assumptions'!$C$27</f>
        <v>58.924999999999997</v>
      </c>
      <c r="M20" s="338">
        <f>M17+'[9]Key Assumptions'!$C$27</f>
        <v>59.763874999999992</v>
      </c>
      <c r="N20" s="338">
        <f>N17+'[9]Key Assumptions'!$C$27</f>
        <v>60.615333124999985</v>
      </c>
      <c r="O20" s="338">
        <f>O17+'[9]Key Assumptions'!$C$27</f>
        <v>61.479563121874982</v>
      </c>
      <c r="P20" s="338">
        <f>P17+'[9]Key Assumptions'!$C$27</f>
        <v>62.356756568703098</v>
      </c>
      <c r="Q20" s="338">
        <f>Q17+'[9]Key Assumptions'!$C$27</f>
        <v>63.247107917233642</v>
      </c>
      <c r="R20" s="338">
        <f>R17+'[9]Key Assumptions'!$C$27</f>
        <v>64.15081453599214</v>
      </c>
      <c r="S20" s="338">
        <f>S17+'[9]Key Assumptions'!$C$27</f>
        <v>65.068076754032006</v>
      </c>
      <c r="T20" s="338">
        <f>T17+'[9]Key Assumptions'!$C$27</f>
        <v>65.999097905342495</v>
      </c>
      <c r="U20" s="338">
        <f>U17+'[9]Key Assumptions'!$C$27</f>
        <v>66.944084373922621</v>
      </c>
    </row>
    <row r="21" spans="3:21">
      <c r="C21" s="352" t="s">
        <v>312</v>
      </c>
      <c r="D21" s="352"/>
      <c r="E21" s="337">
        <f>E20/42</f>
        <v>1.3036111111111113</v>
      </c>
      <c r="F21" s="337">
        <f t="shared" ref="F21:U21" si="4">F20/42</f>
        <v>1.2895634920634917</v>
      </c>
      <c r="G21" s="337">
        <f t="shared" si="4"/>
        <v>1.2925595238095238</v>
      </c>
      <c r="H21" s="337">
        <f t="shared" si="4"/>
        <v>1.3106349206349204</v>
      </c>
      <c r="I21" s="337">
        <f t="shared" si="4"/>
        <v>1.337361111111111</v>
      </c>
      <c r="J21" s="337">
        <f t="shared" si="4"/>
        <v>1.3701190476190477</v>
      </c>
      <c r="K21" s="337">
        <f t="shared" si="4"/>
        <v>1.3902380952380953</v>
      </c>
      <c r="L21" s="337">
        <f t="shared" si="4"/>
        <v>1.4029761904761904</v>
      </c>
      <c r="M21" s="337">
        <f t="shared" si="4"/>
        <v>1.4229494047619045</v>
      </c>
      <c r="N21" s="337">
        <f t="shared" si="4"/>
        <v>1.4432222172619045</v>
      </c>
      <c r="O21" s="337">
        <f t="shared" si="4"/>
        <v>1.4637991219494044</v>
      </c>
      <c r="P21" s="337">
        <f t="shared" si="4"/>
        <v>1.4846846802072167</v>
      </c>
      <c r="Q21" s="337">
        <f t="shared" si="4"/>
        <v>1.5058835218388962</v>
      </c>
      <c r="R21" s="337">
        <f t="shared" si="4"/>
        <v>1.5274003460950509</v>
      </c>
      <c r="S21" s="337">
        <f t="shared" si="4"/>
        <v>1.5492399227150477</v>
      </c>
      <c r="T21" s="337">
        <f t="shared" si="4"/>
        <v>1.5714070929843451</v>
      </c>
      <c r="U21" s="337">
        <f t="shared" si="4"/>
        <v>1.5939067708076815</v>
      </c>
    </row>
    <row r="22" spans="3:21">
      <c r="C22" s="352"/>
      <c r="D22" s="352"/>
      <c r="E22" s="337"/>
      <c r="F22" s="337"/>
      <c r="G22" s="337"/>
      <c r="H22" s="337"/>
      <c r="I22" s="337"/>
      <c r="J22" s="337"/>
      <c r="K22" s="337"/>
      <c r="L22" s="337"/>
      <c r="M22" s="337"/>
      <c r="N22" s="337"/>
      <c r="O22" s="337"/>
      <c r="P22" s="337"/>
      <c r="Q22" s="337"/>
      <c r="R22" s="337"/>
      <c r="S22" s="337"/>
      <c r="T22" s="337"/>
      <c r="U22" s="337"/>
    </row>
    <row r="23" spans="3:21">
      <c r="C23" s="352" t="s">
        <v>324</v>
      </c>
      <c r="E23" s="337">
        <f>(E17/42)+$D$10</f>
        <v>2.7321825396825399</v>
      </c>
      <c r="F23" s="337">
        <f t="shared" ref="F23:U23" si="5">(F17/42)+$D$10</f>
        <v>2.7181349206349203</v>
      </c>
      <c r="G23" s="337">
        <f t="shared" si="5"/>
        <v>2.7211309523809524</v>
      </c>
      <c r="H23" s="337">
        <f t="shared" si="5"/>
        <v>2.739206349206349</v>
      </c>
      <c r="I23" s="337">
        <f t="shared" si="5"/>
        <v>2.7659325396825398</v>
      </c>
      <c r="J23" s="337">
        <f t="shared" si="5"/>
        <v>2.7986904761904761</v>
      </c>
      <c r="K23" s="337">
        <f t="shared" si="5"/>
        <v>2.8188095238095237</v>
      </c>
      <c r="L23" s="337">
        <f t="shared" si="5"/>
        <v>2.831547619047619</v>
      </c>
      <c r="M23" s="337">
        <f t="shared" si="5"/>
        <v>2.8515208333333328</v>
      </c>
      <c r="N23" s="337">
        <f t="shared" si="5"/>
        <v>2.8717936458333329</v>
      </c>
      <c r="O23" s="337">
        <f t="shared" si="5"/>
        <v>2.892370550520833</v>
      </c>
      <c r="P23" s="337">
        <f t="shared" si="5"/>
        <v>2.9132561087786453</v>
      </c>
      <c r="Q23" s="337">
        <f t="shared" si="5"/>
        <v>2.9344549504103248</v>
      </c>
      <c r="R23" s="337">
        <f t="shared" si="5"/>
        <v>2.9559717746664793</v>
      </c>
      <c r="S23" s="337">
        <f t="shared" si="5"/>
        <v>2.9778113512864763</v>
      </c>
      <c r="T23" s="337">
        <f t="shared" si="5"/>
        <v>2.9999785215557733</v>
      </c>
      <c r="U23" s="337">
        <f t="shared" si="5"/>
        <v>3.0224781993791101</v>
      </c>
    </row>
    <row r="24" spans="3:21">
      <c r="C24" s="352"/>
      <c r="E24" s="337"/>
      <c r="F24" s="337"/>
      <c r="G24" s="337"/>
      <c r="H24" s="337"/>
      <c r="I24" s="337"/>
      <c r="J24" s="337"/>
      <c r="K24" s="337"/>
      <c r="L24" s="337"/>
      <c r="M24" s="337"/>
      <c r="N24" s="337"/>
      <c r="O24" s="337"/>
      <c r="P24" s="337"/>
      <c r="Q24" s="337"/>
      <c r="R24" s="337"/>
      <c r="S24" s="337"/>
      <c r="T24" s="337"/>
      <c r="U24" s="337"/>
    </row>
    <row r="25" spans="3:21">
      <c r="C25" s="353" t="s">
        <v>313</v>
      </c>
      <c r="D25" s="334">
        <v>2017</v>
      </c>
      <c r="E25" s="334">
        <v>2018</v>
      </c>
      <c r="F25" s="334">
        <v>2019</v>
      </c>
      <c r="G25" s="334">
        <v>2020</v>
      </c>
      <c r="H25" s="334">
        <v>2021</v>
      </c>
      <c r="I25" s="334">
        <v>2022</v>
      </c>
      <c r="J25" s="334">
        <v>2023</v>
      </c>
      <c r="K25" s="334">
        <v>2024</v>
      </c>
      <c r="L25" s="334">
        <v>2025</v>
      </c>
      <c r="M25" s="334">
        <v>2026</v>
      </c>
      <c r="N25" s="334">
        <v>2027</v>
      </c>
      <c r="O25" s="334">
        <v>2028</v>
      </c>
      <c r="P25" s="334">
        <v>2029</v>
      </c>
      <c r="Q25" s="334">
        <v>2030</v>
      </c>
      <c r="R25" s="334">
        <v>2031</v>
      </c>
      <c r="S25" s="334">
        <v>2032</v>
      </c>
      <c r="T25" s="334">
        <v>2033</v>
      </c>
      <c r="U25" s="334">
        <v>2034</v>
      </c>
    </row>
    <row r="26" spans="3:21">
      <c r="C26" s="352" t="s">
        <v>314</v>
      </c>
      <c r="D26" s="337">
        <f>AVERAGE('[9]Vertex''s WTI &amp; Commodity price'!AH18:AR18)</f>
        <v>2.7538243451463789</v>
      </c>
      <c r="E26" s="337">
        <f>D26+D26*E16</f>
        <v>2.7406730686262892</v>
      </c>
      <c r="F26" s="337">
        <f t="shared" ref="F26:T26" si="6">E26+E26*F16</f>
        <v>2.7094277539409735</v>
      </c>
      <c r="G26" s="337">
        <f t="shared" si="6"/>
        <v>2.7160916558018253</v>
      </c>
      <c r="H26" s="337">
        <f t="shared" si="6"/>
        <v>2.756295725968946</v>
      </c>
      <c r="I26" s="337">
        <f t="shared" si="6"/>
        <v>2.8157412611117696</v>
      </c>
      <c r="J26" s="337">
        <f t="shared" si="6"/>
        <v>2.8886028635771011</v>
      </c>
      <c r="K26" s="337">
        <f t="shared" si="6"/>
        <v>2.9333525091857298</v>
      </c>
      <c r="L26" s="337">
        <f t="shared" si="6"/>
        <v>2.9616851250444469</v>
      </c>
      <c r="M26" s="337">
        <f t="shared" si="6"/>
        <v>3.0061104019201133</v>
      </c>
      <c r="N26" s="337">
        <f t="shared" si="6"/>
        <v>3.0512020579489145</v>
      </c>
      <c r="O26" s="337">
        <f t="shared" si="6"/>
        <v>3.0969700888181482</v>
      </c>
      <c r="P26" s="337">
        <f t="shared" si="6"/>
        <v>3.1434246401504202</v>
      </c>
      <c r="Q26" s="337">
        <f t="shared" si="6"/>
        <v>3.1905760097526761</v>
      </c>
      <c r="R26" s="337">
        <f t="shared" si="6"/>
        <v>3.238434649898966</v>
      </c>
      <c r="S26" s="337">
        <f t="shared" si="6"/>
        <v>3.28701116964745</v>
      </c>
      <c r="T26" s="337">
        <f t="shared" si="6"/>
        <v>3.3363163371921614</v>
      </c>
      <c r="U26" s="337">
        <f>T26+T26*U16</f>
        <v>3.3863610822500436</v>
      </c>
    </row>
    <row r="27" spans="3:21">
      <c r="C27" s="352" t="s">
        <v>315</v>
      </c>
      <c r="D27" s="337">
        <f>AVERAGE('[9]Vertex''s WTI &amp; Commodity price'!AH19:AR19)</f>
        <v>2.7538243451463789</v>
      </c>
      <c r="E27" s="337">
        <f>D27+D27*E16</f>
        <v>2.7406730686262892</v>
      </c>
      <c r="F27" s="337">
        <f t="shared" ref="F27:U27" si="7">E27+E27*F16</f>
        <v>2.7094277539409735</v>
      </c>
      <c r="G27" s="337">
        <f t="shared" si="7"/>
        <v>2.7160916558018253</v>
      </c>
      <c r="H27" s="337">
        <f t="shared" si="7"/>
        <v>2.756295725968946</v>
      </c>
      <c r="I27" s="337">
        <f t="shared" si="7"/>
        <v>2.8157412611117696</v>
      </c>
      <c r="J27" s="337">
        <f t="shared" si="7"/>
        <v>2.8886028635771011</v>
      </c>
      <c r="K27" s="337">
        <f t="shared" si="7"/>
        <v>2.9333525091857298</v>
      </c>
      <c r="L27" s="337">
        <f t="shared" si="7"/>
        <v>2.9616851250444469</v>
      </c>
      <c r="M27" s="337">
        <f t="shared" si="7"/>
        <v>3.0061104019201133</v>
      </c>
      <c r="N27" s="337">
        <f t="shared" si="7"/>
        <v>3.0512020579489145</v>
      </c>
      <c r="O27" s="337">
        <f t="shared" si="7"/>
        <v>3.0969700888181482</v>
      </c>
      <c r="P27" s="337">
        <f t="shared" si="7"/>
        <v>3.1434246401504202</v>
      </c>
      <c r="Q27" s="337">
        <f t="shared" si="7"/>
        <v>3.1905760097526761</v>
      </c>
      <c r="R27" s="337">
        <f t="shared" si="7"/>
        <v>3.238434649898966</v>
      </c>
      <c r="S27" s="337">
        <f t="shared" si="7"/>
        <v>3.28701116964745</v>
      </c>
      <c r="T27" s="337">
        <f t="shared" si="7"/>
        <v>3.3363163371921614</v>
      </c>
      <c r="U27" s="337">
        <f t="shared" si="7"/>
        <v>3.3863610822500436</v>
      </c>
    </row>
    <row r="28" spans="3:21">
      <c r="C28" s="353" t="s">
        <v>316</v>
      </c>
      <c r="D28" s="346">
        <f>AVERAGE('[9]Vertex''s WTI &amp; Commodity price'!AH20:AR20)</f>
        <v>2.844943533037251</v>
      </c>
      <c r="E28" s="346">
        <f>D28+D28*E16</f>
        <v>2.8313571039852468</v>
      </c>
      <c r="F28" s="346">
        <f t="shared" ref="F28:U28" si="8">E28+E28*F16</f>
        <v>2.7990779369757846</v>
      </c>
      <c r="G28" s="346">
        <f t="shared" si="8"/>
        <v>2.8059623355893852</v>
      </c>
      <c r="H28" s="346">
        <f t="shared" si="8"/>
        <v>2.847496687489977</v>
      </c>
      <c r="I28" s="346">
        <f t="shared" si="8"/>
        <v>2.9089091704867909</v>
      </c>
      <c r="J28" s="346">
        <f t="shared" si="8"/>
        <v>2.9841816347984018</v>
      </c>
      <c r="K28" s="346">
        <f t="shared" si="8"/>
        <v>3.0304119672102572</v>
      </c>
      <c r="L28" s="346">
        <f t="shared" si="8"/>
        <v>3.0596820593290053</v>
      </c>
      <c r="M28" s="346">
        <f t="shared" si="8"/>
        <v>3.1055772902189402</v>
      </c>
      <c r="N28" s="346">
        <f t="shared" si="8"/>
        <v>3.1521609495722243</v>
      </c>
      <c r="O28" s="346">
        <f t="shared" si="8"/>
        <v>3.1994433638158073</v>
      </c>
      <c r="P28" s="346">
        <f t="shared" si="8"/>
        <v>3.2474350142730439</v>
      </c>
      <c r="Q28" s="346">
        <f t="shared" si="8"/>
        <v>3.2961465394871392</v>
      </c>
      <c r="R28" s="346">
        <f t="shared" si="8"/>
        <v>3.3455887375794457</v>
      </c>
      <c r="S28" s="346">
        <f t="shared" si="8"/>
        <v>3.395772568643137</v>
      </c>
      <c r="T28" s="346">
        <f t="shared" si="8"/>
        <v>3.4467091571727839</v>
      </c>
      <c r="U28" s="346">
        <f t="shared" si="8"/>
        <v>3.4984097945303754</v>
      </c>
    </row>
    <row r="29" spans="3:21">
      <c r="C29" s="352" t="s">
        <v>317</v>
      </c>
      <c r="D29" s="337">
        <f>AVERAGE(D26:D28)</f>
        <v>2.7841974077766696</v>
      </c>
      <c r="E29" s="337">
        <f t="shared" ref="E29:U29" si="9">AVERAGE(E26:E28)</f>
        <v>2.7709010804126084</v>
      </c>
      <c r="F29" s="337">
        <f t="shared" si="9"/>
        <v>2.7393111482859105</v>
      </c>
      <c r="G29" s="337">
        <f t="shared" si="9"/>
        <v>2.7460485490643456</v>
      </c>
      <c r="H29" s="337">
        <f t="shared" si="9"/>
        <v>2.7866960464759565</v>
      </c>
      <c r="I29" s="337">
        <f t="shared" si="9"/>
        <v>2.8467972309034431</v>
      </c>
      <c r="J29" s="337">
        <f t="shared" si="9"/>
        <v>2.9204624539842015</v>
      </c>
      <c r="K29" s="337">
        <f t="shared" si="9"/>
        <v>2.9657056618605719</v>
      </c>
      <c r="L29" s="337">
        <f t="shared" si="9"/>
        <v>2.9943507698059668</v>
      </c>
      <c r="M29" s="337">
        <f t="shared" si="9"/>
        <v>3.0392660313530553</v>
      </c>
      <c r="N29" s="337">
        <f t="shared" si="9"/>
        <v>3.0848550218233513</v>
      </c>
      <c r="O29" s="337">
        <f t="shared" si="9"/>
        <v>3.1311278471507009</v>
      </c>
      <c r="P29" s="337">
        <f t="shared" si="9"/>
        <v>3.1780947648579616</v>
      </c>
      <c r="Q29" s="337">
        <f t="shared" si="9"/>
        <v>3.2257661863308305</v>
      </c>
      <c r="R29" s="337">
        <f t="shared" si="9"/>
        <v>3.2741526791257924</v>
      </c>
      <c r="S29" s="337">
        <f t="shared" si="9"/>
        <v>3.3232649693126795</v>
      </c>
      <c r="T29" s="337">
        <f t="shared" si="9"/>
        <v>3.3731139438523687</v>
      </c>
      <c r="U29" s="337">
        <f t="shared" si="9"/>
        <v>3.4237106530101542</v>
      </c>
    </row>
    <row r="30" spans="3:21">
      <c r="C30" s="352"/>
      <c r="D30" s="337"/>
      <c r="E30" s="337"/>
      <c r="F30" s="337"/>
      <c r="G30" s="337"/>
      <c r="H30" s="337"/>
      <c r="I30" s="337"/>
      <c r="J30" s="337"/>
      <c r="K30" s="337"/>
      <c r="L30" s="337"/>
      <c r="M30" s="337"/>
      <c r="N30" s="337"/>
      <c r="O30" s="337"/>
      <c r="P30" s="337"/>
      <c r="Q30" s="337"/>
      <c r="R30" s="337"/>
      <c r="S30" s="337"/>
      <c r="T30" s="337"/>
      <c r="U30" s="337"/>
    </row>
    <row r="31" spans="3:21">
      <c r="C31" s="353" t="s">
        <v>318</v>
      </c>
      <c r="D31" s="334">
        <v>2017</v>
      </c>
      <c r="E31" s="334">
        <v>2018</v>
      </c>
      <c r="F31" s="334">
        <v>2019</v>
      </c>
      <c r="G31" s="334">
        <v>2020</v>
      </c>
      <c r="H31" s="334">
        <v>2021</v>
      </c>
      <c r="I31" s="334">
        <v>2022</v>
      </c>
      <c r="J31" s="334">
        <v>2023</v>
      </c>
      <c r="K31" s="334">
        <v>2024</v>
      </c>
      <c r="L31" s="334">
        <v>2025</v>
      </c>
      <c r="M31" s="334">
        <v>2026</v>
      </c>
      <c r="N31" s="334">
        <v>2027</v>
      </c>
      <c r="O31" s="334">
        <v>2028</v>
      </c>
      <c r="P31" s="334">
        <v>2029</v>
      </c>
      <c r="Q31" s="334">
        <v>2030</v>
      </c>
      <c r="R31" s="334">
        <v>2031</v>
      </c>
      <c r="S31" s="334">
        <v>2032</v>
      </c>
      <c r="T31" s="334">
        <v>2033</v>
      </c>
      <c r="U31" s="334">
        <v>2034</v>
      </c>
    </row>
    <row r="32" spans="3:21">
      <c r="C32" s="352" t="s">
        <v>319</v>
      </c>
      <c r="D32" s="337">
        <v>1.35</v>
      </c>
      <c r="E32" s="337">
        <f>D32+D32*E16</f>
        <v>1.3435528846153848</v>
      </c>
      <c r="F32" s="337">
        <f t="shared" ref="F32:U32" si="10">E32+E32*F16</f>
        <v>1.3282355769230767</v>
      </c>
      <c r="G32" s="337">
        <f t="shared" si="10"/>
        <v>1.331502403846154</v>
      </c>
      <c r="H32" s="337">
        <f t="shared" si="10"/>
        <v>1.3512115384615384</v>
      </c>
      <c r="I32" s="337">
        <f t="shared" si="10"/>
        <v>1.3803533653846154</v>
      </c>
      <c r="J32" s="337">
        <f t="shared" si="10"/>
        <v>1.4160721153846154</v>
      </c>
      <c r="K32" s="337">
        <f t="shared" si="10"/>
        <v>1.4380096153846154</v>
      </c>
      <c r="L32" s="337">
        <f t="shared" si="10"/>
        <v>1.4518990384615382</v>
      </c>
      <c r="M32" s="337">
        <f t="shared" si="10"/>
        <v>1.4736775240384612</v>
      </c>
      <c r="N32" s="337">
        <f t="shared" si="10"/>
        <v>1.495782686899038</v>
      </c>
      <c r="O32" s="337">
        <f t="shared" si="10"/>
        <v>1.5182194272025236</v>
      </c>
      <c r="P32" s="337">
        <f t="shared" si="10"/>
        <v>1.5409927186105612</v>
      </c>
      <c r="Q32" s="337">
        <f t="shared" si="10"/>
        <v>1.5641076093897195</v>
      </c>
      <c r="R32" s="337">
        <f t="shared" si="10"/>
        <v>1.5875692235305652</v>
      </c>
      <c r="S32" s="337">
        <f t="shared" si="10"/>
        <v>1.6113827618835235</v>
      </c>
      <c r="T32" s="337">
        <f t="shared" si="10"/>
        <v>1.6355535033117761</v>
      </c>
      <c r="U32" s="337">
        <f t="shared" si="10"/>
        <v>1.6600868058614526</v>
      </c>
    </row>
    <row r="33" spans="3:21">
      <c r="C33" s="352" t="s">
        <v>320</v>
      </c>
      <c r="E33" s="337">
        <f>AVERAGE('[9]Vertex''s WTI &amp; Commodity price'!AH22:AR22)</f>
        <v>423.0869090909091</v>
      </c>
      <c r="F33" s="354">
        <f>E33+E33*F16</f>
        <v>418.26346489206895</v>
      </c>
      <c r="G33" s="354">
        <f t="shared" ref="G33:U33" si="11">F33+F33*G16</f>
        <v>419.29219381018328</v>
      </c>
      <c r="H33" s="354">
        <f t="shared" si="11"/>
        <v>425.49863119032909</v>
      </c>
      <c r="I33" s="354">
        <f t="shared" si="11"/>
        <v>434.67543816185105</v>
      </c>
      <c r="J33" s="354">
        <f t="shared" si="11"/>
        <v>445.92332851818566</v>
      </c>
      <c r="K33" s="354">
        <f t="shared" si="11"/>
        <v>452.83148165042269</v>
      </c>
      <c r="L33" s="354">
        <f t="shared" si="11"/>
        <v>457.20528274598092</v>
      </c>
      <c r="M33" s="354">
        <f t="shared" si="11"/>
        <v>464.06336198717059</v>
      </c>
      <c r="N33" s="354">
        <f t="shared" si="11"/>
        <v>471.02431241697809</v>
      </c>
      <c r="O33" s="354">
        <f t="shared" si="11"/>
        <v>478.0896771032327</v>
      </c>
      <c r="P33" s="354">
        <f t="shared" si="11"/>
        <v>485.26102225978116</v>
      </c>
      <c r="Q33" s="354">
        <f t="shared" si="11"/>
        <v>492.53993759367785</v>
      </c>
      <c r="R33" s="354">
        <f t="shared" si="11"/>
        <v>499.92803665758299</v>
      </c>
      <c r="S33" s="354">
        <f t="shared" si="11"/>
        <v>507.42695720744666</v>
      </c>
      <c r="T33" s="354">
        <f t="shared" si="11"/>
        <v>515.03836156555826</v>
      </c>
      <c r="U33" s="354">
        <f t="shared" si="11"/>
        <v>522.76393698904155</v>
      </c>
    </row>
    <row r="34" spans="3:21">
      <c r="C34" s="336" t="s">
        <v>321</v>
      </c>
      <c r="E34" s="337">
        <f t="shared" ref="E34:U34" si="12">(E33*0.66/1000*3.785)</f>
        <v>1.0569134076000002</v>
      </c>
      <c r="F34" s="337">
        <f t="shared" si="12"/>
        <v>1.0448639616468776</v>
      </c>
      <c r="G34" s="337">
        <f t="shared" si="12"/>
        <v>1.047433829357219</v>
      </c>
      <c r="H34" s="337">
        <f t="shared" si="12"/>
        <v>1.0629381305765613</v>
      </c>
      <c r="I34" s="337">
        <f t="shared" si="12"/>
        <v>1.08586271207212</v>
      </c>
      <c r="J34" s="337">
        <f t="shared" si="12"/>
        <v>1.1139610669712798</v>
      </c>
      <c r="K34" s="337">
        <f t="shared" si="12"/>
        <v>1.1312183243109211</v>
      </c>
      <c r="L34" s="337">
        <f t="shared" si="12"/>
        <v>1.1421445168277351</v>
      </c>
      <c r="M34" s="337">
        <f t="shared" si="12"/>
        <v>1.1592766845801508</v>
      </c>
      <c r="N34" s="337">
        <f t="shared" si="12"/>
        <v>1.176665834848853</v>
      </c>
      <c r="O34" s="337">
        <f t="shared" si="12"/>
        <v>1.1943158223715857</v>
      </c>
      <c r="P34" s="337">
        <f t="shared" si="12"/>
        <v>1.2122305597071594</v>
      </c>
      <c r="Q34" s="337">
        <f t="shared" si="12"/>
        <v>1.2304140181027667</v>
      </c>
      <c r="R34" s="337">
        <f t="shared" si="12"/>
        <v>1.2488702283743083</v>
      </c>
      <c r="S34" s="337">
        <f t="shared" si="12"/>
        <v>1.2676032817999225</v>
      </c>
      <c r="T34" s="337">
        <f t="shared" si="12"/>
        <v>1.2866173310269211</v>
      </c>
      <c r="U34" s="337">
        <f t="shared" si="12"/>
        <v>1.3059165909923247</v>
      </c>
    </row>
    <row r="36" spans="3:21" ht="15.75" thickBot="1">
      <c r="C36" s="336"/>
      <c r="D36" s="334">
        <v>2017</v>
      </c>
      <c r="E36" s="334">
        <v>2018</v>
      </c>
      <c r="F36" s="334">
        <v>2019</v>
      </c>
      <c r="G36" s="334">
        <v>2020</v>
      </c>
      <c r="H36" s="334">
        <v>2021</v>
      </c>
      <c r="I36" s="334">
        <v>2022</v>
      </c>
      <c r="J36" s="334">
        <v>2023</v>
      </c>
      <c r="K36" s="334">
        <v>2024</v>
      </c>
      <c r="L36" s="334">
        <v>2025</v>
      </c>
      <c r="M36" s="334">
        <v>2026</v>
      </c>
      <c r="N36" s="334">
        <v>2027</v>
      </c>
      <c r="O36" s="334">
        <v>2028</v>
      </c>
      <c r="P36" s="334">
        <v>2029</v>
      </c>
      <c r="Q36" s="334">
        <v>2030</v>
      </c>
      <c r="R36" s="334">
        <v>2031</v>
      </c>
      <c r="S36" s="334">
        <v>2032</v>
      </c>
      <c r="T36" s="334">
        <v>2033</v>
      </c>
      <c r="U36" s="334">
        <v>2034</v>
      </c>
    </row>
    <row r="37" spans="3:21" ht="15.75" thickBot="1">
      <c r="C37" s="355" t="s">
        <v>322</v>
      </c>
      <c r="D37" s="356"/>
      <c r="E37" s="357">
        <f>IF($D$9="A",E23,E29)</f>
        <v>2.7321825396825399</v>
      </c>
      <c r="F37" s="357">
        <f t="shared" ref="F37:U37" si="13">IF($D$9="a",F23,F29)</f>
        <v>2.7181349206349203</v>
      </c>
      <c r="G37" s="357">
        <f t="shared" si="13"/>
        <v>2.7211309523809524</v>
      </c>
      <c r="H37" s="357">
        <f t="shared" si="13"/>
        <v>2.739206349206349</v>
      </c>
      <c r="I37" s="357">
        <f t="shared" si="13"/>
        <v>2.7659325396825398</v>
      </c>
      <c r="J37" s="357">
        <f t="shared" si="13"/>
        <v>2.7986904761904761</v>
      </c>
      <c r="K37" s="357">
        <f t="shared" si="13"/>
        <v>2.8188095238095237</v>
      </c>
      <c r="L37" s="357">
        <f t="shared" si="13"/>
        <v>2.831547619047619</v>
      </c>
      <c r="M37" s="357">
        <f t="shared" si="13"/>
        <v>2.8515208333333328</v>
      </c>
      <c r="N37" s="357">
        <f t="shared" si="13"/>
        <v>2.8717936458333329</v>
      </c>
      <c r="O37" s="357">
        <f t="shared" si="13"/>
        <v>2.892370550520833</v>
      </c>
      <c r="P37" s="357">
        <f t="shared" si="13"/>
        <v>2.9132561087786453</v>
      </c>
      <c r="Q37" s="357">
        <f t="shared" si="13"/>
        <v>2.9344549504103248</v>
      </c>
      <c r="R37" s="357">
        <f t="shared" si="13"/>
        <v>2.9559717746664793</v>
      </c>
      <c r="S37" s="357">
        <f t="shared" si="13"/>
        <v>2.9778113512864763</v>
      </c>
      <c r="T37" s="357">
        <f t="shared" si="13"/>
        <v>2.9999785215557733</v>
      </c>
      <c r="U37" s="358">
        <f t="shared" si="13"/>
        <v>3.0224781993791101</v>
      </c>
    </row>
    <row r="38" spans="3:21">
      <c r="C38" s="376" t="s">
        <v>343</v>
      </c>
      <c r="E38" s="354">
        <f>E37*(1-'Key Assumptions'!$C$61)</f>
        <v>2.0491369047619048</v>
      </c>
      <c r="F38" s="354">
        <f>F37*(1-'Key Assumptions'!$C$61)</f>
        <v>2.0386011904761903</v>
      </c>
      <c r="G38" s="354">
        <f>G37*(1-'Key Assumptions'!$C$61)</f>
        <v>2.0408482142857141</v>
      </c>
      <c r="H38" s="354">
        <f>H37*(1-'Key Assumptions'!$C$61)</f>
        <v>2.0544047619047618</v>
      </c>
      <c r="I38" s="354">
        <f>I37*(1-'Key Assumptions'!$C$61)</f>
        <v>2.0744494047619049</v>
      </c>
      <c r="J38" s="354">
        <f>J37*(1-'Key Assumptions'!$C$61)</f>
        <v>2.099017857142857</v>
      </c>
      <c r="K38" s="354">
        <f>K37*(1-'Key Assumptions'!$C$61)</f>
        <v>2.1141071428571427</v>
      </c>
      <c r="L38" s="354">
        <f>L37*(1-'Key Assumptions'!$C$61)</f>
        <v>2.1236607142857142</v>
      </c>
      <c r="M38" s="354">
        <f>M37*(1-'Key Assumptions'!$C$61)</f>
        <v>2.1386406249999999</v>
      </c>
      <c r="N38" s="354">
        <f>N37*(1-'Key Assumptions'!$C$61)</f>
        <v>2.1538452343749999</v>
      </c>
      <c r="O38" s="354">
        <f>O37*(1-'Key Assumptions'!$C$61)</f>
        <v>2.1692779128906245</v>
      </c>
      <c r="P38" s="354">
        <f>P37*(1-'Key Assumptions'!$C$61)</f>
        <v>2.184942081583984</v>
      </c>
      <c r="Q38" s="354">
        <f>Q37*(1-'Key Assumptions'!$C$61)</f>
        <v>2.2008412128077435</v>
      </c>
      <c r="R38" s="354">
        <f>R37*(1-'Key Assumptions'!$C$61)</f>
        <v>2.2169788309998593</v>
      </c>
      <c r="S38" s="354">
        <f>S37*(1-'Key Assumptions'!$C$61)</f>
        <v>2.2333585134648573</v>
      </c>
      <c r="T38" s="354">
        <f>T37*(1-'Key Assumptions'!$C$61)</f>
        <v>2.24998389116683</v>
      </c>
      <c r="U38" s="354">
        <f>U37*(1-'Key Assumptions'!$C$61)</f>
        <v>2.2668586495343326</v>
      </c>
    </row>
  </sheetData>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5"/>
  <sheetViews>
    <sheetView zoomScale="125" zoomScaleNormal="125" zoomScalePageLayoutView="125" workbookViewId="0">
      <selection activeCell="D24" sqref="D24"/>
    </sheetView>
  </sheetViews>
  <sheetFormatPr defaultColWidth="8.85546875" defaultRowHeight="12.75"/>
  <cols>
    <col min="1" max="1" width="2.85546875" style="30" customWidth="1"/>
    <col min="2" max="2" width="40.85546875" style="30" customWidth="1"/>
    <col min="3" max="3" width="7.85546875" style="30" customWidth="1"/>
    <col min="4" max="5" width="11.85546875" style="30" bestFit="1" customWidth="1"/>
    <col min="6" max="6" width="1.85546875" style="30" customWidth="1"/>
    <col min="7" max="7" width="11.5703125" style="30" bestFit="1" customWidth="1"/>
    <col min="8" max="17" width="10.7109375" style="30" bestFit="1" customWidth="1"/>
    <col min="18" max="16384" width="8.85546875" style="30"/>
  </cols>
  <sheetData>
    <row r="1" spans="1:17" ht="15.75">
      <c r="A1" s="35" t="s">
        <v>114</v>
      </c>
    </row>
    <row r="3" spans="1:17" ht="13.5" thickBot="1"/>
    <row r="4" spans="1:17">
      <c r="A4" s="39">
        <v>1</v>
      </c>
      <c r="B4" s="40" t="s">
        <v>111</v>
      </c>
      <c r="C4" s="41" t="s">
        <v>115</v>
      </c>
      <c r="D4" s="41" t="s">
        <v>3</v>
      </c>
      <c r="E4" s="42" t="s">
        <v>1</v>
      </c>
      <c r="F4" s="32"/>
      <c r="G4" s="59" t="s">
        <v>21</v>
      </c>
      <c r="H4" s="63">
        <v>1</v>
      </c>
      <c r="I4" s="63">
        <v>2</v>
      </c>
      <c r="J4" s="63">
        <v>3</v>
      </c>
      <c r="K4" s="63">
        <v>4</v>
      </c>
      <c r="L4" s="63">
        <v>5</v>
      </c>
      <c r="M4" s="63">
        <v>6</v>
      </c>
      <c r="N4" s="63">
        <v>7</v>
      </c>
      <c r="O4" s="63">
        <v>8</v>
      </c>
      <c r="P4" s="63">
        <v>9</v>
      </c>
      <c r="Q4" s="63">
        <v>10</v>
      </c>
    </row>
    <row r="5" spans="1:17">
      <c r="A5" s="31"/>
      <c r="B5" s="75" t="s">
        <v>233</v>
      </c>
      <c r="C5" s="33">
        <v>1</v>
      </c>
      <c r="D5" s="36">
        <v>5000000</v>
      </c>
      <c r="E5" s="44">
        <f t="shared" ref="E5:E12" si="0">+D5*C5</f>
        <v>5000000</v>
      </c>
      <c r="F5" s="32"/>
      <c r="G5" s="60">
        <f>D5/10</f>
        <v>500000</v>
      </c>
      <c r="H5" s="64"/>
      <c r="I5" s="65">
        <f>G5</f>
        <v>500000</v>
      </c>
      <c r="J5" s="65">
        <f>J12</f>
        <v>500000</v>
      </c>
      <c r="K5" s="65">
        <f t="shared" ref="K5:Q5" si="1">J5</f>
        <v>500000</v>
      </c>
      <c r="L5" s="65">
        <f t="shared" si="1"/>
        <v>500000</v>
      </c>
      <c r="M5" s="65">
        <f t="shared" si="1"/>
        <v>500000</v>
      </c>
      <c r="N5" s="65">
        <f t="shared" si="1"/>
        <v>500000</v>
      </c>
      <c r="O5" s="65">
        <f t="shared" si="1"/>
        <v>500000</v>
      </c>
      <c r="P5" s="65">
        <f t="shared" si="1"/>
        <v>500000</v>
      </c>
      <c r="Q5" s="66">
        <f t="shared" si="1"/>
        <v>500000</v>
      </c>
    </row>
    <row r="6" spans="1:17">
      <c r="A6" s="31"/>
      <c r="B6" s="75" t="s">
        <v>212</v>
      </c>
      <c r="C6" s="33">
        <v>1</v>
      </c>
      <c r="D6" s="36">
        <f>1125000-70000</f>
        <v>1055000</v>
      </c>
      <c r="E6" s="44">
        <f t="shared" si="0"/>
        <v>1055000</v>
      </c>
      <c r="F6" s="32"/>
      <c r="G6" s="61">
        <f>E6/10</f>
        <v>105500</v>
      </c>
      <c r="H6" s="67">
        <f t="shared" ref="H6:I6" si="2">G6</f>
        <v>105500</v>
      </c>
      <c r="I6" s="68">
        <f t="shared" si="2"/>
        <v>105500</v>
      </c>
      <c r="J6" s="68">
        <f t="shared" ref="J6:Q6" si="3">I6</f>
        <v>105500</v>
      </c>
      <c r="K6" s="68">
        <f t="shared" si="3"/>
        <v>105500</v>
      </c>
      <c r="L6" s="68">
        <f t="shared" si="3"/>
        <v>105500</v>
      </c>
      <c r="M6" s="68">
        <f t="shared" si="3"/>
        <v>105500</v>
      </c>
      <c r="N6" s="68">
        <f t="shared" si="3"/>
        <v>105500</v>
      </c>
      <c r="O6" s="68">
        <f t="shared" si="3"/>
        <v>105500</v>
      </c>
      <c r="P6" s="68">
        <f t="shared" si="3"/>
        <v>105500</v>
      </c>
      <c r="Q6" s="69">
        <f t="shared" si="3"/>
        <v>105500</v>
      </c>
    </row>
    <row r="7" spans="1:17">
      <c r="A7" s="31"/>
      <c r="B7" s="75" t="s">
        <v>106</v>
      </c>
      <c r="C7" s="33">
        <v>1</v>
      </c>
      <c r="D7" s="36">
        <v>100000</v>
      </c>
      <c r="E7" s="44">
        <f t="shared" si="0"/>
        <v>100000</v>
      </c>
      <c r="F7" s="32"/>
      <c r="G7" s="61">
        <f t="shared" ref="G7:G12" si="4">E7/10</f>
        <v>10000</v>
      </c>
      <c r="H7" s="67">
        <f t="shared" ref="H7:I7" si="5">G7</f>
        <v>10000</v>
      </c>
      <c r="I7" s="68">
        <f t="shared" si="5"/>
        <v>10000</v>
      </c>
      <c r="J7" s="68">
        <f t="shared" ref="J7:Q7" si="6">I7</f>
        <v>10000</v>
      </c>
      <c r="K7" s="68">
        <f t="shared" si="6"/>
        <v>10000</v>
      </c>
      <c r="L7" s="68">
        <f t="shared" si="6"/>
        <v>10000</v>
      </c>
      <c r="M7" s="68">
        <f t="shared" si="6"/>
        <v>10000</v>
      </c>
      <c r="N7" s="68">
        <f t="shared" si="6"/>
        <v>10000</v>
      </c>
      <c r="O7" s="68">
        <f t="shared" si="6"/>
        <v>10000</v>
      </c>
      <c r="P7" s="68">
        <f t="shared" si="6"/>
        <v>10000</v>
      </c>
      <c r="Q7" s="69">
        <f t="shared" si="6"/>
        <v>10000</v>
      </c>
    </row>
    <row r="8" spans="1:17">
      <c r="A8" s="32"/>
      <c r="B8" s="75" t="s">
        <v>104</v>
      </c>
      <c r="C8" s="33">
        <v>2</v>
      </c>
      <c r="D8" s="36">
        <v>80000</v>
      </c>
      <c r="E8" s="44">
        <f t="shared" si="0"/>
        <v>160000</v>
      </c>
      <c r="F8" s="31"/>
      <c r="G8" s="61">
        <f t="shared" si="4"/>
        <v>16000</v>
      </c>
      <c r="H8" s="67">
        <f t="shared" ref="H8:I8" si="7">G8</f>
        <v>16000</v>
      </c>
      <c r="I8" s="68">
        <f t="shared" si="7"/>
        <v>16000</v>
      </c>
      <c r="J8" s="68">
        <f t="shared" ref="J8:Q8" si="8">I8</f>
        <v>16000</v>
      </c>
      <c r="K8" s="68">
        <f t="shared" si="8"/>
        <v>16000</v>
      </c>
      <c r="L8" s="68">
        <f t="shared" si="8"/>
        <v>16000</v>
      </c>
      <c r="M8" s="68">
        <f t="shared" si="8"/>
        <v>16000</v>
      </c>
      <c r="N8" s="68">
        <f t="shared" si="8"/>
        <v>16000</v>
      </c>
      <c r="O8" s="68">
        <f t="shared" si="8"/>
        <v>16000</v>
      </c>
      <c r="P8" s="68">
        <f t="shared" si="8"/>
        <v>16000</v>
      </c>
      <c r="Q8" s="69">
        <f t="shared" si="8"/>
        <v>16000</v>
      </c>
    </row>
    <row r="9" spans="1:17">
      <c r="A9" s="31"/>
      <c r="B9" s="75" t="s">
        <v>105</v>
      </c>
      <c r="C9" s="73">
        <v>1</v>
      </c>
      <c r="D9" s="36">
        <v>150000</v>
      </c>
      <c r="E9" s="44">
        <f t="shared" si="0"/>
        <v>150000</v>
      </c>
      <c r="F9" s="31"/>
      <c r="G9" s="61">
        <f t="shared" si="4"/>
        <v>15000</v>
      </c>
      <c r="H9" s="67">
        <f t="shared" ref="H9:I9" si="9">G9</f>
        <v>15000</v>
      </c>
      <c r="I9" s="68">
        <f t="shared" si="9"/>
        <v>15000</v>
      </c>
      <c r="J9" s="68">
        <f t="shared" ref="J9:Q9" si="10">I9</f>
        <v>15000</v>
      </c>
      <c r="K9" s="68">
        <f t="shared" si="10"/>
        <v>15000</v>
      </c>
      <c r="L9" s="68">
        <f t="shared" si="10"/>
        <v>15000</v>
      </c>
      <c r="M9" s="68">
        <f t="shared" si="10"/>
        <v>15000</v>
      </c>
      <c r="N9" s="68">
        <f t="shared" si="10"/>
        <v>15000</v>
      </c>
      <c r="O9" s="68">
        <f t="shared" si="10"/>
        <v>15000</v>
      </c>
      <c r="P9" s="68">
        <f t="shared" si="10"/>
        <v>15000</v>
      </c>
      <c r="Q9" s="69">
        <f t="shared" si="10"/>
        <v>15000</v>
      </c>
    </row>
    <row r="10" spans="1:17">
      <c r="A10" s="31"/>
      <c r="B10" s="75" t="s">
        <v>108</v>
      </c>
      <c r="C10" s="73">
        <v>1</v>
      </c>
      <c r="D10" s="36">
        <v>150000</v>
      </c>
      <c r="E10" s="44">
        <f t="shared" si="0"/>
        <v>150000</v>
      </c>
      <c r="F10" s="31"/>
      <c r="G10" s="61">
        <f t="shared" si="4"/>
        <v>15000</v>
      </c>
      <c r="H10" s="67">
        <f t="shared" ref="H10:I10" si="11">G10</f>
        <v>15000</v>
      </c>
      <c r="I10" s="68">
        <f t="shared" si="11"/>
        <v>15000</v>
      </c>
      <c r="J10" s="68">
        <f t="shared" ref="J10:Q10" si="12">I10</f>
        <v>15000</v>
      </c>
      <c r="K10" s="68">
        <f t="shared" si="12"/>
        <v>15000</v>
      </c>
      <c r="L10" s="68">
        <f t="shared" si="12"/>
        <v>15000</v>
      </c>
      <c r="M10" s="68">
        <f t="shared" si="12"/>
        <v>15000</v>
      </c>
      <c r="N10" s="68">
        <f t="shared" si="12"/>
        <v>15000</v>
      </c>
      <c r="O10" s="68">
        <f t="shared" si="12"/>
        <v>15000</v>
      </c>
      <c r="P10" s="68">
        <f t="shared" si="12"/>
        <v>15000</v>
      </c>
      <c r="Q10" s="69">
        <f t="shared" si="12"/>
        <v>15000</v>
      </c>
    </row>
    <row r="11" spans="1:17">
      <c r="A11" s="31"/>
      <c r="B11" s="75" t="s">
        <v>107</v>
      </c>
      <c r="C11" s="74">
        <v>1</v>
      </c>
      <c r="D11" s="37">
        <v>75000</v>
      </c>
      <c r="E11" s="44">
        <f t="shared" si="0"/>
        <v>75000</v>
      </c>
      <c r="F11" s="32"/>
      <c r="G11" s="61">
        <f t="shared" si="4"/>
        <v>7500</v>
      </c>
      <c r="H11" s="67">
        <f t="shared" ref="H11:I11" si="13">G11</f>
        <v>7500</v>
      </c>
      <c r="I11" s="68">
        <f t="shared" si="13"/>
        <v>7500</v>
      </c>
      <c r="J11" s="68">
        <f t="shared" ref="J11:Q11" si="14">I11</f>
        <v>7500</v>
      </c>
      <c r="K11" s="68">
        <f t="shared" si="14"/>
        <v>7500</v>
      </c>
      <c r="L11" s="68">
        <f t="shared" si="14"/>
        <v>7500</v>
      </c>
      <c r="M11" s="68">
        <f t="shared" si="14"/>
        <v>7500</v>
      </c>
      <c r="N11" s="68">
        <f t="shared" si="14"/>
        <v>7500</v>
      </c>
      <c r="O11" s="68">
        <f t="shared" si="14"/>
        <v>7500</v>
      </c>
      <c r="P11" s="68">
        <f t="shared" si="14"/>
        <v>7500</v>
      </c>
      <c r="Q11" s="69">
        <f t="shared" si="14"/>
        <v>7500</v>
      </c>
    </row>
    <row r="12" spans="1:17" ht="13.5" thickBot="1">
      <c r="A12" s="31"/>
      <c r="B12" s="76" t="s">
        <v>112</v>
      </c>
      <c r="C12" s="73">
        <v>1</v>
      </c>
      <c r="D12" s="36">
        <v>5000000</v>
      </c>
      <c r="E12" s="43">
        <f t="shared" si="0"/>
        <v>5000000</v>
      </c>
      <c r="F12" s="32"/>
      <c r="G12" s="61">
        <f t="shared" si="4"/>
        <v>500000</v>
      </c>
      <c r="H12" s="67">
        <f t="shared" ref="H12:I12" si="15">G12</f>
        <v>500000</v>
      </c>
      <c r="I12" s="68">
        <f t="shared" si="15"/>
        <v>500000</v>
      </c>
      <c r="J12" s="68">
        <f t="shared" ref="J12:Q12" si="16">I12</f>
        <v>500000</v>
      </c>
      <c r="K12" s="68">
        <f t="shared" si="16"/>
        <v>500000</v>
      </c>
      <c r="L12" s="68">
        <f t="shared" si="16"/>
        <v>500000</v>
      </c>
      <c r="M12" s="68">
        <f t="shared" si="16"/>
        <v>500000</v>
      </c>
      <c r="N12" s="68">
        <f t="shared" si="16"/>
        <v>500000</v>
      </c>
      <c r="O12" s="68">
        <f t="shared" si="16"/>
        <v>500000</v>
      </c>
      <c r="P12" s="68">
        <f t="shared" si="16"/>
        <v>500000</v>
      </c>
      <c r="Q12" s="69">
        <f t="shared" si="16"/>
        <v>500000</v>
      </c>
    </row>
    <row r="13" spans="1:17" ht="13.5" thickBot="1">
      <c r="A13" s="31"/>
      <c r="B13" s="45" t="s">
        <v>1</v>
      </c>
      <c r="C13" s="46"/>
      <c r="D13" s="47"/>
      <c r="E13" s="48">
        <f>SUM(E5:E12)</f>
        <v>11690000</v>
      </c>
      <c r="F13" s="34"/>
      <c r="G13" s="62">
        <f t="shared" ref="G13" si="17">SUM(G5:G11)</f>
        <v>669000</v>
      </c>
      <c r="H13" s="62">
        <f>SUM(H5:H12)</f>
        <v>669000</v>
      </c>
      <c r="I13" s="62">
        <f t="shared" ref="I13:Q13" si="18">SUM(I5:I12)</f>
        <v>1169000</v>
      </c>
      <c r="J13" s="62">
        <f t="shared" si="18"/>
        <v>1169000</v>
      </c>
      <c r="K13" s="62">
        <f t="shared" si="18"/>
        <v>1169000</v>
      </c>
      <c r="L13" s="62">
        <f t="shared" si="18"/>
        <v>1169000</v>
      </c>
      <c r="M13" s="62">
        <f t="shared" si="18"/>
        <v>1169000</v>
      </c>
      <c r="N13" s="62">
        <f t="shared" si="18"/>
        <v>1169000</v>
      </c>
      <c r="O13" s="62">
        <f t="shared" si="18"/>
        <v>1169000</v>
      </c>
      <c r="P13" s="62">
        <f t="shared" si="18"/>
        <v>1169000</v>
      </c>
      <c r="Q13" s="62">
        <f t="shared" si="18"/>
        <v>1169000</v>
      </c>
    </row>
    <row r="14" spans="1:17">
      <c r="A14" s="31"/>
      <c r="F14" s="31"/>
    </row>
    <row r="15" spans="1:17" ht="13.5" thickBot="1">
      <c r="A15" s="31"/>
      <c r="F15" s="31"/>
    </row>
    <row r="16" spans="1:17">
      <c r="A16" s="49">
        <v>2</v>
      </c>
      <c r="B16" s="58" t="s">
        <v>259</v>
      </c>
      <c r="C16" s="41" t="s">
        <v>115</v>
      </c>
      <c r="D16" s="41" t="s">
        <v>3</v>
      </c>
      <c r="E16" s="42" t="s">
        <v>1</v>
      </c>
      <c r="F16" s="31"/>
      <c r="G16" s="59" t="s">
        <v>21</v>
      </c>
      <c r="H16" s="63">
        <v>1</v>
      </c>
      <c r="I16" s="63">
        <v>2</v>
      </c>
      <c r="J16" s="63">
        <v>3</v>
      </c>
      <c r="K16" s="63">
        <v>4</v>
      </c>
      <c r="L16" s="63">
        <v>5</v>
      </c>
      <c r="M16" s="63">
        <v>6</v>
      </c>
      <c r="N16" s="63">
        <v>7</v>
      </c>
      <c r="O16" s="63">
        <v>8</v>
      </c>
      <c r="P16" s="63">
        <v>9</v>
      </c>
      <c r="Q16" s="63">
        <v>10</v>
      </c>
    </row>
    <row r="17" spans="1:17">
      <c r="A17" s="31"/>
      <c r="B17" s="295" t="s">
        <v>110</v>
      </c>
      <c r="C17" s="296">
        <v>1</v>
      </c>
      <c r="D17" s="38">
        <v>1500000</v>
      </c>
      <c r="E17" s="50">
        <f>D17*C17</f>
        <v>1500000</v>
      </c>
      <c r="F17" s="31"/>
      <c r="G17" s="60">
        <v>0</v>
      </c>
      <c r="H17" s="64">
        <f t="shared" ref="H17:I17" si="19">G17</f>
        <v>0</v>
      </c>
      <c r="I17" s="65">
        <f t="shared" si="19"/>
        <v>0</v>
      </c>
      <c r="J17" s="65">
        <f t="shared" ref="J17:Q17" si="20">I17</f>
        <v>0</v>
      </c>
      <c r="K17" s="65">
        <f t="shared" si="20"/>
        <v>0</v>
      </c>
      <c r="L17" s="65">
        <f t="shared" si="20"/>
        <v>0</v>
      </c>
      <c r="M17" s="65">
        <f t="shared" si="20"/>
        <v>0</v>
      </c>
      <c r="N17" s="65">
        <f t="shared" si="20"/>
        <v>0</v>
      </c>
      <c r="O17" s="65">
        <f t="shared" si="20"/>
        <v>0</v>
      </c>
      <c r="P17" s="65">
        <f t="shared" si="20"/>
        <v>0</v>
      </c>
      <c r="Q17" s="66">
        <f t="shared" si="20"/>
        <v>0</v>
      </c>
    </row>
    <row r="18" spans="1:17" ht="13.5" thickBot="1">
      <c r="A18" s="31"/>
      <c r="B18" s="51" t="s">
        <v>1</v>
      </c>
      <c r="C18" s="52"/>
      <c r="D18" s="53"/>
      <c r="E18" s="54">
        <f>SUM(E17:E17)</f>
        <v>1500000</v>
      </c>
      <c r="F18" s="31"/>
      <c r="G18" s="62"/>
      <c r="H18" s="62">
        <v>0</v>
      </c>
      <c r="I18" s="62">
        <v>0</v>
      </c>
      <c r="J18" s="62">
        <v>0</v>
      </c>
      <c r="K18" s="62">
        <v>0</v>
      </c>
      <c r="L18" s="62">
        <v>0</v>
      </c>
      <c r="M18" s="62">
        <v>0</v>
      </c>
      <c r="N18" s="62">
        <v>0</v>
      </c>
      <c r="O18" s="62">
        <v>0</v>
      </c>
      <c r="P18" s="62">
        <v>0</v>
      </c>
      <c r="Q18" s="62">
        <v>0</v>
      </c>
    </row>
    <row r="19" spans="1:17" ht="13.5" thickBot="1">
      <c r="A19" s="32"/>
      <c r="B19" s="55"/>
      <c r="C19" s="56"/>
      <c r="D19" s="56"/>
      <c r="E19" s="57"/>
      <c r="F19" s="31"/>
    </row>
    <row r="20" spans="1:17" ht="13.5" thickBot="1">
      <c r="B20" s="360" t="s">
        <v>1</v>
      </c>
      <c r="C20" s="361"/>
      <c r="D20" s="361"/>
      <c r="E20" s="362">
        <f>E13+E18</f>
        <v>13190000</v>
      </c>
      <c r="F20" s="71"/>
    </row>
    <row r="21" spans="1:17" ht="13.5" thickBot="1">
      <c r="A21" s="31"/>
      <c r="F21" s="31"/>
      <c r="G21" s="59" t="s">
        <v>21</v>
      </c>
      <c r="H21" s="63">
        <v>1</v>
      </c>
      <c r="I21" s="63">
        <v>2</v>
      </c>
      <c r="J21" s="63">
        <v>3</v>
      </c>
      <c r="K21" s="63">
        <v>4</v>
      </c>
      <c r="L21" s="63">
        <v>5</v>
      </c>
      <c r="M21" s="63">
        <v>6</v>
      </c>
      <c r="N21" s="63">
        <v>7</v>
      </c>
      <c r="O21" s="63">
        <v>8</v>
      </c>
      <c r="P21" s="63">
        <v>9</v>
      </c>
      <c r="Q21" s="63">
        <v>10</v>
      </c>
    </row>
    <row r="22" spans="1:17">
      <c r="A22" s="31"/>
      <c r="B22" s="58" t="s">
        <v>352</v>
      </c>
      <c r="F22" s="31"/>
      <c r="G22" s="60">
        <v>1000000</v>
      </c>
      <c r="H22" s="64">
        <f t="shared" ref="H22" si="21">G22</f>
        <v>1000000</v>
      </c>
      <c r="I22" s="65">
        <f t="shared" ref="I22" si="22">H22</f>
        <v>1000000</v>
      </c>
      <c r="J22" s="65">
        <f t="shared" ref="J22" si="23">I22</f>
        <v>1000000</v>
      </c>
      <c r="K22" s="65">
        <f t="shared" ref="K22" si="24">J22</f>
        <v>1000000</v>
      </c>
      <c r="L22" s="65">
        <f t="shared" ref="L22" si="25">K22</f>
        <v>1000000</v>
      </c>
      <c r="M22" s="65">
        <f t="shared" ref="M22" si="26">L22</f>
        <v>1000000</v>
      </c>
      <c r="N22" s="65">
        <f t="shared" ref="N22" si="27">M22</f>
        <v>1000000</v>
      </c>
      <c r="O22" s="65">
        <f t="shared" ref="O22" si="28">N22</f>
        <v>1000000</v>
      </c>
      <c r="P22" s="65">
        <f t="shared" ref="P22" si="29">O22</f>
        <v>1000000</v>
      </c>
      <c r="Q22" s="66">
        <f t="shared" ref="Q22" si="30">P22</f>
        <v>1000000</v>
      </c>
    </row>
    <row r="23" spans="1:17">
      <c r="A23" s="31"/>
      <c r="B23" s="31"/>
      <c r="C23" s="31"/>
      <c r="D23" s="31"/>
      <c r="E23" s="31"/>
      <c r="F23" s="31"/>
    </row>
    <row r="24" spans="1:17" ht="15">
      <c r="A24" s="31"/>
      <c r="E24" s="388">
        <f>E20+10000000+Offering!C11</f>
        <v>24581400</v>
      </c>
      <c r="F24" s="31"/>
      <c r="G24" t="s">
        <v>325</v>
      </c>
      <c r="H24" s="63">
        <v>1</v>
      </c>
      <c r="I24" s="63">
        <v>2</v>
      </c>
      <c r="J24" s="63">
        <v>3</v>
      </c>
      <c r="K24" s="63">
        <v>4</v>
      </c>
      <c r="L24" s="63">
        <v>5</v>
      </c>
      <c r="M24" s="63">
        <v>6</v>
      </c>
      <c r="N24" s="63">
        <v>7</v>
      </c>
      <c r="O24" s="63">
        <v>8</v>
      </c>
      <c r="P24" s="63">
        <v>9</v>
      </c>
      <c r="Q24" s="63">
        <v>10</v>
      </c>
    </row>
    <row r="25" spans="1:17" ht="15">
      <c r="A25" s="31"/>
      <c r="F25" s="31"/>
      <c r="G25"/>
      <c r="H25" s="380">
        <f>H13+H18+H22</f>
        <v>1669000</v>
      </c>
      <c r="I25" s="380">
        <f t="shared" ref="I25:Q25" si="31">I13+I18+I22</f>
        <v>2169000</v>
      </c>
      <c r="J25" s="380">
        <f t="shared" si="31"/>
        <v>2169000</v>
      </c>
      <c r="K25" s="380">
        <f t="shared" si="31"/>
        <v>2169000</v>
      </c>
      <c r="L25" s="380">
        <f t="shared" si="31"/>
        <v>2169000</v>
      </c>
      <c r="M25" s="380">
        <f t="shared" si="31"/>
        <v>2169000</v>
      </c>
      <c r="N25" s="380">
        <f t="shared" si="31"/>
        <v>2169000</v>
      </c>
      <c r="O25" s="380">
        <f t="shared" si="31"/>
        <v>2169000</v>
      </c>
      <c r="P25" s="380">
        <f t="shared" si="31"/>
        <v>2169000</v>
      </c>
      <c r="Q25" s="380">
        <f t="shared" si="31"/>
        <v>2169000</v>
      </c>
    </row>
  </sheetData>
  <sortState ref="B60:E63">
    <sortCondition descending="1" ref="E60:E63"/>
  </sortState>
  <phoneticPr fontId="8" type="noConversion"/>
  <printOptions horizontalCentered="1"/>
  <pageMargins left="0.2" right="0.2" top="0.5868503937007874" bottom="0.2" header="0.30000000000000004" footer="0.30000000000000004"/>
  <pageSetup scale="70" orientation="landscape" horizontalDpi="4294967292"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2"/>
  <sheetViews>
    <sheetView showGridLines="0" zoomScale="110" zoomScaleNormal="110" zoomScalePageLayoutView="125" workbookViewId="0">
      <selection activeCell="N23" sqref="N23"/>
    </sheetView>
  </sheetViews>
  <sheetFormatPr defaultColWidth="8.85546875" defaultRowHeight="15"/>
  <cols>
    <col min="1" max="1" width="2.85546875" customWidth="1"/>
    <col min="2" max="2" width="31" customWidth="1"/>
    <col min="3" max="3" width="6.5703125" bestFit="1" customWidth="1"/>
    <col min="4" max="13" width="6" bestFit="1" customWidth="1"/>
    <col min="14" max="14" width="11" bestFit="1" customWidth="1"/>
  </cols>
  <sheetData>
    <row r="1" spans="1:13" ht="15.75">
      <c r="A1" s="35" t="s">
        <v>185</v>
      </c>
    </row>
    <row r="2" spans="1:13" ht="15.75">
      <c r="A2" s="35"/>
    </row>
    <row r="3" spans="1:13">
      <c r="B3" s="8" t="s">
        <v>23</v>
      </c>
    </row>
    <row r="4" spans="1:13">
      <c r="B4" t="s">
        <v>353</v>
      </c>
    </row>
    <row r="5" spans="1:13">
      <c r="B5" s="191" t="s">
        <v>19</v>
      </c>
      <c r="C5" s="252" t="s">
        <v>4</v>
      </c>
      <c r="D5" s="252" t="s">
        <v>5</v>
      </c>
      <c r="E5" s="252" t="s">
        <v>6</v>
      </c>
      <c r="F5" s="252" t="s">
        <v>7</v>
      </c>
      <c r="G5" s="252" t="s">
        <v>8</v>
      </c>
      <c r="H5" s="252" t="s">
        <v>9</v>
      </c>
      <c r="I5" s="252" t="s">
        <v>10</v>
      </c>
      <c r="J5" s="252" t="s">
        <v>11</v>
      </c>
      <c r="K5" s="252" t="s">
        <v>90</v>
      </c>
      <c r="L5" s="252" t="s">
        <v>330</v>
      </c>
      <c r="M5" s="252" t="s">
        <v>331</v>
      </c>
    </row>
    <row r="6" spans="1:13">
      <c r="B6" s="192" t="s">
        <v>20</v>
      </c>
      <c r="C6" s="381">
        <f>'P&amp;L and Cash Flow'!C5</f>
        <v>7376892.8571428573</v>
      </c>
      <c r="D6" s="381">
        <f>'P&amp;L and Cash Flow'!D5</f>
        <v>14525033.482142856</v>
      </c>
      <c r="E6" s="381">
        <f>'P&amp;L and Cash Flow'!E5</f>
        <v>14311448.102678569</v>
      </c>
      <c r="F6" s="381">
        <f>'P&amp;L and Cash Flow'!F5</f>
        <v>14175392.857142856</v>
      </c>
      <c r="G6" s="381">
        <f>'P&amp;L and Cash Flow'!G5</f>
        <v>14002533.482142858</v>
      </c>
      <c r="H6" s="381">
        <f>'P&amp;L and Cash Flow'!H5</f>
        <v>13853517.857142856</v>
      </c>
      <c r="I6" s="382">
        <f>'P&amp;L and Cash Flow'!I5</f>
        <v>13635991.071428571</v>
      </c>
      <c r="J6" s="382">
        <f>'P&amp;L and Cash Flow'!J5</f>
        <v>13379062.5</v>
      </c>
      <c r="K6" s="382">
        <f>'P&amp;L and Cash Flow'!K5</f>
        <v>13152639.843749996</v>
      </c>
      <c r="L6" s="382">
        <f>'P&amp;L and Cash Flow'!L5</f>
        <v>13246148.191406246</v>
      </c>
      <c r="M6" s="382">
        <f>'P&amp;L and Cash Flow'!M5</f>
        <v>13341059.164277339</v>
      </c>
    </row>
    <row r="7" spans="1:13">
      <c r="B7" s="192" t="s">
        <v>266</v>
      </c>
      <c r="C7" s="381"/>
      <c r="D7" s="381"/>
      <c r="E7" s="381"/>
      <c r="F7" s="381"/>
      <c r="G7" s="381"/>
      <c r="H7" s="381"/>
      <c r="I7" s="382"/>
      <c r="J7" s="382"/>
      <c r="K7" s="382"/>
      <c r="L7" s="382"/>
      <c r="M7" s="382"/>
    </row>
    <row r="8" spans="1:13">
      <c r="B8" s="192" t="s">
        <v>33</v>
      </c>
      <c r="C8" s="381">
        <f>'P&amp;L and Cash Flow'!C7</f>
        <v>330000.00000000006</v>
      </c>
      <c r="D8" s="381">
        <f>'P&amp;L and Cash Flow'!D7</f>
        <v>673200.00000000012</v>
      </c>
      <c r="E8" s="381">
        <f>'P&amp;L and Cash Flow'!E7</f>
        <v>686664.00000000023</v>
      </c>
      <c r="F8" s="381">
        <f>'P&amp;L and Cash Flow'!F7</f>
        <v>700397.28000000014</v>
      </c>
      <c r="G8" s="381">
        <f>'P&amp;L and Cash Flow'!G7</f>
        <v>714405.22560000001</v>
      </c>
      <c r="H8" s="381">
        <f>'P&amp;L and Cash Flow'!H7</f>
        <v>728693.330112</v>
      </c>
      <c r="I8" s="382">
        <f>'P&amp;L and Cash Flow'!I7</f>
        <v>743267.19671424013</v>
      </c>
      <c r="J8" s="382">
        <f>'P&amp;L and Cash Flow'!J7</f>
        <v>758132.54064852488</v>
      </c>
      <c r="K8" s="382">
        <f>'P&amp;L and Cash Flow'!K7</f>
        <v>773295.19146149547</v>
      </c>
      <c r="L8" s="382">
        <f>'P&amp;L and Cash Flow'!L7</f>
        <v>788761.09529072535</v>
      </c>
      <c r="M8" s="382">
        <f>'P&amp;L and Cash Flow'!M7</f>
        <v>804536.31719653984</v>
      </c>
    </row>
    <row r="9" spans="1:13">
      <c r="B9" s="192" t="s">
        <v>252</v>
      </c>
      <c r="C9" s="381">
        <f>'P&amp;L and Cash Flow'!C8</f>
        <v>189250.00000000006</v>
      </c>
      <c r="D9" s="381">
        <f>'P&amp;L and Cash Flow'!D8</f>
        <v>386070.00000000012</v>
      </c>
      <c r="E9" s="381">
        <f>'P&amp;L and Cash Flow'!E8</f>
        <v>393791.40000000014</v>
      </c>
      <c r="F9" s="381">
        <f>'P&amp;L and Cash Flow'!F8</f>
        <v>401667.22800000018</v>
      </c>
      <c r="G9" s="381">
        <f>'P&amp;L and Cash Flow'!G8</f>
        <v>409700.57256000012</v>
      </c>
      <c r="H9" s="381">
        <f>'P&amp;L and Cash Flow'!H8</f>
        <v>417894.58401120018</v>
      </c>
      <c r="I9" s="381">
        <f>'P&amp;L and Cash Flow'!I8</f>
        <v>426252.4756914241</v>
      </c>
      <c r="J9" s="381">
        <f>'P&amp;L and Cash Flow'!J8</f>
        <v>434777.52520525269</v>
      </c>
      <c r="K9" s="381">
        <f>'P&amp;L and Cash Flow'!K8</f>
        <v>443473.07570935768</v>
      </c>
      <c r="L9" s="381">
        <f>'P&amp;L and Cash Flow'!L8</f>
        <v>452342.5372235449</v>
      </c>
      <c r="M9" s="381">
        <f>'P&amp;L and Cash Flow'!M8</f>
        <v>461389.38796801574</v>
      </c>
    </row>
    <row r="10" spans="1:13">
      <c r="B10" s="303" t="s">
        <v>272</v>
      </c>
      <c r="C10" s="383">
        <f>'P&amp;L and Cash Flow'!C9</f>
        <v>566250.00000000047</v>
      </c>
      <c r="D10" s="383">
        <f>'P&amp;L and Cash Flow'!D9</f>
        <v>1457606.2500000012</v>
      </c>
      <c r="E10" s="383">
        <f>'P&amp;L and Cash Flow'!E9</f>
        <v>1953864.4124999985</v>
      </c>
      <c r="F10" s="383">
        <f>'P&amp;L and Cash Flow'!F9</f>
        <v>2477770.2049999991</v>
      </c>
      <c r="G10" s="383">
        <f>'P&amp;L and Cash Flow'!G9</f>
        <v>3185128.1685374994</v>
      </c>
      <c r="H10" s="383">
        <f>'P&amp;L and Cash Flow'!H9</f>
        <v>3928238.4788878495</v>
      </c>
      <c r="I10" s="384">
        <f>'P&amp;L and Cash Flow'!I9</f>
        <v>4711132.1849788623</v>
      </c>
      <c r="J10" s="384">
        <f>'P&amp;L and Cash Flow'!J9</f>
        <v>5535859.2191260131</v>
      </c>
      <c r="K10" s="384">
        <f>'P&amp;L and Cash Flow'!K9</f>
        <v>6545476.9323097877</v>
      </c>
      <c r="L10" s="384">
        <f>'P&amp;L and Cash Flow'!L9</f>
        <v>6630703.4536873</v>
      </c>
      <c r="M10" s="384">
        <f>'P&amp;L and Cash Flow'!M9</f>
        <v>6717177.6753196735</v>
      </c>
    </row>
    <row r="11" spans="1:13">
      <c r="B11" s="198" t="s">
        <v>118</v>
      </c>
      <c r="C11" s="385">
        <f t="shared" ref="C11:M11" si="0">SUM(C6:C10)</f>
        <v>8462392.8571428582</v>
      </c>
      <c r="D11" s="385">
        <f t="shared" si="0"/>
        <v>17041909.732142858</v>
      </c>
      <c r="E11" s="385">
        <f t="shared" si="0"/>
        <v>17345767.915178567</v>
      </c>
      <c r="F11" s="385">
        <f t="shared" si="0"/>
        <v>17755227.570142854</v>
      </c>
      <c r="G11" s="385">
        <f t="shared" si="0"/>
        <v>18311767.448840357</v>
      </c>
      <c r="H11" s="385">
        <f t="shared" si="0"/>
        <v>18928344.250153907</v>
      </c>
      <c r="I11" s="386">
        <f t="shared" si="0"/>
        <v>19516642.9288131</v>
      </c>
      <c r="J11" s="386">
        <f t="shared" si="0"/>
        <v>20107831.78497979</v>
      </c>
      <c r="K11" s="386">
        <f t="shared" si="0"/>
        <v>20914885.043230638</v>
      </c>
      <c r="L11" s="386">
        <f t="shared" si="0"/>
        <v>21117955.277607817</v>
      </c>
      <c r="M11" s="386">
        <f t="shared" si="0"/>
        <v>21324162.544761568</v>
      </c>
    </row>
    <row r="12" spans="1:13">
      <c r="B12" s="201"/>
      <c r="C12" s="193"/>
      <c r="D12" s="193"/>
      <c r="E12" s="193"/>
      <c r="F12" s="193"/>
      <c r="G12" s="193"/>
      <c r="H12" s="193"/>
      <c r="I12" s="194"/>
      <c r="J12" s="194"/>
      <c r="K12" s="194"/>
      <c r="L12" s="194"/>
      <c r="M12" s="194"/>
    </row>
    <row r="13" spans="1:13">
      <c r="B13" s="202" t="s">
        <v>190</v>
      </c>
      <c r="C13" s="196"/>
      <c r="D13" s="196"/>
      <c r="E13" s="196"/>
      <c r="F13" s="196"/>
      <c r="G13" s="196"/>
      <c r="H13" s="196"/>
      <c r="I13" s="197"/>
      <c r="J13" s="197"/>
      <c r="K13" s="197"/>
      <c r="L13" s="197"/>
      <c r="M13" s="197"/>
    </row>
    <row r="14" spans="1:13">
      <c r="B14" s="192" t="s">
        <v>187</v>
      </c>
      <c r="C14" s="381">
        <f>'P&amp;L and Cash Flow'!C16</f>
        <v>1936234.5454545454</v>
      </c>
      <c r="D14" s="381">
        <f>'P&amp;L and Cash Flow'!D16</f>
        <v>4067956.3636363638</v>
      </c>
      <c r="E14" s="381">
        <f>'P&amp;L and Cash Flow'!E16</f>
        <v>4335465.2727272715</v>
      </c>
      <c r="F14" s="381">
        <f>'P&amp;L and Cash Flow'!F16</f>
        <v>4622158.1818181798</v>
      </c>
      <c r="G14" s="381">
        <f>'P&amp;L and Cash Flow'!G16</f>
        <v>4978645.2872727271</v>
      </c>
      <c r="H14" s="381">
        <f>'P&amp;L and Cash Flow'!H16</f>
        <v>5352994.0839272728</v>
      </c>
      <c r="I14" s="381">
        <f>'P&amp;L and Cash Flow'!I16</f>
        <v>5749042.285605818</v>
      </c>
      <c r="J14" s="381">
        <f>'P&amp;L and Cash Flow'!J16</f>
        <v>6166820.2004088443</v>
      </c>
      <c r="K14" s="381">
        <f>'P&amp;L and Cash Flow'!K16</f>
        <v>6685198.7425988391</v>
      </c>
      <c r="L14" s="381">
        <f>'P&amp;L and Cash Flow'!L16</f>
        <v>6767214.8992689978</v>
      </c>
      <c r="M14" s="381">
        <f>'P&amp;L and Cash Flow'!M16</f>
        <v>6850871.3790725591</v>
      </c>
    </row>
    <row r="15" spans="1:13">
      <c r="B15" s="192" t="s">
        <v>188</v>
      </c>
      <c r="C15" s="381">
        <f>'P&amp;L and Cash Flow'!C23</f>
        <v>2516067.9047727278</v>
      </c>
      <c r="D15" s="381">
        <f>'P&amp;L and Cash Flow'!D23</f>
        <v>3374370.1952272728</v>
      </c>
      <c r="E15" s="381">
        <f>'P&amp;L and Cash Flow'!E23</f>
        <v>3496281.528356818</v>
      </c>
      <c r="F15" s="381">
        <f>'P&amp;L and Cash Flow'!F23</f>
        <v>3622480.8082984323</v>
      </c>
      <c r="G15" s="381">
        <f>'P&amp;L and Cash Flow'!G23</f>
        <v>3760789.7193655674</v>
      </c>
      <c r="H15" s="381">
        <f>'P&amp;L and Cash Flow'!H23</f>
        <v>3904147.5444492619</v>
      </c>
      <c r="I15" s="381">
        <f>'P&amp;L and Cash Flow'!I23</f>
        <v>4052732.9526121486</v>
      </c>
      <c r="J15" s="381">
        <f>'P&amp;L and Cash Flow'!J23</f>
        <v>4206730.7932828367</v>
      </c>
      <c r="K15" s="381">
        <f>'P&amp;L and Cash Flow'!K23</f>
        <v>4366332.306360607</v>
      </c>
      <c r="L15" s="381">
        <f>'P&amp;L and Cash Flow'!L23</f>
        <v>4496150.616170424</v>
      </c>
      <c r="M15" s="381">
        <f>'P&amp;L and Cash Flow'!M23</f>
        <v>4629840.0420869142</v>
      </c>
    </row>
    <row r="16" spans="1:13">
      <c r="B16" s="195" t="s">
        <v>189</v>
      </c>
      <c r="C16" s="383">
        <f>'P&amp;L and Cash Flow'!C39</f>
        <v>369721.59090909094</v>
      </c>
      <c r="D16" s="383">
        <f>'P&amp;L and Cash Flow'!D39</f>
        <v>615525.90909090918</v>
      </c>
      <c r="E16" s="383">
        <f>'P&amp;L and Cash Flow'!E39</f>
        <v>1009558.2772727271</v>
      </c>
      <c r="F16" s="383">
        <f>'P&amp;L and Cash Flow'!F39</f>
        <v>1073371.8767272728</v>
      </c>
      <c r="G16" s="383">
        <f>'P&amp;L and Cash Flow'!G39</f>
        <v>1151616.5752563635</v>
      </c>
      <c r="H16" s="383">
        <f>'P&amp;L and Cash Flow'!H39</f>
        <v>1233589.9210081454</v>
      </c>
      <c r="I16" s="383">
        <f>'P&amp;L and Cash Flow'!I39</f>
        <v>1319445.2125873037</v>
      </c>
      <c r="J16" s="383">
        <f>'P&amp;L and Cash Flow'!J39</f>
        <v>1409341.5907323039</v>
      </c>
      <c r="K16" s="383">
        <f>'P&amp;L and Cash Flow'!K39</f>
        <v>1503444.2508746756</v>
      </c>
      <c r="L16" s="383">
        <f>'P&amp;L and Cash Flow'!L39</f>
        <v>1548547.578400916</v>
      </c>
      <c r="M16" s="383">
        <f>'P&amp;L and Cash Flow'!M39</f>
        <v>1595004.0057529435</v>
      </c>
    </row>
    <row r="17" spans="2:13">
      <c r="B17" s="203" t="s">
        <v>191</v>
      </c>
      <c r="C17" s="385">
        <f t="shared" ref="C17:M17" si="1">C14+C15+C16</f>
        <v>4822024.0411363645</v>
      </c>
      <c r="D17" s="385">
        <f t="shared" si="1"/>
        <v>8057852.4679545453</v>
      </c>
      <c r="E17" s="385">
        <f t="shared" si="1"/>
        <v>8841305.0783568174</v>
      </c>
      <c r="F17" s="385">
        <f t="shared" si="1"/>
        <v>9318010.8668438848</v>
      </c>
      <c r="G17" s="385">
        <f t="shared" si="1"/>
        <v>9891051.5818946585</v>
      </c>
      <c r="H17" s="385">
        <f t="shared" si="1"/>
        <v>10490731.54938468</v>
      </c>
      <c r="I17" s="386">
        <f t="shared" si="1"/>
        <v>11121220.450805271</v>
      </c>
      <c r="J17" s="386">
        <f t="shared" si="1"/>
        <v>11782892.584423985</v>
      </c>
      <c r="K17" s="386">
        <f t="shared" si="1"/>
        <v>12554975.299834121</v>
      </c>
      <c r="L17" s="386">
        <f t="shared" si="1"/>
        <v>12811913.093840336</v>
      </c>
      <c r="M17" s="386">
        <f t="shared" si="1"/>
        <v>13075715.426912416</v>
      </c>
    </row>
    <row r="18" spans="2:13">
      <c r="B18" s="204"/>
      <c r="C18" s="193"/>
      <c r="D18" s="193"/>
      <c r="E18" s="193"/>
      <c r="F18" s="193"/>
      <c r="G18" s="193"/>
      <c r="H18" s="193"/>
      <c r="I18" s="194"/>
      <c r="J18" s="194"/>
      <c r="K18" s="194"/>
      <c r="L18" s="194"/>
      <c r="M18" s="194"/>
    </row>
    <row r="19" spans="2:13">
      <c r="B19" s="205" t="s">
        <v>2</v>
      </c>
      <c r="C19" s="385">
        <f t="shared" ref="C19:M19" si="2">C11-C17</f>
        <v>3640368.8160064938</v>
      </c>
      <c r="D19" s="385">
        <f t="shared" si="2"/>
        <v>8984057.264188312</v>
      </c>
      <c r="E19" s="385">
        <f t="shared" si="2"/>
        <v>8504462.8368217498</v>
      </c>
      <c r="F19" s="385">
        <f t="shared" si="2"/>
        <v>8437216.7032989692</v>
      </c>
      <c r="G19" s="385">
        <f t="shared" si="2"/>
        <v>8420715.8669456989</v>
      </c>
      <c r="H19" s="385">
        <f t="shared" si="2"/>
        <v>8437612.700769227</v>
      </c>
      <c r="I19" s="385">
        <f t="shared" si="2"/>
        <v>8395422.4780078288</v>
      </c>
      <c r="J19" s="385">
        <f t="shared" si="2"/>
        <v>8324939.2005558051</v>
      </c>
      <c r="K19" s="385">
        <f t="shared" si="2"/>
        <v>8359909.7433965169</v>
      </c>
      <c r="L19" s="385">
        <f t="shared" si="2"/>
        <v>8306042.1837674808</v>
      </c>
      <c r="M19" s="385">
        <f t="shared" si="2"/>
        <v>8248447.1178491525</v>
      </c>
    </row>
    <row r="20" spans="2:13">
      <c r="B20" s="204" t="s">
        <v>253</v>
      </c>
      <c r="C20" s="381"/>
      <c r="D20" s="381"/>
      <c r="E20" s="381"/>
      <c r="F20" s="381"/>
      <c r="G20" s="381"/>
      <c r="H20" s="381"/>
      <c r="I20" s="382"/>
      <c r="J20" s="382"/>
      <c r="K20" s="382"/>
      <c r="L20" s="382"/>
      <c r="M20" s="382"/>
    </row>
    <row r="21" spans="2:13">
      <c r="B21" s="206" t="s">
        <v>192</v>
      </c>
      <c r="C21" s="387">
        <f>'P&amp;L and Cash Flow'!C49</f>
        <v>438320.33854376455</v>
      </c>
      <c r="D21" s="387">
        <f>'P&amp;L and Cash Flow'!D49</f>
        <v>1344931.8619814201</v>
      </c>
      <c r="E21" s="387">
        <f>'P&amp;L and Cash Flow'!E49</f>
        <v>1158124.1494741458</v>
      </c>
      <c r="F21" s="387">
        <f>'P&amp;L and Cash Flow'!F49</f>
        <v>1154387.9731626713</v>
      </c>
      <c r="G21" s="387">
        <f>'P&amp;L and Cash Flow'!G49</f>
        <v>1161399.9347496757</v>
      </c>
      <c r="H21" s="387">
        <f>'P&amp;L and Cash Flow'!H49</f>
        <v>1175498.1679147675</v>
      </c>
      <c r="I21" s="387">
        <f>'P&amp;L and Cash Flow'!I49</f>
        <v>1178898.6860201403</v>
      </c>
      <c r="J21" s="387">
        <f>'P&amp;L and Cash Flow'!J49</f>
        <v>1177141.4776335256</v>
      </c>
      <c r="K21" s="387">
        <f>'P&amp;L and Cash Flow'!K49</f>
        <v>1197236.1018395971</v>
      </c>
      <c r="L21" s="387">
        <f>'P&amp;L and Cash Flow'!L49</f>
        <v>1189890.1608243471</v>
      </c>
      <c r="M21" s="387">
        <f>'P&amp;L and Cash Flow'!M49</f>
        <v>1192404.0119274294</v>
      </c>
    </row>
    <row r="22" spans="2:13">
      <c r="B22" s="206" t="s">
        <v>263</v>
      </c>
      <c r="C22" s="387">
        <f>'P&amp;L and Cash Flow'!C69</f>
        <v>75000</v>
      </c>
      <c r="D22" s="387">
        <f>'P&amp;L and Cash Flow'!D69</f>
        <v>76500</v>
      </c>
      <c r="E22" s="387">
        <f>'P&amp;L and Cash Flow'!E69</f>
        <v>78030</v>
      </c>
      <c r="F22" s="387">
        <f>'P&amp;L and Cash Flow'!F69</f>
        <v>79590.600000000006</v>
      </c>
      <c r="G22" s="387">
        <f>'P&amp;L and Cash Flow'!G69</f>
        <v>81182.412000000011</v>
      </c>
      <c r="H22" s="387">
        <f>'P&amp;L and Cash Flow'!H69</f>
        <v>82806.060240000006</v>
      </c>
      <c r="I22" s="387">
        <f>'P&amp;L and Cash Flow'!I69</f>
        <v>84462.181444800008</v>
      </c>
      <c r="J22" s="387">
        <f>'P&amp;L and Cash Flow'!J69</f>
        <v>86151.425073696009</v>
      </c>
      <c r="K22" s="387">
        <f>'P&amp;L and Cash Flow'!K69</f>
        <v>87874.45357516993</v>
      </c>
      <c r="L22" s="387">
        <f>'P&amp;L and Cash Flow'!L69</f>
        <v>89631.942646673328</v>
      </c>
      <c r="M22" s="387">
        <f>'P&amp;L and Cash Flow'!M69</f>
        <v>91424.581499606793</v>
      </c>
    </row>
    <row r="23" spans="2:13">
      <c r="B23" s="208" t="s">
        <v>186</v>
      </c>
      <c r="C23" s="383">
        <f>Offering!C12</f>
        <v>24581400</v>
      </c>
      <c r="D23" s="383">
        <v>0</v>
      </c>
      <c r="E23" s="383"/>
      <c r="F23" s="383"/>
      <c r="G23" s="383"/>
      <c r="H23" s="383"/>
      <c r="I23" s="383"/>
      <c r="J23" s="383"/>
      <c r="K23" s="383"/>
      <c r="L23" s="383"/>
      <c r="M23" s="383"/>
    </row>
    <row r="24" spans="2:13">
      <c r="B24" s="206" t="s">
        <v>193</v>
      </c>
      <c r="C24" s="381">
        <f t="shared" ref="C24:M24" si="3">C19-C21-C23-C22</f>
        <v>-21454351.522537269</v>
      </c>
      <c r="D24" s="381">
        <f t="shared" si="3"/>
        <v>7562625.4022068921</v>
      </c>
      <c r="E24" s="381">
        <f t="shared" si="3"/>
        <v>7268308.687347604</v>
      </c>
      <c r="F24" s="381">
        <f t="shared" si="3"/>
        <v>7203238.130136298</v>
      </c>
      <c r="G24" s="381">
        <f t="shared" si="3"/>
        <v>7178133.5201960225</v>
      </c>
      <c r="H24" s="381">
        <f t="shared" si="3"/>
        <v>7179308.4726144597</v>
      </c>
      <c r="I24" s="381">
        <f t="shared" si="3"/>
        <v>7132061.6105428878</v>
      </c>
      <c r="J24" s="381">
        <f t="shared" si="3"/>
        <v>7061646.2978485832</v>
      </c>
      <c r="K24" s="381">
        <f t="shared" si="3"/>
        <v>7074799.1879817499</v>
      </c>
      <c r="L24" s="381">
        <f t="shared" si="3"/>
        <v>7026520.0802964605</v>
      </c>
      <c r="M24" s="381">
        <f t="shared" si="3"/>
        <v>6964618.5244221166</v>
      </c>
    </row>
    <row r="25" spans="2:13">
      <c r="B25" s="206"/>
      <c r="C25" s="193"/>
      <c r="D25" s="193"/>
      <c r="E25" s="193"/>
      <c r="F25" s="193"/>
      <c r="G25" s="193"/>
      <c r="H25" s="193"/>
      <c r="I25" s="193"/>
      <c r="J25" s="193"/>
      <c r="K25" s="193"/>
      <c r="L25" s="193"/>
      <c r="M25" s="193"/>
    </row>
    <row r="26" spans="2:13">
      <c r="B26" s="206" t="s">
        <v>292</v>
      </c>
      <c r="C26" s="252" t="s">
        <v>4</v>
      </c>
      <c r="D26" s="252" t="s">
        <v>5</v>
      </c>
      <c r="E26" s="252" t="s">
        <v>6</v>
      </c>
      <c r="F26" s="252" t="s">
        <v>7</v>
      </c>
      <c r="G26" s="252" t="s">
        <v>8</v>
      </c>
      <c r="H26" s="252" t="s">
        <v>9</v>
      </c>
      <c r="I26" s="252" t="s">
        <v>10</v>
      </c>
      <c r="J26" s="252" t="s">
        <v>11</v>
      </c>
      <c r="K26" s="252" t="s">
        <v>90</v>
      </c>
      <c r="L26" s="252" t="s">
        <v>330</v>
      </c>
      <c r="M26" s="252" t="s">
        <v>331</v>
      </c>
    </row>
    <row r="27" spans="2:13">
      <c r="C27" s="381">
        <f>C24</f>
        <v>-21454351.522537269</v>
      </c>
      <c r="D27" s="381">
        <f>D24*Offering!$C$34</f>
        <v>6050100.3217655141</v>
      </c>
      <c r="E27" s="381">
        <f>E24*Offering!$C$34</f>
        <v>5814646.9498780835</v>
      </c>
      <c r="F27" s="381">
        <f>F24*Offering!$C$34</f>
        <v>5762590.504109039</v>
      </c>
      <c r="G27" s="381">
        <f>G24*Offering!$C$34</f>
        <v>5742506.8161568185</v>
      </c>
      <c r="H27" s="381">
        <f>H24*Offering!$C$34</f>
        <v>5743446.7780915685</v>
      </c>
      <c r="I27" s="381">
        <f>I24*Offering!$C$34</f>
        <v>5705649.2884343108</v>
      </c>
      <c r="J27" s="381">
        <f>J24*Offering!$C$34</f>
        <v>5649317.0382788666</v>
      </c>
      <c r="K27" s="381">
        <f>K24*Offering!$C$34</f>
        <v>5659839.3503854005</v>
      </c>
      <c r="L27" s="381">
        <f>L24*Offering!$C$34</f>
        <v>5621216.064237169</v>
      </c>
      <c r="M27" s="381">
        <f>M24*Offering!$C$34</f>
        <v>5571694.8195376936</v>
      </c>
    </row>
    <row r="28" spans="2:13" hidden="1">
      <c r="B28" s="192" t="s">
        <v>333</v>
      </c>
      <c r="C28" s="378">
        <f>IRR(C27:M27)</f>
        <v>0.23865288214046254</v>
      </c>
      <c r="D28" s="194"/>
      <c r="E28" s="194"/>
      <c r="F28" s="194"/>
      <c r="G28" s="194"/>
      <c r="H28" s="194"/>
      <c r="I28" s="194"/>
      <c r="J28" s="194"/>
      <c r="K28" s="194"/>
      <c r="L28" s="194"/>
      <c r="M28" s="194"/>
    </row>
    <row r="29" spans="2:13" hidden="1">
      <c r="B29" s="331" t="s">
        <v>332</v>
      </c>
      <c r="C29" s="387">
        <f>NPV(0.15,C27:M27)</f>
        <v>6562576.0394322509</v>
      </c>
    </row>
    <row r="31" spans="2:13">
      <c r="B31" s="8" t="s">
        <v>22</v>
      </c>
    </row>
    <row r="32" spans="2:13">
      <c r="B32" s="190"/>
      <c r="C32" s="253" t="s">
        <v>4</v>
      </c>
      <c r="D32" s="253" t="s">
        <v>5</v>
      </c>
      <c r="E32" s="253" t="s">
        <v>6</v>
      </c>
      <c r="F32" s="253" t="s">
        <v>7</v>
      </c>
      <c r="G32" s="253" t="s">
        <v>8</v>
      </c>
      <c r="H32" s="253" t="s">
        <v>9</v>
      </c>
      <c r="I32" s="253" t="s">
        <v>10</v>
      </c>
      <c r="J32" s="253" t="s">
        <v>11</v>
      </c>
      <c r="K32" s="253" t="s">
        <v>90</v>
      </c>
      <c r="L32" s="253" t="s">
        <v>330</v>
      </c>
      <c r="M32" s="253" t="s">
        <v>331</v>
      </c>
    </row>
    <row r="33" spans="2:13" s="77" customFormat="1">
      <c r="B33" s="209" t="s">
        <v>193</v>
      </c>
      <c r="C33" s="387">
        <f t="shared" ref="C33:M33" si="4">C24</f>
        <v>-21454351.522537269</v>
      </c>
      <c r="D33" s="387">
        <f t="shared" si="4"/>
        <v>7562625.4022068921</v>
      </c>
      <c r="E33" s="387">
        <f t="shared" si="4"/>
        <v>7268308.687347604</v>
      </c>
      <c r="F33" s="387">
        <f t="shared" si="4"/>
        <v>7203238.130136298</v>
      </c>
      <c r="G33" s="387">
        <f t="shared" si="4"/>
        <v>7178133.5201960225</v>
      </c>
      <c r="H33" s="387">
        <f t="shared" si="4"/>
        <v>7179308.4726144597</v>
      </c>
      <c r="I33" s="387">
        <f t="shared" si="4"/>
        <v>7132061.6105428878</v>
      </c>
      <c r="J33" s="387">
        <f t="shared" si="4"/>
        <v>7061646.2978485832</v>
      </c>
      <c r="K33" s="387">
        <f t="shared" si="4"/>
        <v>7074799.1879817499</v>
      </c>
      <c r="L33" s="387">
        <f t="shared" si="4"/>
        <v>7026520.0802964605</v>
      </c>
      <c r="M33" s="387">
        <f t="shared" si="4"/>
        <v>6964618.5244221166</v>
      </c>
    </row>
    <row r="34" spans="2:13" s="77" customFormat="1">
      <c r="B34" s="209" t="s">
        <v>253</v>
      </c>
      <c r="C34" s="387"/>
      <c r="D34" s="387">
        <v>10000000</v>
      </c>
      <c r="E34" s="387"/>
      <c r="F34" s="387"/>
      <c r="G34" s="387"/>
      <c r="H34" s="387"/>
      <c r="I34" s="387"/>
      <c r="J34" s="387"/>
      <c r="K34" s="387"/>
      <c r="L34" s="387"/>
      <c r="M34" s="387"/>
    </row>
    <row r="35" spans="2:13" s="77" customFormat="1">
      <c r="B35" s="375" t="s">
        <v>336</v>
      </c>
      <c r="C35" s="387">
        <f>Offering!C11</f>
        <v>1391400</v>
      </c>
      <c r="D35" s="387"/>
      <c r="E35" s="387"/>
      <c r="F35" s="387"/>
      <c r="G35" s="387"/>
      <c r="H35" s="387"/>
      <c r="I35" s="387"/>
      <c r="J35" s="387"/>
      <c r="K35" s="387"/>
      <c r="L35" s="387"/>
      <c r="M35" s="387"/>
    </row>
    <row r="36" spans="2:13">
      <c r="B36" s="305" t="s">
        <v>149</v>
      </c>
      <c r="C36" s="383">
        <f>'P&amp;L and Cash Flow'!C66</f>
        <v>448767.1232876713</v>
      </c>
      <c r="D36" s="383">
        <f>'P&amp;L and Cash Flow'!D66</f>
        <v>590397.95428121206</v>
      </c>
      <c r="E36" s="383">
        <f>'P&amp;L and Cash Flow'!E66</f>
        <v>1296138.812910459</v>
      </c>
      <c r="F36" s="383">
        <f>'P&amp;L and Cash Flow'!F66</f>
        <v>1295649.0313399427</v>
      </c>
      <c r="G36" s="383">
        <f>'P&amp;L and Cash Flow'!G66</f>
        <v>1293391.8135901929</v>
      </c>
      <c r="H36" s="383">
        <f>'P&amp;L and Cash Flow'!H66</f>
        <v>1292141.829348647</v>
      </c>
      <c r="I36" s="383">
        <f>'P&amp;L and Cash Flow'!I66</f>
        <v>1287357.9628650262</v>
      </c>
      <c r="J36" s="383">
        <f>'P&amp;L and Cash Flow'!J66</f>
        <v>1285753.250363281</v>
      </c>
      <c r="K36" s="383">
        <f>'P&amp;L and Cash Flow'!K66</f>
        <v>1349383.8778525791</v>
      </c>
      <c r="L36" s="383">
        <f>'P&amp;L and Cash Flow'!L66</f>
        <v>1402410.3447335334</v>
      </c>
      <c r="M36" s="383">
        <f>'P&amp;L and Cash Flow'!M66</f>
        <v>1407608.5723684279</v>
      </c>
    </row>
    <row r="37" spans="2:13">
      <c r="B37" s="9" t="s">
        <v>334</v>
      </c>
      <c r="C37" s="387">
        <f>C33+C34-C35-C36</f>
        <v>-23294518.645824939</v>
      </c>
      <c r="D37" s="387">
        <f t="shared" ref="D37:M37" si="5">D33+D34-D35-D36</f>
        <v>16972227.447925679</v>
      </c>
      <c r="E37" s="387">
        <f t="shared" si="5"/>
        <v>5972169.874437145</v>
      </c>
      <c r="F37" s="387">
        <f t="shared" si="5"/>
        <v>5907589.0987963555</v>
      </c>
      <c r="G37" s="387">
        <f t="shared" si="5"/>
        <v>5884741.7066058293</v>
      </c>
      <c r="H37" s="387">
        <f t="shared" si="5"/>
        <v>5887166.6432658127</v>
      </c>
      <c r="I37" s="387">
        <f t="shared" si="5"/>
        <v>5844703.6476778612</v>
      </c>
      <c r="J37" s="387">
        <f t="shared" si="5"/>
        <v>5775893.0474853022</v>
      </c>
      <c r="K37" s="387">
        <f t="shared" si="5"/>
        <v>5725415.3101291712</v>
      </c>
      <c r="L37" s="387">
        <f t="shared" si="5"/>
        <v>5624109.7355629271</v>
      </c>
      <c r="M37" s="387">
        <f t="shared" si="5"/>
        <v>5557009.9520536885</v>
      </c>
    </row>
    <row r="38" spans="2:13">
      <c r="B38" s="9"/>
      <c r="C38" s="387"/>
      <c r="D38" s="387"/>
      <c r="E38" s="387"/>
      <c r="F38" s="387"/>
      <c r="G38" s="387"/>
      <c r="H38" s="387"/>
      <c r="I38" s="387"/>
      <c r="J38" s="387"/>
      <c r="K38" s="387"/>
      <c r="L38" s="387"/>
      <c r="M38" s="387"/>
    </row>
    <row r="39" spans="2:13">
      <c r="B39" s="373" t="s">
        <v>230</v>
      </c>
      <c r="C39" s="315"/>
      <c r="D39" s="315">
        <f t="shared" ref="D39:M39" si="6">D33/(D36)</f>
        <v>12.809369252327631</v>
      </c>
      <c r="E39" s="315">
        <f t="shared" si="6"/>
        <v>5.6076622464739971</v>
      </c>
      <c r="F39" s="315">
        <f t="shared" si="6"/>
        <v>5.5595596924012725</v>
      </c>
      <c r="G39" s="315">
        <f t="shared" si="6"/>
        <v>5.5498522912952275</v>
      </c>
      <c r="H39" s="315">
        <f t="shared" si="6"/>
        <v>5.5561303794595531</v>
      </c>
      <c r="I39" s="315">
        <f t="shared" si="6"/>
        <v>5.540076510398416</v>
      </c>
      <c r="J39" s="315">
        <f t="shared" si="6"/>
        <v>5.4922251185080517</v>
      </c>
      <c r="K39" s="315">
        <f t="shared" si="6"/>
        <v>5.24298482003553</v>
      </c>
      <c r="L39" s="315">
        <f t="shared" si="6"/>
        <v>5.0103167783118021</v>
      </c>
      <c r="M39" s="315">
        <f t="shared" si="6"/>
        <v>4.9478375317816656</v>
      </c>
    </row>
    <row r="40" spans="2:13">
      <c r="B40" s="373"/>
      <c r="C40" s="371"/>
      <c r="D40" s="371"/>
      <c r="E40" s="371"/>
      <c r="F40" s="387"/>
      <c r="G40" s="371"/>
      <c r="H40" s="371"/>
      <c r="I40" s="371"/>
      <c r="J40" s="371"/>
      <c r="K40" s="371"/>
      <c r="L40" s="371"/>
      <c r="M40" s="371"/>
    </row>
    <row r="41" spans="2:13" ht="30" hidden="1">
      <c r="B41" s="374" t="s">
        <v>335</v>
      </c>
      <c r="C41" s="378">
        <f>IRR(C37:M37)</f>
        <v>0.37038461930035282</v>
      </c>
      <c r="D41" s="293"/>
      <c r="E41" s="293"/>
      <c r="F41" s="293"/>
      <c r="G41" s="293"/>
      <c r="H41" s="293"/>
      <c r="I41" s="293"/>
      <c r="J41" s="293"/>
      <c r="K41" s="293"/>
      <c r="L41" s="293"/>
    </row>
    <row r="42" spans="2:13" hidden="1">
      <c r="B42" s="331" t="s">
        <v>332</v>
      </c>
      <c r="C42" s="387">
        <f>NPV(0.15,C37:M37)</f>
        <v>13650308.459142949</v>
      </c>
    </row>
  </sheetData>
  <printOptions horizontalCentered="1"/>
  <pageMargins left="0.19685039370078741" right="0.19685039370078741" top="0.39370078740157483" bottom="0.19685039370078741" header="0.30000000000000004" footer="0.30000000000000004"/>
  <pageSetup scale="80" orientation="landscape"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3"/>
  <sheetViews>
    <sheetView tabSelected="1" topLeftCell="D54" zoomScale="125" zoomScaleNormal="125" zoomScalePageLayoutView="125" workbookViewId="0">
      <selection activeCell="D68" sqref="D68"/>
    </sheetView>
  </sheetViews>
  <sheetFormatPr defaultColWidth="8.85546875" defaultRowHeight="15"/>
  <cols>
    <col min="1" max="1" width="2.85546875" customWidth="1"/>
    <col min="2" max="2" width="36.85546875" customWidth="1"/>
    <col min="3" max="3" width="14.42578125" bestFit="1" customWidth="1"/>
    <col min="4" max="12" width="11.85546875" bestFit="1" customWidth="1"/>
    <col min="13" max="13" width="12.42578125" bestFit="1" customWidth="1"/>
  </cols>
  <sheetData>
    <row r="1" spans="1:15" ht="15.75">
      <c r="A1" s="213" t="s">
        <v>213</v>
      </c>
      <c r="B1" s="13"/>
      <c r="C1" s="13"/>
      <c r="D1" s="13"/>
      <c r="E1" s="13"/>
      <c r="F1" s="13"/>
      <c r="G1" s="13"/>
      <c r="H1" s="13"/>
      <c r="I1" s="13"/>
      <c r="J1" s="13"/>
      <c r="K1" s="13"/>
      <c r="L1" s="13"/>
    </row>
    <row r="2" spans="1:15">
      <c r="A2" s="13"/>
      <c r="B2" s="13"/>
      <c r="C2" s="13"/>
      <c r="D2" s="13"/>
      <c r="E2" s="13"/>
      <c r="F2" s="13"/>
      <c r="G2" s="13"/>
      <c r="H2" s="13"/>
      <c r="I2" s="13"/>
      <c r="J2" s="13"/>
      <c r="K2" s="13"/>
      <c r="L2" s="13"/>
    </row>
    <row r="3" spans="1:15">
      <c r="A3" s="13"/>
      <c r="B3" s="63" t="s">
        <v>214</v>
      </c>
      <c r="C3" s="231" t="s">
        <v>4</v>
      </c>
      <c r="D3" s="231" t="s">
        <v>5</v>
      </c>
      <c r="E3" s="231" t="s">
        <v>6</v>
      </c>
      <c r="F3" s="231" t="s">
        <v>7</v>
      </c>
      <c r="G3" s="231" t="s">
        <v>8</v>
      </c>
      <c r="H3" s="231" t="s">
        <v>9</v>
      </c>
      <c r="I3" s="231" t="s">
        <v>10</v>
      </c>
      <c r="J3" s="231" t="s">
        <v>11</v>
      </c>
      <c r="K3" s="231" t="s">
        <v>90</v>
      </c>
      <c r="L3" s="231" t="s">
        <v>330</v>
      </c>
      <c r="M3" s="231" t="s">
        <v>331</v>
      </c>
    </row>
    <row r="4" spans="1:15" s="1" customFormat="1">
      <c r="A4" s="17"/>
      <c r="B4" s="250" t="s">
        <v>117</v>
      </c>
      <c r="C4" s="251"/>
      <c r="D4" s="251"/>
      <c r="E4" s="251"/>
      <c r="F4" s="251"/>
      <c r="G4" s="251"/>
      <c r="H4" s="251"/>
      <c r="I4" s="251"/>
      <c r="J4" s="251"/>
      <c r="K4" s="251"/>
      <c r="L4" s="251"/>
      <c r="M4" s="251"/>
      <c r="N4"/>
      <c r="O4"/>
    </row>
    <row r="5" spans="1:15">
      <c r="A5" s="13"/>
      <c r="B5" s="84" t="s">
        <v>20</v>
      </c>
      <c r="C5" s="81">
        <f>'Key Assumptions'!C14*12*'Key Assumptions'!C31</f>
        <v>7376892.8571428573</v>
      </c>
      <c r="D5" s="81">
        <f>'Key Assumptions'!D14*12*'Key Assumptions'!D31</f>
        <v>14525033.482142856</v>
      </c>
      <c r="E5" s="81">
        <f>'Key Assumptions'!E14*12*'Key Assumptions'!E31</f>
        <v>14311448.102678569</v>
      </c>
      <c r="F5" s="81">
        <f>'Key Assumptions'!F14*12*'Key Assumptions'!F31</f>
        <v>14175392.857142856</v>
      </c>
      <c r="G5" s="81">
        <f>'Key Assumptions'!G14*12*'Key Assumptions'!G31</f>
        <v>14002533.482142858</v>
      </c>
      <c r="H5" s="81">
        <f>'Key Assumptions'!H14*12*'Key Assumptions'!H31</f>
        <v>13853517.857142856</v>
      </c>
      <c r="I5" s="81">
        <f>'Key Assumptions'!I14*12*'Key Assumptions'!I31</f>
        <v>13635991.071428571</v>
      </c>
      <c r="J5" s="81">
        <f>'Key Assumptions'!J14*12*'Key Assumptions'!J31</f>
        <v>13379062.5</v>
      </c>
      <c r="K5" s="81">
        <f>'Key Assumptions'!K14*12*'Key Assumptions'!K31</f>
        <v>13152639.843749996</v>
      </c>
      <c r="L5" s="81">
        <f>'Key Assumptions'!L14*12*'Key Assumptions'!L31</f>
        <v>13246148.191406246</v>
      </c>
      <c r="M5" s="81">
        <f>'Key Assumptions'!M14*12*'Key Assumptions'!M31</f>
        <v>13341059.164277339</v>
      </c>
    </row>
    <row r="6" spans="1:15">
      <c r="A6" s="13"/>
      <c r="B6" s="84" t="s">
        <v>266</v>
      </c>
      <c r="C6" s="81"/>
      <c r="D6" s="81"/>
      <c r="E6" s="81"/>
      <c r="F6" s="81"/>
      <c r="G6" s="81"/>
      <c r="H6" s="81"/>
      <c r="I6" s="81"/>
      <c r="J6" s="81"/>
      <c r="K6" s="81"/>
      <c r="L6" s="81"/>
      <c r="M6" s="81"/>
    </row>
    <row r="7" spans="1:15">
      <c r="A7" s="239"/>
      <c r="B7" s="84" t="s">
        <v>116</v>
      </c>
      <c r="C7" s="81">
        <f>'Key Assumptions'!C11*'Key Assumptions'!C34*12</f>
        <v>330000.00000000006</v>
      </c>
      <c r="D7" s="81">
        <f>'Key Assumptions'!D11*'Key Assumptions'!D34*12</f>
        <v>673200.00000000012</v>
      </c>
      <c r="E7" s="81">
        <f>'Key Assumptions'!E11*'Key Assumptions'!E34*12</f>
        <v>686664.00000000023</v>
      </c>
      <c r="F7" s="81">
        <f>'Key Assumptions'!F11*'Key Assumptions'!F34*12</f>
        <v>700397.28000000014</v>
      </c>
      <c r="G7" s="81">
        <f>'Key Assumptions'!G11*'Key Assumptions'!G34*12</f>
        <v>714405.22560000001</v>
      </c>
      <c r="H7" s="81">
        <f>'Key Assumptions'!H11*'Key Assumptions'!H34*12</f>
        <v>728693.330112</v>
      </c>
      <c r="I7" s="81">
        <f>'Key Assumptions'!I11*'Key Assumptions'!I34*12</f>
        <v>743267.19671424013</v>
      </c>
      <c r="J7" s="81">
        <f>'Key Assumptions'!J11*'Key Assumptions'!J34*12</f>
        <v>758132.54064852488</v>
      </c>
      <c r="K7" s="81">
        <f>'Key Assumptions'!K11*'Key Assumptions'!K34*12</f>
        <v>773295.19146149547</v>
      </c>
      <c r="L7" s="81">
        <f>'Key Assumptions'!L11*'Key Assumptions'!L34*12</f>
        <v>788761.09529072535</v>
      </c>
      <c r="M7" s="81">
        <f>'Key Assumptions'!M11*'Key Assumptions'!M34*12</f>
        <v>804536.31719653984</v>
      </c>
    </row>
    <row r="8" spans="1:15">
      <c r="A8" s="239"/>
      <c r="B8" s="84" t="s">
        <v>249</v>
      </c>
      <c r="C8" s="81">
        <f>'Key Assumptions'!C12*'Key Assumptions'!C33*12*0.5</f>
        <v>189250.00000000006</v>
      </c>
      <c r="D8" s="81">
        <f>'Key Assumptions'!D12*'Key Assumptions'!D33*12*0.5</f>
        <v>386070.00000000012</v>
      </c>
      <c r="E8" s="81">
        <f>'Key Assumptions'!E12*'Key Assumptions'!E33*12*0.5</f>
        <v>393791.40000000014</v>
      </c>
      <c r="F8" s="81">
        <f>'Key Assumptions'!F12*'Key Assumptions'!F33*12*0.5</f>
        <v>401667.22800000018</v>
      </c>
      <c r="G8" s="81">
        <f>'Key Assumptions'!G12*'Key Assumptions'!G33*12*0.5</f>
        <v>409700.57256000012</v>
      </c>
      <c r="H8" s="81">
        <f>'Key Assumptions'!H12*'Key Assumptions'!H33*12*0.5</f>
        <v>417894.58401120018</v>
      </c>
      <c r="I8" s="81">
        <f>'Key Assumptions'!I12*'Key Assumptions'!I33*12*0.5</f>
        <v>426252.4756914241</v>
      </c>
      <c r="J8" s="81">
        <f>'Key Assumptions'!J12*'Key Assumptions'!J33*12*0.5</f>
        <v>434777.52520525269</v>
      </c>
      <c r="K8" s="81">
        <f>'Key Assumptions'!K12*'Key Assumptions'!K33*12*0.5</f>
        <v>443473.07570935768</v>
      </c>
      <c r="L8" s="81">
        <f>'Key Assumptions'!L12*'Key Assumptions'!L33*12*0.5</f>
        <v>452342.5372235449</v>
      </c>
      <c r="M8" s="81">
        <f>'Key Assumptions'!M12*'Key Assumptions'!M33*12*0.5</f>
        <v>461389.38796801574</v>
      </c>
    </row>
    <row r="9" spans="1:15">
      <c r="A9" s="239"/>
      <c r="B9" s="84" t="s">
        <v>238</v>
      </c>
      <c r="C9" s="70">
        <f>'Key Assumptions'!C18*'Key Assumptions'!C35*12</f>
        <v>566250.00000000047</v>
      </c>
      <c r="D9" s="70">
        <f>'Key Assumptions'!D18*'Key Assumptions'!D35*12</f>
        <v>1457606.2500000012</v>
      </c>
      <c r="E9" s="70">
        <f>'Key Assumptions'!E18*'Key Assumptions'!E35*12</f>
        <v>1953864.4124999985</v>
      </c>
      <c r="F9" s="70">
        <f>'Key Assumptions'!F18*'Key Assumptions'!F35*12</f>
        <v>2477770.2049999991</v>
      </c>
      <c r="G9" s="70">
        <f>'Key Assumptions'!G18*'Key Assumptions'!G35*12</f>
        <v>3185128.1685374994</v>
      </c>
      <c r="H9" s="70">
        <f>'Key Assumptions'!H18*'Key Assumptions'!H35*12</f>
        <v>3928238.4788878495</v>
      </c>
      <c r="I9" s="70">
        <f>'Key Assumptions'!I18*'Key Assumptions'!I35*12</f>
        <v>4711132.1849788623</v>
      </c>
      <c r="J9" s="70">
        <f>'Key Assumptions'!J18*'Key Assumptions'!J35*12</f>
        <v>5535859.2191260131</v>
      </c>
      <c r="K9" s="70">
        <f>'Key Assumptions'!K18*'Key Assumptions'!K35*12</f>
        <v>6545476.9323097877</v>
      </c>
      <c r="L9" s="70">
        <f>'Key Assumptions'!L18*'Key Assumptions'!L35*12</f>
        <v>6630703.4536873</v>
      </c>
      <c r="M9" s="70">
        <f>'Key Assumptions'!M18*'Key Assumptions'!M35*12</f>
        <v>6717177.6753196735</v>
      </c>
    </row>
    <row r="10" spans="1:15">
      <c r="A10" s="13"/>
      <c r="B10" s="235" t="s">
        <v>118</v>
      </c>
      <c r="C10" s="82">
        <f t="shared" ref="C10:K10" si="0">SUM(C5:C9)</f>
        <v>8462392.8571428582</v>
      </c>
      <c r="D10" s="82">
        <f t="shared" si="0"/>
        <v>17041909.732142858</v>
      </c>
      <c r="E10" s="82">
        <f t="shared" si="0"/>
        <v>17345767.915178567</v>
      </c>
      <c r="F10" s="82">
        <f t="shared" si="0"/>
        <v>17755227.570142854</v>
      </c>
      <c r="G10" s="82">
        <f t="shared" si="0"/>
        <v>18311767.448840357</v>
      </c>
      <c r="H10" s="82">
        <f t="shared" si="0"/>
        <v>18928344.250153907</v>
      </c>
      <c r="I10" s="82">
        <f t="shared" si="0"/>
        <v>19516642.9288131</v>
      </c>
      <c r="J10" s="82">
        <f t="shared" si="0"/>
        <v>20107831.78497979</v>
      </c>
      <c r="K10" s="82">
        <f t="shared" si="0"/>
        <v>20914885.043230638</v>
      </c>
      <c r="L10" s="82">
        <f t="shared" ref="L10:M10" si="1">SUM(L5:L9)</f>
        <v>21117955.277607817</v>
      </c>
      <c r="M10" s="82">
        <f t="shared" si="1"/>
        <v>21324162.544761568</v>
      </c>
    </row>
    <row r="11" spans="1:15" ht="3.95" customHeight="1">
      <c r="A11" s="13"/>
      <c r="B11" s="31"/>
      <c r="C11" s="236"/>
      <c r="D11" s="236"/>
      <c r="E11" s="236"/>
      <c r="F11" s="236"/>
      <c r="G11" s="236"/>
      <c r="H11" s="236"/>
      <c r="I11" s="236"/>
      <c r="J11" s="236"/>
      <c r="K11" s="236"/>
      <c r="L11" s="236"/>
      <c r="M11" s="236"/>
    </row>
    <row r="12" spans="1:15">
      <c r="A12" s="13"/>
      <c r="B12" s="72" t="s">
        <v>119</v>
      </c>
      <c r="C12" s="244"/>
      <c r="D12" s="31"/>
      <c r="E12" s="31"/>
      <c r="F12" s="31"/>
      <c r="G12" s="31"/>
      <c r="H12" s="31"/>
      <c r="I12" s="31"/>
      <c r="J12" s="31"/>
      <c r="K12" s="31"/>
      <c r="L12" s="31"/>
      <c r="M12" s="31"/>
    </row>
    <row r="13" spans="1:15">
      <c r="A13" s="13"/>
      <c r="B13" s="84" t="s">
        <v>120</v>
      </c>
      <c r="C13" s="81">
        <f>'Key Assumptions'!C5*'Key Assumptions'!C6*12</f>
        <v>1750000</v>
      </c>
      <c r="D13" s="81">
        <f>'Key Assumptions'!D5*'Key Assumptions'!D6*12</f>
        <v>3570000</v>
      </c>
      <c r="E13" s="81">
        <f>'Key Assumptions'!E5*'Key Assumptions'!E6*12</f>
        <v>3641400</v>
      </c>
      <c r="F13" s="81">
        <f>'Key Assumptions'!F5*'Key Assumptions'!F6*12</f>
        <v>3714227.9999999991</v>
      </c>
      <c r="G13" s="81">
        <f>'Key Assumptions'!G5*'Key Assumptions'!G6*12</f>
        <v>3788512.56</v>
      </c>
      <c r="H13" s="81">
        <f>'Key Assumptions'!H5*'Key Assumptions'!H6*12</f>
        <v>3864282.8112000003</v>
      </c>
      <c r="I13" s="81">
        <f>'Key Assumptions'!I5*'Key Assumptions'!I6*12</f>
        <v>3941568.4674239997</v>
      </c>
      <c r="J13" s="81">
        <f>'Key Assumptions'!J5*'Key Assumptions'!J6*12</f>
        <v>4020399.83677248</v>
      </c>
      <c r="K13" s="81">
        <f>'Key Assumptions'!K5*'Key Assumptions'!K6*12</f>
        <v>4100807.8335079299</v>
      </c>
      <c r="L13" s="81">
        <f>'Key Assumptions'!L5*'Key Assumptions'!L6*12</f>
        <v>4182823.9901780887</v>
      </c>
      <c r="M13" s="81">
        <f>'Key Assumptions'!M5*'Key Assumptions'!M6*12</f>
        <v>4266480.4699816499</v>
      </c>
    </row>
    <row r="14" spans="1:15">
      <c r="A14" s="13"/>
      <c r="B14" s="84" t="s">
        <v>78</v>
      </c>
      <c r="C14" s="81">
        <f>'Key Assumptions'!C19*12*'Key Assumptions'!C47</f>
        <v>90780.000000000087</v>
      </c>
      <c r="D14" s="81">
        <f>'Key Assumptions'!D19*12*'Key Assumptions'!D47</f>
        <v>259320.00000000023</v>
      </c>
      <c r="E14" s="81">
        <f>'Key Assumptions'!E19*12*'Key Assumptions'!E47</f>
        <v>383837.99999999965</v>
      </c>
      <c r="F14" s="81">
        <f>'Key Assumptions'!F19*12*'Key Assumptions'!F47</f>
        <v>526111.99999999953</v>
      </c>
      <c r="G14" s="81">
        <f>'Key Assumptions'!G19*12*'Key Assumptions'!G47</f>
        <v>712859.99999999977</v>
      </c>
      <c r="H14" s="81">
        <f>'Key Assumptions'!H19*12*'Key Assumptions'!H47</f>
        <v>915984</v>
      </c>
      <c r="I14" s="81">
        <f>'Key Assumptions'!I19*12*'Key Assumptions'!I47</f>
        <v>1139292.0000000002</v>
      </c>
      <c r="J14" s="81">
        <f>'Key Assumptions'!J19*12*'Key Assumptions'!J47</f>
        <v>1382784.0000000005</v>
      </c>
      <c r="K14" s="81">
        <f>'Key Assumptions'!K19*12*'Key Assumptions'!K47</f>
        <v>1725300.0000000002</v>
      </c>
      <c r="L14" s="81">
        <f>'Key Assumptions'!L19*12*'Key Assumptions'!L47</f>
        <v>1725300.0000000002</v>
      </c>
      <c r="M14" s="81">
        <f>'Key Assumptions'!M19*12*'Key Assumptions'!M47</f>
        <v>1725300.0000000002</v>
      </c>
    </row>
    <row r="15" spans="1:15">
      <c r="A15" s="13"/>
      <c r="B15" s="84" t="s">
        <v>79</v>
      </c>
      <c r="C15" s="70">
        <f>'Key Assumptions'!$C$53*'Key Assumptions'!C19*12</f>
        <v>95454.545454545529</v>
      </c>
      <c r="D15" s="70">
        <f>'Key Assumptions'!$C$53*'Key Assumptions'!D19*12</f>
        <v>238636.36363636385</v>
      </c>
      <c r="E15" s="70">
        <f>'Key Assumptions'!$C$53*'Key Assumptions'!E19*12</f>
        <v>310227.27272727242</v>
      </c>
      <c r="F15" s="70">
        <f>'Key Assumptions'!$C$53*'Key Assumptions'!F19*12</f>
        <v>381818.18181818165</v>
      </c>
      <c r="G15" s="70">
        <f>'Key Assumptions'!$C$53*'Key Assumptions'!G19*12</f>
        <v>477272.72727272718</v>
      </c>
      <c r="H15" s="70">
        <f>'Key Assumptions'!$C$53*'Key Assumptions'!H19*12</f>
        <v>572727.27272727271</v>
      </c>
      <c r="I15" s="70">
        <f>'Key Assumptions'!$C$53*'Key Assumptions'!I19*12</f>
        <v>668181.81818181835</v>
      </c>
      <c r="J15" s="70">
        <f>'Key Assumptions'!$C$53*'Key Assumptions'!J19*12</f>
        <v>763636.36363636376</v>
      </c>
      <c r="K15" s="70">
        <f>'Key Assumptions'!$C$53*'Key Assumptions'!K19*12</f>
        <v>859090.90909090918</v>
      </c>
      <c r="L15" s="70">
        <f>'Key Assumptions'!$C$53*'Key Assumptions'!L19*12</f>
        <v>859090.90909090918</v>
      </c>
      <c r="M15" s="70">
        <f>'Key Assumptions'!$C$53*'Key Assumptions'!M19*12</f>
        <v>859090.90909090918</v>
      </c>
    </row>
    <row r="16" spans="1:15">
      <c r="A16" s="13"/>
      <c r="B16" s="235" t="s">
        <v>121</v>
      </c>
      <c r="C16" s="82">
        <f t="shared" ref="C16:K16" si="2">SUM(C13:C15)</f>
        <v>1936234.5454545454</v>
      </c>
      <c r="D16" s="82">
        <f t="shared" si="2"/>
        <v>4067956.3636363638</v>
      </c>
      <c r="E16" s="82">
        <f t="shared" si="2"/>
        <v>4335465.2727272715</v>
      </c>
      <c r="F16" s="82">
        <f t="shared" si="2"/>
        <v>4622158.1818181798</v>
      </c>
      <c r="G16" s="82">
        <f t="shared" si="2"/>
        <v>4978645.2872727271</v>
      </c>
      <c r="H16" s="82">
        <f t="shared" si="2"/>
        <v>5352994.0839272728</v>
      </c>
      <c r="I16" s="82">
        <f t="shared" si="2"/>
        <v>5749042.285605818</v>
      </c>
      <c r="J16" s="82">
        <f t="shared" si="2"/>
        <v>6166820.2004088443</v>
      </c>
      <c r="K16" s="82">
        <f t="shared" si="2"/>
        <v>6685198.7425988391</v>
      </c>
      <c r="L16" s="82">
        <f t="shared" ref="L16:M16" si="3">SUM(L13:L15)</f>
        <v>6767214.8992689978</v>
      </c>
      <c r="M16" s="82">
        <f t="shared" si="3"/>
        <v>6850871.3790725591</v>
      </c>
    </row>
    <row r="17" spans="1:13">
      <c r="A17" s="13"/>
      <c r="B17" s="31"/>
      <c r="C17" s="283">
        <f t="shared" ref="C17:K17" si="4">C16/C10</f>
        <v>0.22880461568505728</v>
      </c>
      <c r="D17" s="283">
        <f t="shared" si="4"/>
        <v>0.23870308126111972</v>
      </c>
      <c r="E17" s="283">
        <f t="shared" si="4"/>
        <v>0.24994369196727717</v>
      </c>
      <c r="F17" s="283">
        <f t="shared" si="4"/>
        <v>0.26032660880059849</v>
      </c>
      <c r="G17" s="283">
        <f t="shared" si="4"/>
        <v>0.27188229105585399</v>
      </c>
      <c r="H17" s="283">
        <f t="shared" si="4"/>
        <v>0.28280308162103229</v>
      </c>
      <c r="I17" s="283">
        <f t="shared" si="4"/>
        <v>0.29457126958644647</v>
      </c>
      <c r="J17" s="283">
        <f t="shared" si="4"/>
        <v>0.30668747711602373</v>
      </c>
      <c r="K17" s="283">
        <f t="shared" si="4"/>
        <v>0.31963832116603419</v>
      </c>
      <c r="L17" s="283">
        <f t="shared" ref="L17:M17" si="5">L16/L10</f>
        <v>0.32044839617803988</v>
      </c>
      <c r="M17" s="283">
        <f t="shared" si="5"/>
        <v>0.32127270483386577</v>
      </c>
    </row>
    <row r="18" spans="1:13">
      <c r="A18" s="13"/>
      <c r="B18" s="72" t="s">
        <v>122</v>
      </c>
      <c r="C18" s="244"/>
      <c r="D18" s="244"/>
      <c r="E18" s="244"/>
      <c r="F18" s="244"/>
      <c r="G18" s="244"/>
      <c r="H18" s="244"/>
      <c r="I18" s="244"/>
      <c r="J18" s="244"/>
      <c r="K18" s="244"/>
      <c r="L18" s="244"/>
      <c r="M18" s="244"/>
    </row>
    <row r="19" spans="1:13">
      <c r="A19" s="13"/>
      <c r="B19" s="84" t="s">
        <v>183</v>
      </c>
      <c r="C19" s="81">
        <f>'Key Assumptions'!C9*12*'Key Assumptions'!C42</f>
        <v>2099545.1775000002</v>
      </c>
      <c r="D19" s="81">
        <f>'Key Assumptions'!D9*12*'Key Assumptions'!D42</f>
        <v>2479017.9224999999</v>
      </c>
      <c r="E19" s="81">
        <f>'Key Assumptions'!E9*12*'Key Assumptions'!E42</f>
        <v>2553388.4601750001</v>
      </c>
      <c r="F19" s="81">
        <f>'Key Assumptions'!F9*12*'Key Assumptions'!F42</f>
        <v>2629990.1139802504</v>
      </c>
      <c r="G19" s="81">
        <f>'Key Assumptions'!G9*12*'Key Assumptions'!G42</f>
        <v>2708889.8173996578</v>
      </c>
      <c r="H19" s="81">
        <f>'Key Assumptions'!H9*12*'Key Assumptions'!H42</f>
        <v>2790156.5119216475</v>
      </c>
      <c r="I19" s="81">
        <f>'Key Assumptions'!I9*12*'Key Assumptions'!I42</f>
        <v>2873861.2072792971</v>
      </c>
      <c r="J19" s="81">
        <f>'Key Assumptions'!J9*12*'Key Assumptions'!J42</f>
        <v>2960077.0434976756</v>
      </c>
      <c r="K19" s="81">
        <f>'Key Assumptions'!K9*12*'Key Assumptions'!K42</f>
        <v>3048879.3548026062</v>
      </c>
      <c r="L19" s="81">
        <f>'Key Assumptions'!L9*12*'Key Assumptions'!L42</f>
        <v>3140345.7354466845</v>
      </c>
      <c r="M19" s="81">
        <f>'Key Assumptions'!M9*12*'Key Assumptions'!M42</f>
        <v>3234556.1075100852</v>
      </c>
    </row>
    <row r="20" spans="1:13">
      <c r="A20" s="13"/>
      <c r="B20" s="84" t="s">
        <v>275</v>
      </c>
      <c r="C20" s="81">
        <f>('Key Assumptions'!C10+'Key Assumptions'!C11+'Key Assumptions'!C12)*'Key Assumptions'!C43*12</f>
        <v>289250.00000000006</v>
      </c>
      <c r="D20" s="81">
        <f>('Key Assumptions'!D10+'Key Assumptions'!D11+'Key Assumptions'!D12)*'Key Assumptions'!D43*12</f>
        <v>723125.00000000012</v>
      </c>
      <c r="E20" s="81">
        <f>('Key Assumptions'!E10+'Key Assumptions'!E11+'Key Assumptions'!E12)*'Key Assumptions'!E43*12</f>
        <v>744818.75000000012</v>
      </c>
      <c r="F20" s="81">
        <f>('Key Assumptions'!F10+'Key Assumptions'!F11+'Key Assumptions'!F12)*'Key Assumptions'!F43*12</f>
        <v>767163.31250000012</v>
      </c>
      <c r="G20" s="81">
        <f>('Key Assumptions'!G10+'Key Assumptions'!G11+'Key Assumptions'!G12)*'Key Assumptions'!G43*12</f>
        <v>790178.21187500027</v>
      </c>
      <c r="H20" s="81">
        <f>('Key Assumptions'!H10+'Key Assumptions'!H11+'Key Assumptions'!H12)*'Key Assumptions'!H43*12</f>
        <v>813883.55823125038</v>
      </c>
      <c r="I20" s="81">
        <f>('Key Assumptions'!I10+'Key Assumptions'!I11+'Key Assumptions'!I12)*'Key Assumptions'!I43*12</f>
        <v>838300.06497818779</v>
      </c>
      <c r="J20" s="81">
        <f>('Key Assumptions'!J10+'Key Assumptions'!J11+'Key Assumptions'!J12)*'Key Assumptions'!J43*12</f>
        <v>863449.06692753348</v>
      </c>
      <c r="K20" s="81">
        <f>('Key Assumptions'!K10+'Key Assumptions'!K11+'Key Assumptions'!K12)*'Key Assumptions'!K43*12</f>
        <v>889352.53893535957</v>
      </c>
      <c r="L20" s="81">
        <f>('Key Assumptions'!L10+'Key Assumptions'!L11+'Key Assumptions'!L12)*'Key Assumptions'!L43*12</f>
        <v>916033.11510342022</v>
      </c>
      <c r="M20" s="81">
        <f>('Key Assumptions'!M10+'Key Assumptions'!M11+'Key Assumptions'!M12)*'Key Assumptions'!M43*12</f>
        <v>943514.10855652287</v>
      </c>
    </row>
    <row r="21" spans="1:13">
      <c r="A21" s="13"/>
      <c r="B21" s="84" t="s">
        <v>123</v>
      </c>
      <c r="C21" s="81">
        <f>'Key Assumptions'!C45*12*'Key Assumptions'!C19</f>
        <v>27272.727272727298</v>
      </c>
      <c r="D21" s="81">
        <f>'Key Assumptions'!D45*12*'Key Assumptions'!D19</f>
        <v>70227.272727272793</v>
      </c>
      <c r="E21" s="81">
        <f>'Key Assumptions'!E45*12*'Key Assumptions'!E19</f>
        <v>94034.318181818104</v>
      </c>
      <c r="F21" s="81">
        <f>'Key Assumptions'!F45*12*'Key Assumptions'!F19</f>
        <v>119206.58181818179</v>
      </c>
      <c r="G21" s="81">
        <f>'Key Assumptions'!G45*12*'Key Assumptions'!G19</f>
        <v>153478.47409090906</v>
      </c>
      <c r="H21" s="81">
        <f>'Key Assumptions'!H45*12*'Key Assumptions'!H19</f>
        <v>189699.3939763637</v>
      </c>
      <c r="I21" s="81">
        <f>'Key Assumptions'!I45*12*'Key Assumptions'!I19</f>
        <v>227955.43842826373</v>
      </c>
      <c r="J21" s="81">
        <f>'Key Assumptions'!J45*12*'Key Assumptions'!J19</f>
        <v>268336.11609269906</v>
      </c>
      <c r="K21" s="81">
        <f>'Key Assumptions'!K45*12*'Key Assumptions'!K19</f>
        <v>310934.47452241502</v>
      </c>
      <c r="L21" s="81">
        <f>'Key Assumptions'!L45*12*'Key Assumptions'!L19</f>
        <v>320262.50875808747</v>
      </c>
      <c r="M21" s="81">
        <f>'Key Assumptions'!M45*12*'Key Assumptions'!M19</f>
        <v>329870.3840208301</v>
      </c>
    </row>
    <row r="22" spans="1:13">
      <c r="A22" s="13"/>
      <c r="B22" s="242" t="s">
        <v>96</v>
      </c>
      <c r="C22" s="70">
        <v>100000</v>
      </c>
      <c r="D22" s="70">
        <f t="shared" ref="D22:K22" si="6">C22*(1.02)</f>
        <v>102000</v>
      </c>
      <c r="E22" s="70">
        <f t="shared" si="6"/>
        <v>104040</v>
      </c>
      <c r="F22" s="70">
        <f t="shared" si="6"/>
        <v>106120.8</v>
      </c>
      <c r="G22" s="70">
        <f t="shared" si="6"/>
        <v>108243.216</v>
      </c>
      <c r="H22" s="70">
        <f t="shared" si="6"/>
        <v>110408.08032000001</v>
      </c>
      <c r="I22" s="70">
        <f t="shared" si="6"/>
        <v>112616.24192640001</v>
      </c>
      <c r="J22" s="70">
        <f t="shared" si="6"/>
        <v>114868.56676492801</v>
      </c>
      <c r="K22" s="70">
        <f t="shared" si="6"/>
        <v>117165.93810022657</v>
      </c>
      <c r="L22" s="70">
        <f t="shared" ref="L22" si="7">K22*(1.02)</f>
        <v>119509.25686223111</v>
      </c>
      <c r="M22" s="70">
        <f t="shared" ref="M22" si="8">L22*(1.02)</f>
        <v>121899.44199947573</v>
      </c>
    </row>
    <row r="23" spans="1:13">
      <c r="A23" s="13"/>
      <c r="B23" s="235" t="s">
        <v>124</v>
      </c>
      <c r="C23" s="82">
        <f t="shared" ref="C23:M23" si="9">SUM(C19:C22)</f>
        <v>2516067.9047727278</v>
      </c>
      <c r="D23" s="82">
        <f t="shared" si="9"/>
        <v>3374370.1952272728</v>
      </c>
      <c r="E23" s="82">
        <f t="shared" si="9"/>
        <v>3496281.528356818</v>
      </c>
      <c r="F23" s="82">
        <f t="shared" si="9"/>
        <v>3622480.8082984323</v>
      </c>
      <c r="G23" s="82">
        <f t="shared" si="9"/>
        <v>3760789.7193655674</v>
      </c>
      <c r="H23" s="82">
        <f t="shared" si="9"/>
        <v>3904147.5444492619</v>
      </c>
      <c r="I23" s="82">
        <f t="shared" si="9"/>
        <v>4052732.9526121486</v>
      </c>
      <c r="J23" s="82">
        <f t="shared" si="9"/>
        <v>4206730.7932828367</v>
      </c>
      <c r="K23" s="82">
        <f t="shared" si="9"/>
        <v>4366332.306360607</v>
      </c>
      <c r="L23" s="82">
        <f t="shared" si="9"/>
        <v>4496150.616170424</v>
      </c>
      <c r="M23" s="82">
        <f t="shared" si="9"/>
        <v>4629840.0420869142</v>
      </c>
    </row>
    <row r="24" spans="1:13">
      <c r="A24" s="13"/>
      <c r="B24" s="235"/>
      <c r="C24" s="283">
        <f t="shared" ref="C24:M24" si="10">C23/C10</f>
        <v>0.29732345770841734</v>
      </c>
      <c r="D24" s="283">
        <f t="shared" si="10"/>
        <v>0.19800422888421074</v>
      </c>
      <c r="E24" s="283">
        <f t="shared" si="10"/>
        <v>0.20156395182120279</v>
      </c>
      <c r="F24" s="283">
        <f t="shared" si="10"/>
        <v>0.20402333870335668</v>
      </c>
      <c r="G24" s="283">
        <f t="shared" si="10"/>
        <v>0.205375572285554</v>
      </c>
      <c r="H24" s="283">
        <f t="shared" si="10"/>
        <v>0.20625932690428098</v>
      </c>
      <c r="I24" s="283">
        <f t="shared" si="10"/>
        <v>0.20765522879085715</v>
      </c>
      <c r="J24" s="283">
        <f t="shared" si="10"/>
        <v>0.20920857297131326</v>
      </c>
      <c r="K24" s="283">
        <f t="shared" si="10"/>
        <v>0.20876673705523544</v>
      </c>
      <c r="L24" s="283">
        <f t="shared" si="10"/>
        <v>0.21290653176720503</v>
      </c>
      <c r="M24" s="283">
        <f t="shared" si="10"/>
        <v>0.21711708642102182</v>
      </c>
    </row>
    <row r="25" spans="1:13" ht="6" customHeight="1">
      <c r="A25" s="13"/>
      <c r="B25" s="31"/>
      <c r="C25" s="237"/>
      <c r="D25" s="237"/>
      <c r="E25" s="237"/>
      <c r="F25" s="237"/>
      <c r="G25" s="237"/>
      <c r="H25" s="237"/>
      <c r="I25" s="237"/>
      <c r="J25" s="237"/>
      <c r="K25" s="237"/>
      <c r="L25" s="237"/>
      <c r="M25" s="237"/>
    </row>
    <row r="26" spans="1:13">
      <c r="A26" s="220"/>
      <c r="B26" s="243" t="s">
        <v>184</v>
      </c>
      <c r="C26" s="248">
        <f t="shared" ref="C26:M26" si="11">C16+C23</f>
        <v>4452302.4502272736</v>
      </c>
      <c r="D26" s="248">
        <f t="shared" si="11"/>
        <v>7442326.5588636361</v>
      </c>
      <c r="E26" s="248">
        <f t="shared" si="11"/>
        <v>7831746.80108409</v>
      </c>
      <c r="F26" s="248">
        <f t="shared" si="11"/>
        <v>8244638.9901166121</v>
      </c>
      <c r="G26" s="248">
        <f t="shared" si="11"/>
        <v>8739435.0066382941</v>
      </c>
      <c r="H26" s="248">
        <f t="shared" si="11"/>
        <v>9257141.6283765342</v>
      </c>
      <c r="I26" s="248">
        <f t="shared" si="11"/>
        <v>9801775.2382179666</v>
      </c>
      <c r="J26" s="248">
        <f t="shared" si="11"/>
        <v>10373550.993691681</v>
      </c>
      <c r="K26" s="248">
        <f t="shared" si="11"/>
        <v>11051531.048959445</v>
      </c>
      <c r="L26" s="248">
        <f t="shared" si="11"/>
        <v>11263365.515439421</v>
      </c>
      <c r="M26" s="248">
        <f t="shared" si="11"/>
        <v>11480711.421159472</v>
      </c>
    </row>
    <row r="27" spans="1:13" ht="6" customHeight="1">
      <c r="A27" s="13"/>
      <c r="B27" s="31"/>
      <c r="C27" s="236"/>
      <c r="D27" s="236"/>
      <c r="E27" s="236"/>
      <c r="F27" s="236"/>
      <c r="G27" s="236"/>
      <c r="H27" s="236"/>
      <c r="I27" s="236"/>
      <c r="J27" s="236"/>
      <c r="K27" s="236"/>
      <c r="L27" s="236"/>
      <c r="M27" s="236"/>
    </row>
    <row r="28" spans="1:13">
      <c r="A28" s="13"/>
      <c r="B28" s="80" t="s">
        <v>125</v>
      </c>
      <c r="C28" s="249">
        <f t="shared" ref="C28:M28" si="12">C10-C26</f>
        <v>4010090.4069155846</v>
      </c>
      <c r="D28" s="249">
        <f t="shared" si="12"/>
        <v>9599583.1732792221</v>
      </c>
      <c r="E28" s="249">
        <f t="shared" si="12"/>
        <v>9514021.1140944771</v>
      </c>
      <c r="F28" s="249">
        <f t="shared" si="12"/>
        <v>9510588.5800262429</v>
      </c>
      <c r="G28" s="249">
        <f t="shared" si="12"/>
        <v>9572332.4422020633</v>
      </c>
      <c r="H28" s="249">
        <f t="shared" si="12"/>
        <v>9671202.6217773724</v>
      </c>
      <c r="I28" s="249">
        <f t="shared" si="12"/>
        <v>9714867.6905951332</v>
      </c>
      <c r="J28" s="249">
        <f t="shared" si="12"/>
        <v>9734280.7912881095</v>
      </c>
      <c r="K28" s="249">
        <f t="shared" si="12"/>
        <v>9863353.9942711927</v>
      </c>
      <c r="L28" s="249">
        <f t="shared" si="12"/>
        <v>9854589.7621683963</v>
      </c>
      <c r="M28" s="249">
        <f t="shared" si="12"/>
        <v>9843451.123602096</v>
      </c>
    </row>
    <row r="29" spans="1:13">
      <c r="A29" s="13"/>
      <c r="B29" s="80"/>
      <c r="C29" s="283">
        <f t="shared" ref="C29:M29" si="13">C28/C10</f>
        <v>0.47387192660652533</v>
      </c>
      <c r="D29" s="283">
        <f t="shared" si="13"/>
        <v>0.56329268985466963</v>
      </c>
      <c r="E29" s="283">
        <f t="shared" si="13"/>
        <v>0.54849235621152004</v>
      </c>
      <c r="F29" s="283">
        <f t="shared" si="13"/>
        <v>0.53565005249604491</v>
      </c>
      <c r="G29" s="283">
        <f t="shared" si="13"/>
        <v>0.52274213665859204</v>
      </c>
      <c r="H29" s="283">
        <f t="shared" si="13"/>
        <v>0.51093759147468676</v>
      </c>
      <c r="I29" s="283">
        <f t="shared" si="13"/>
        <v>0.49777350162269635</v>
      </c>
      <c r="J29" s="283">
        <f t="shared" si="13"/>
        <v>0.48410394991266298</v>
      </c>
      <c r="K29" s="283">
        <f t="shared" si="13"/>
        <v>0.47159494177873046</v>
      </c>
      <c r="L29" s="283">
        <f t="shared" si="13"/>
        <v>0.46664507205475514</v>
      </c>
      <c r="M29" s="283">
        <f t="shared" si="13"/>
        <v>0.46161020874511244</v>
      </c>
    </row>
    <row r="30" spans="1:13" ht="3.95" customHeight="1">
      <c r="A30" s="13"/>
      <c r="B30" s="80"/>
      <c r="C30" s="249"/>
      <c r="D30" s="249"/>
      <c r="E30" s="249"/>
      <c r="F30" s="249"/>
      <c r="G30" s="249"/>
      <c r="H30" s="249"/>
      <c r="I30" s="249"/>
      <c r="J30" s="249"/>
      <c r="K30" s="249"/>
      <c r="L30" s="249"/>
      <c r="M30" s="249"/>
    </row>
    <row r="31" spans="1:13">
      <c r="A31" s="13"/>
      <c r="B31" s="31"/>
      <c r="C31" s="232" t="s">
        <v>4</v>
      </c>
      <c r="D31" s="232" t="s">
        <v>5</v>
      </c>
      <c r="E31" s="232" t="s">
        <v>6</v>
      </c>
      <c r="F31" s="232" t="s">
        <v>7</v>
      </c>
      <c r="G31" s="232" t="s">
        <v>8</v>
      </c>
      <c r="H31" s="232" t="s">
        <v>9</v>
      </c>
      <c r="I31" s="232" t="s">
        <v>10</v>
      </c>
      <c r="J31" s="232" t="s">
        <v>11</v>
      </c>
      <c r="K31" s="232" t="s">
        <v>90</v>
      </c>
      <c r="L31" s="232" t="s">
        <v>330</v>
      </c>
      <c r="M31" s="232" t="s">
        <v>331</v>
      </c>
    </row>
    <row r="32" spans="1:13">
      <c r="A32" s="13"/>
      <c r="B32" s="72" t="s">
        <v>126</v>
      </c>
      <c r="C32" s="31"/>
      <c r="D32" s="31"/>
      <c r="E32" s="31"/>
      <c r="F32" s="31"/>
      <c r="G32" s="31"/>
      <c r="H32" s="31"/>
      <c r="I32" s="31"/>
      <c r="J32" s="31"/>
      <c r="K32" s="31"/>
      <c r="L32" s="31"/>
      <c r="M32" s="31"/>
    </row>
    <row r="33" spans="1:13">
      <c r="A33" s="13"/>
      <c r="B33" s="84" t="s">
        <v>127</v>
      </c>
      <c r="C33" s="81">
        <v>15000</v>
      </c>
      <c r="D33" s="81">
        <f>C33*(1.03)</f>
        <v>15450</v>
      </c>
      <c r="E33" s="81">
        <f t="shared" ref="E33:K33" si="14">D33*(1.03)</f>
        <v>15913.5</v>
      </c>
      <c r="F33" s="81">
        <f t="shared" si="14"/>
        <v>16390.904999999999</v>
      </c>
      <c r="G33" s="81">
        <f t="shared" si="14"/>
        <v>16882.632149999998</v>
      </c>
      <c r="H33" s="81">
        <f t="shared" si="14"/>
        <v>17389.1111145</v>
      </c>
      <c r="I33" s="81">
        <f t="shared" si="14"/>
        <v>17910.784447934999</v>
      </c>
      <c r="J33" s="81">
        <f t="shared" si="14"/>
        <v>18448.10798137305</v>
      </c>
      <c r="K33" s="81">
        <f t="shared" si="14"/>
        <v>19001.551220814243</v>
      </c>
      <c r="L33" s="81">
        <f t="shared" ref="L33:L35" si="15">K33*(1.03)</f>
        <v>19571.597757438671</v>
      </c>
      <c r="M33" s="81">
        <f t="shared" ref="M33:M35" si="16">L33*(1.03)</f>
        <v>20158.745690161832</v>
      </c>
    </row>
    <row r="34" spans="1:13">
      <c r="A34" s="13"/>
      <c r="B34" s="84" t="s">
        <v>109</v>
      </c>
      <c r="C34" s="81">
        <v>75000</v>
      </c>
      <c r="D34" s="81">
        <f>C34*(1.03)</f>
        <v>77250</v>
      </c>
      <c r="E34" s="81">
        <f t="shared" ref="E34:K34" si="17">D34*(1.03)</f>
        <v>79567.5</v>
      </c>
      <c r="F34" s="81">
        <f t="shared" si="17"/>
        <v>81954.525000000009</v>
      </c>
      <c r="G34" s="81">
        <f t="shared" si="17"/>
        <v>84413.16075000001</v>
      </c>
      <c r="H34" s="81">
        <f t="shared" si="17"/>
        <v>86945.555572500016</v>
      </c>
      <c r="I34" s="81">
        <f t="shared" si="17"/>
        <v>89553.922239675012</v>
      </c>
      <c r="J34" s="81">
        <f t="shared" si="17"/>
        <v>92240.539906865262</v>
      </c>
      <c r="K34" s="81">
        <f t="shared" si="17"/>
        <v>95007.756104071217</v>
      </c>
      <c r="L34" s="81">
        <f t="shared" si="15"/>
        <v>97857.988787193361</v>
      </c>
      <c r="M34" s="81">
        <f t="shared" si="16"/>
        <v>100793.72845080917</v>
      </c>
    </row>
    <row r="35" spans="1:13">
      <c r="A35" s="13"/>
      <c r="B35" s="84" t="s">
        <v>128</v>
      </c>
      <c r="C35" s="68">
        <v>12000</v>
      </c>
      <c r="D35" s="68">
        <f t="shared" ref="D35:K35" si="18">C35*(1.03)</f>
        <v>12360</v>
      </c>
      <c r="E35" s="68">
        <f t="shared" si="18"/>
        <v>12730.800000000001</v>
      </c>
      <c r="F35" s="68">
        <f t="shared" si="18"/>
        <v>13112.724000000002</v>
      </c>
      <c r="G35" s="68">
        <f t="shared" si="18"/>
        <v>13506.105720000003</v>
      </c>
      <c r="H35" s="68">
        <f t="shared" si="18"/>
        <v>13911.288891600003</v>
      </c>
      <c r="I35" s="68">
        <f t="shared" si="18"/>
        <v>14328.627558348004</v>
      </c>
      <c r="J35" s="68">
        <f t="shared" si="18"/>
        <v>14758.486385098444</v>
      </c>
      <c r="K35" s="68">
        <f t="shared" si="18"/>
        <v>15201.240976651397</v>
      </c>
      <c r="L35" s="68">
        <f t="shared" si="15"/>
        <v>15657.278205950939</v>
      </c>
      <c r="M35" s="68">
        <f t="shared" si="16"/>
        <v>16126.996552129467</v>
      </c>
    </row>
    <row r="36" spans="1:13">
      <c r="A36" s="13"/>
      <c r="B36" s="84" t="s">
        <v>94</v>
      </c>
      <c r="C36" s="68">
        <v>50000</v>
      </c>
      <c r="D36" s="68">
        <f t="shared" ref="D36:K36" si="19">C36*1.03</f>
        <v>51500</v>
      </c>
      <c r="E36" s="68">
        <f t="shared" si="19"/>
        <v>53045</v>
      </c>
      <c r="F36" s="68">
        <f t="shared" si="19"/>
        <v>54636.35</v>
      </c>
      <c r="G36" s="68">
        <f t="shared" si="19"/>
        <v>56275.440499999997</v>
      </c>
      <c r="H36" s="68">
        <f t="shared" si="19"/>
        <v>57963.703714999996</v>
      </c>
      <c r="I36" s="68">
        <f t="shared" si="19"/>
        <v>59702.614826450001</v>
      </c>
      <c r="J36" s="68">
        <f t="shared" si="19"/>
        <v>61493.693271243501</v>
      </c>
      <c r="K36" s="68">
        <f t="shared" si="19"/>
        <v>63338.504069380804</v>
      </c>
      <c r="L36" s="68">
        <f t="shared" ref="L36" si="20">K36*1.03</f>
        <v>65238.659191462233</v>
      </c>
      <c r="M36" s="68">
        <f t="shared" ref="M36" si="21">L36*1.03</f>
        <v>67195.818967206098</v>
      </c>
    </row>
    <row r="37" spans="1:13" ht="16.5" customHeight="1">
      <c r="A37" s="13"/>
      <c r="B37" s="84" t="s">
        <v>12</v>
      </c>
      <c r="C37" s="81">
        <f>'Key Assumptions'!C19*12*'Key Assumptions'!C49</f>
        <v>40909.090909090948</v>
      </c>
      <c r="D37" s="81">
        <f>'Key Assumptions'!D19*12*'Key Assumptions'!D49</f>
        <v>105340.90909090919</v>
      </c>
      <c r="E37" s="81">
        <f>'Key Assumptions'!E19*12*'Key Assumptions'!E49</f>
        <v>141051.47727272715</v>
      </c>
      <c r="F37" s="81">
        <f>'Key Assumptions'!F19*12*'Key Assumptions'!F49</f>
        <v>178809.87272727265</v>
      </c>
      <c r="G37" s="81">
        <f>'Key Assumptions'!G19*12*'Key Assumptions'!G49</f>
        <v>230217.71113636356</v>
      </c>
      <c r="H37" s="81">
        <f>'Key Assumptions'!H19*12*'Key Assumptions'!H49</f>
        <v>284549.09096454544</v>
      </c>
      <c r="I37" s="81">
        <f>'Key Assumptions'!I19*12*'Key Assumptions'!I49</f>
        <v>341933.15764239553</v>
      </c>
      <c r="J37" s="81">
        <f>'Key Assumptions'!J19*12*'Key Assumptions'!J49</f>
        <v>402504.1741390485</v>
      </c>
      <c r="K37" s="81">
        <f>'Key Assumptions'!K19*12*'Key Assumptions'!K49</f>
        <v>466401.71178362251</v>
      </c>
      <c r="L37" s="81">
        <f>'Key Assumptions'!L19*12*'Key Assumptions'!L49</f>
        <v>480393.76313713123</v>
      </c>
      <c r="M37" s="81">
        <f>'Key Assumptions'!M19*12*'Key Assumptions'!M49</f>
        <v>494805.57603124512</v>
      </c>
    </row>
    <row r="38" spans="1:13">
      <c r="A38" s="13"/>
      <c r="B38" s="242" t="s">
        <v>26</v>
      </c>
      <c r="C38" s="70">
        <f>'Org-Salary Structure'!G20*0.25</f>
        <v>176812.5</v>
      </c>
      <c r="D38" s="70">
        <f>'Org-Salary Structure'!G20*0.5</f>
        <v>353625</v>
      </c>
      <c r="E38" s="70">
        <f>'Org-Salary Structure'!G20</f>
        <v>707250</v>
      </c>
      <c r="F38" s="70">
        <f t="shared" ref="F38:K38" si="22">E38*(1.03)</f>
        <v>728467.5</v>
      </c>
      <c r="G38" s="70">
        <f t="shared" si="22"/>
        <v>750321.52500000002</v>
      </c>
      <c r="H38" s="70">
        <f t="shared" si="22"/>
        <v>772831.17075000005</v>
      </c>
      <c r="I38" s="70">
        <f t="shared" si="22"/>
        <v>796016.10587250011</v>
      </c>
      <c r="J38" s="70">
        <f t="shared" si="22"/>
        <v>819896.58904867515</v>
      </c>
      <c r="K38" s="70">
        <f t="shared" si="22"/>
        <v>844493.48672013544</v>
      </c>
      <c r="L38" s="70">
        <f t="shared" ref="L38" si="23">K38*(1.03)</f>
        <v>869828.29132173955</v>
      </c>
      <c r="M38" s="70">
        <f t="shared" ref="M38" si="24">L38*(1.03)</f>
        <v>895923.14006139175</v>
      </c>
    </row>
    <row r="39" spans="1:13">
      <c r="A39" s="13"/>
      <c r="B39" s="235" t="s">
        <v>129</v>
      </c>
      <c r="C39" s="82">
        <f t="shared" ref="C39:J39" si="25">SUM(C33:C38)</f>
        <v>369721.59090909094</v>
      </c>
      <c r="D39" s="82">
        <f t="shared" si="25"/>
        <v>615525.90909090918</v>
      </c>
      <c r="E39" s="82">
        <f t="shared" si="25"/>
        <v>1009558.2772727271</v>
      </c>
      <c r="F39" s="82">
        <f t="shared" si="25"/>
        <v>1073371.8767272728</v>
      </c>
      <c r="G39" s="82">
        <f t="shared" si="25"/>
        <v>1151616.5752563635</v>
      </c>
      <c r="H39" s="82">
        <f t="shared" si="25"/>
        <v>1233589.9210081454</v>
      </c>
      <c r="I39" s="82">
        <f t="shared" si="25"/>
        <v>1319445.2125873037</v>
      </c>
      <c r="J39" s="82">
        <f t="shared" si="25"/>
        <v>1409341.5907323039</v>
      </c>
      <c r="K39" s="82">
        <f t="shared" ref="K39:M39" si="26">SUM(K33:K38)</f>
        <v>1503444.2508746756</v>
      </c>
      <c r="L39" s="82">
        <f t="shared" si="26"/>
        <v>1548547.578400916</v>
      </c>
      <c r="M39" s="82">
        <f t="shared" si="26"/>
        <v>1595004.0057529435</v>
      </c>
    </row>
    <row r="40" spans="1:13">
      <c r="A40" s="13"/>
      <c r="B40" s="235"/>
      <c r="C40" s="283">
        <f t="shared" ref="C40:M40" si="27">C39/C10</f>
        <v>4.3689958283728195E-2</v>
      </c>
      <c r="D40" s="283">
        <f t="shared" si="27"/>
        <v>3.6118364594430498E-2</v>
      </c>
      <c r="E40" s="283">
        <f t="shared" si="27"/>
        <v>5.8201993835585927E-2</v>
      </c>
      <c r="F40" s="283">
        <f t="shared" si="27"/>
        <v>6.0453850703229069E-2</v>
      </c>
      <c r="G40" s="283">
        <f t="shared" si="27"/>
        <v>6.2889427712194579E-2</v>
      </c>
      <c r="H40" s="283">
        <f t="shared" si="27"/>
        <v>6.5171570460956466E-2</v>
      </c>
      <c r="I40" s="283">
        <f t="shared" si="27"/>
        <v>6.7606156314893723E-2</v>
      </c>
      <c r="J40" s="283">
        <f t="shared" si="27"/>
        <v>7.0089187427212221E-2</v>
      </c>
      <c r="K40" s="283">
        <f t="shared" si="27"/>
        <v>7.1883935664340842E-2</v>
      </c>
      <c r="L40" s="283">
        <f t="shared" si="27"/>
        <v>7.33284808138078E-2</v>
      </c>
      <c r="M40" s="283">
        <f t="shared" si="27"/>
        <v>7.4797966973139937E-2</v>
      </c>
    </row>
    <row r="41" spans="1:13" ht="3.95" customHeight="1">
      <c r="A41" s="13"/>
      <c r="B41" s="31"/>
      <c r="C41" s="244"/>
      <c r="D41" s="244"/>
      <c r="E41" s="244"/>
      <c r="F41" s="244"/>
      <c r="G41" s="244"/>
      <c r="H41" s="244"/>
      <c r="I41" s="244"/>
      <c r="J41" s="244"/>
      <c r="K41" s="244"/>
      <c r="L41" s="244"/>
      <c r="M41" s="244"/>
    </row>
    <row r="42" spans="1:13">
      <c r="A42" s="13"/>
      <c r="B42" s="235" t="s">
        <v>2</v>
      </c>
      <c r="C42" s="82">
        <f t="shared" ref="C42:K42" si="28">C28-C39</f>
        <v>3640368.8160064938</v>
      </c>
      <c r="D42" s="82">
        <f t="shared" si="28"/>
        <v>8984057.264188312</v>
      </c>
      <c r="E42" s="82">
        <f t="shared" si="28"/>
        <v>8504462.8368217498</v>
      </c>
      <c r="F42" s="82">
        <f t="shared" si="28"/>
        <v>8437216.7032989711</v>
      </c>
      <c r="G42" s="82">
        <f t="shared" si="28"/>
        <v>8420715.8669456989</v>
      </c>
      <c r="H42" s="82">
        <f t="shared" si="28"/>
        <v>8437612.700769227</v>
      </c>
      <c r="I42" s="82">
        <f t="shared" si="28"/>
        <v>8395422.4780078288</v>
      </c>
      <c r="J42" s="82">
        <f t="shared" si="28"/>
        <v>8324939.2005558051</v>
      </c>
      <c r="K42" s="82">
        <f t="shared" si="28"/>
        <v>8359909.7433965169</v>
      </c>
      <c r="L42" s="82">
        <f t="shared" ref="L42:M42" si="29">L28-L39</f>
        <v>8306042.1837674808</v>
      </c>
      <c r="M42" s="82">
        <f t="shared" si="29"/>
        <v>8248447.1178491525</v>
      </c>
    </row>
    <row r="43" spans="1:13">
      <c r="A43" s="13"/>
      <c r="B43" s="235"/>
      <c r="C43" s="283">
        <f t="shared" ref="C43:M43" si="30">C42/C10</f>
        <v>0.43018196832279715</v>
      </c>
      <c r="D43" s="283">
        <f t="shared" si="30"/>
        <v>0.527174325260239</v>
      </c>
      <c r="E43" s="283">
        <f t="shared" si="30"/>
        <v>0.49029036237593404</v>
      </c>
      <c r="F43" s="283">
        <f t="shared" si="30"/>
        <v>0.47519620179281585</v>
      </c>
      <c r="G43" s="283">
        <f t="shared" si="30"/>
        <v>0.4598527089463974</v>
      </c>
      <c r="H43" s="283">
        <f t="shared" si="30"/>
        <v>0.44576602101373025</v>
      </c>
      <c r="I43" s="283">
        <f t="shared" si="30"/>
        <v>0.4301673453078026</v>
      </c>
      <c r="J43" s="283">
        <f t="shared" si="30"/>
        <v>0.41401476248545077</v>
      </c>
      <c r="K43" s="283">
        <f t="shared" si="30"/>
        <v>0.39971100611438959</v>
      </c>
      <c r="L43" s="283">
        <f t="shared" si="30"/>
        <v>0.39331659124094737</v>
      </c>
      <c r="M43" s="283">
        <f t="shared" si="30"/>
        <v>0.38681224177197254</v>
      </c>
    </row>
    <row r="44" spans="1:13" ht="3.95" customHeight="1">
      <c r="A44" s="13"/>
      <c r="B44" s="31"/>
      <c r="C44" s="31"/>
      <c r="D44" s="31"/>
      <c r="E44" s="31"/>
      <c r="F44" s="31"/>
      <c r="G44" s="31"/>
      <c r="H44" s="31"/>
      <c r="I44" s="31"/>
      <c r="J44" s="31"/>
      <c r="K44" s="31"/>
      <c r="L44" s="31"/>
      <c r="M44" s="31"/>
    </row>
    <row r="45" spans="1:13">
      <c r="A45" s="13"/>
      <c r="B45" s="84" t="s">
        <v>21</v>
      </c>
      <c r="C45" s="70">
        <f>'Investment Plan'!G22</f>
        <v>1000000</v>
      </c>
      <c r="D45" s="70">
        <f>'Investment Plan'!H25</f>
        <v>1669000</v>
      </c>
      <c r="E45" s="70">
        <f>'Investment Plan'!J25</f>
        <v>2169000</v>
      </c>
      <c r="F45" s="70">
        <f>'Investment Plan'!K25</f>
        <v>2169000</v>
      </c>
      <c r="G45" s="70">
        <f>'Investment Plan'!L25</f>
        <v>2169000</v>
      </c>
      <c r="H45" s="70">
        <f>'Investment Plan'!M25</f>
        <v>2169000</v>
      </c>
      <c r="I45" s="70">
        <f>'Investment Plan'!N25</f>
        <v>2169000</v>
      </c>
      <c r="J45" s="70">
        <f>'Investment Plan'!O25</f>
        <v>2169000</v>
      </c>
      <c r="K45" s="70">
        <f>'Investment Plan'!P25</f>
        <v>2169000</v>
      </c>
      <c r="L45" s="70">
        <f>'Investment Plan'!Q25</f>
        <v>2169000</v>
      </c>
      <c r="M45" s="70">
        <f>L45</f>
        <v>2169000</v>
      </c>
    </row>
    <row r="46" spans="1:13">
      <c r="A46" s="13"/>
      <c r="B46" s="235" t="s">
        <v>326</v>
      </c>
      <c r="C46" s="82">
        <f t="shared" ref="C46:M46" si="31">C42-C45</f>
        <v>2640368.8160064938</v>
      </c>
      <c r="D46" s="82">
        <f t="shared" si="31"/>
        <v>7315057.264188312</v>
      </c>
      <c r="E46" s="82">
        <f t="shared" si="31"/>
        <v>6335462.8368217498</v>
      </c>
      <c r="F46" s="82">
        <f t="shared" si="31"/>
        <v>6268216.7032989711</v>
      </c>
      <c r="G46" s="82">
        <f t="shared" si="31"/>
        <v>6251715.8669456989</v>
      </c>
      <c r="H46" s="82">
        <f t="shared" si="31"/>
        <v>6268612.700769227</v>
      </c>
      <c r="I46" s="82">
        <f t="shared" si="31"/>
        <v>6226422.4780078288</v>
      </c>
      <c r="J46" s="82">
        <f t="shared" si="31"/>
        <v>6155939.2005558051</v>
      </c>
      <c r="K46" s="82">
        <f t="shared" si="31"/>
        <v>6190909.7433965169</v>
      </c>
      <c r="L46" s="82">
        <f t="shared" si="31"/>
        <v>6137042.1837674808</v>
      </c>
      <c r="M46" s="82">
        <f t="shared" si="31"/>
        <v>6079447.1178491525</v>
      </c>
    </row>
    <row r="47" spans="1:13">
      <c r="A47" s="13"/>
      <c r="B47" s="84" t="s">
        <v>130</v>
      </c>
      <c r="C47" s="70">
        <f>SUM('Debt Service'!H17:H25)</f>
        <v>448767.1232876713</v>
      </c>
      <c r="D47" s="70">
        <f>SUM('Debt Service'!H26:H37)</f>
        <v>590397.95428121206</v>
      </c>
      <c r="E47" s="70">
        <f>SUM('Debt Service'!H38:H49)</f>
        <v>544842.08945102035</v>
      </c>
      <c r="F47" s="70">
        <f>SUM('Debt Service'!H50:H61)</f>
        <v>496276.83748561516</v>
      </c>
      <c r="G47" s="70">
        <f>SUM('Debt Service'!H62:H73)</f>
        <v>444716.19319732091</v>
      </c>
      <c r="H47" s="70">
        <f>SUM('Debt Service'!H74:H85)</f>
        <v>391121.86119538872</v>
      </c>
      <c r="I47" s="70">
        <f>SUM('Debt Service'!H86:H97)</f>
        <v>331929.04790712823</v>
      </c>
      <c r="J47" s="70">
        <f>SUM('Debt Service'!H98:H109)</f>
        <v>270231.81238817662</v>
      </c>
      <c r="K47" s="70">
        <f>SUM('Debt Service'!H110:H121)</f>
        <v>204729.23419853146</v>
      </c>
      <c r="L47" s="70">
        <f>SUM('Debt Service'!H113:H124)</f>
        <v>187591.37964574562</v>
      </c>
      <c r="M47" s="70">
        <f>SUM('Debt Service'!H125:H136)</f>
        <v>117427.05821200537</v>
      </c>
    </row>
    <row r="48" spans="1:13">
      <c r="A48" s="13"/>
      <c r="B48" s="235" t="s">
        <v>327</v>
      </c>
      <c r="C48" s="81">
        <f t="shared" ref="C48:K48" si="32">C46-C47</f>
        <v>2191601.6927188225</v>
      </c>
      <c r="D48" s="81">
        <f t="shared" si="32"/>
        <v>6724659.3099071002</v>
      </c>
      <c r="E48" s="81">
        <f t="shared" si="32"/>
        <v>5790620.7473707292</v>
      </c>
      <c r="F48" s="81">
        <f t="shared" si="32"/>
        <v>5771939.8658133559</v>
      </c>
      <c r="G48" s="81">
        <f t="shared" si="32"/>
        <v>5806999.6737483777</v>
      </c>
      <c r="H48" s="81">
        <f t="shared" si="32"/>
        <v>5877490.8395738378</v>
      </c>
      <c r="I48" s="81">
        <f t="shared" si="32"/>
        <v>5894493.4301007008</v>
      </c>
      <c r="J48" s="81">
        <f t="shared" si="32"/>
        <v>5885707.3881676281</v>
      </c>
      <c r="K48" s="81">
        <f t="shared" si="32"/>
        <v>5986180.5091979858</v>
      </c>
      <c r="L48" s="81">
        <f t="shared" ref="L48:M48" si="33">L46-L47</f>
        <v>5949450.8041217355</v>
      </c>
      <c r="M48" s="81">
        <f t="shared" si="33"/>
        <v>5962020.059637147</v>
      </c>
    </row>
    <row r="49" spans="1:15">
      <c r="A49" s="13"/>
      <c r="B49" s="84" t="s">
        <v>251</v>
      </c>
      <c r="C49" s="70">
        <f>C48*'Key Assumptions'!$C$58</f>
        <v>438320.33854376455</v>
      </c>
      <c r="D49" s="70">
        <f>D48*'Key Assumptions'!$C$58</f>
        <v>1344931.8619814201</v>
      </c>
      <c r="E49" s="70">
        <f>E48*'Key Assumptions'!$C$58</f>
        <v>1158124.1494741458</v>
      </c>
      <c r="F49" s="70">
        <f>F48*'Key Assumptions'!$C$58</f>
        <v>1154387.9731626713</v>
      </c>
      <c r="G49" s="70">
        <f>G48*'Key Assumptions'!$C$58</f>
        <v>1161399.9347496757</v>
      </c>
      <c r="H49" s="70">
        <f>H48*'Key Assumptions'!$C$58</f>
        <v>1175498.1679147675</v>
      </c>
      <c r="I49" s="70">
        <f>I48*'Key Assumptions'!$C$58</f>
        <v>1178898.6860201403</v>
      </c>
      <c r="J49" s="70">
        <f>J48*'Key Assumptions'!$C$58</f>
        <v>1177141.4776335256</v>
      </c>
      <c r="K49" s="70">
        <f>K48*'Key Assumptions'!$C$58</f>
        <v>1197236.1018395971</v>
      </c>
      <c r="L49" s="70">
        <f>L48*'Key Assumptions'!$C$58</f>
        <v>1189890.1608243471</v>
      </c>
      <c r="M49" s="70">
        <f>M48*'Key Assumptions'!$C$58</f>
        <v>1192404.0119274294</v>
      </c>
    </row>
    <row r="50" spans="1:15" s="6" customFormat="1">
      <c r="A50" s="240"/>
      <c r="B50" s="235" t="s">
        <v>328</v>
      </c>
      <c r="C50" s="82">
        <f t="shared" ref="C50" si="34">C48-C49</f>
        <v>1753281.354175058</v>
      </c>
      <c r="D50" s="82">
        <f t="shared" ref="D50" si="35">D48-D49</f>
        <v>5379727.4479256803</v>
      </c>
      <c r="E50" s="82">
        <f t="shared" ref="E50" si="36">E48-E49</f>
        <v>4632496.5978965834</v>
      </c>
      <c r="F50" s="82">
        <f t="shared" ref="F50" si="37">F48-F49</f>
        <v>4617551.8926506843</v>
      </c>
      <c r="G50" s="82">
        <f t="shared" ref="G50" si="38">G48-G49</f>
        <v>4645599.7389987018</v>
      </c>
      <c r="H50" s="82">
        <f t="shared" ref="H50" si="39">H48-H49</f>
        <v>4701992.6716590701</v>
      </c>
      <c r="I50" s="82">
        <f t="shared" ref="I50" si="40">I48-I49</f>
        <v>4715594.7440805603</v>
      </c>
      <c r="J50" s="82">
        <f t="shared" ref="J50" si="41">J48-J49</f>
        <v>4708565.9105341025</v>
      </c>
      <c r="K50" s="82">
        <f t="shared" ref="K50:M50" si="42">K48-K49</f>
        <v>4788944.4073583884</v>
      </c>
      <c r="L50" s="82">
        <f t="shared" si="42"/>
        <v>4759560.6432973882</v>
      </c>
      <c r="M50" s="82">
        <f t="shared" si="42"/>
        <v>4769616.0477097174</v>
      </c>
      <c r="N50"/>
      <c r="O50"/>
    </row>
    <row r="51" spans="1:15" s="6" customFormat="1">
      <c r="A51" s="240"/>
      <c r="B51" s="86" t="s">
        <v>329</v>
      </c>
      <c r="C51" s="248"/>
      <c r="D51" s="248"/>
      <c r="E51" s="70">
        <f>SUM('Debt Service'!I29:I40)</f>
        <v>751296.72345943865</v>
      </c>
      <c r="F51" s="70">
        <f>SUM('Debt Service'!I41:I52)</f>
        <v>799372.19385432755</v>
      </c>
      <c r="G51" s="70">
        <f>SUM('Debt Service'!I53:I64)</f>
        <v>848675.62039287202</v>
      </c>
      <c r="H51" s="70">
        <f>SUM('Debt Service'!I65:I76)</f>
        <v>901019.96815325832</v>
      </c>
      <c r="I51" s="70">
        <f>SUM('Debt Service'!I77:I88)</f>
        <v>955428.91495789797</v>
      </c>
      <c r="J51" s="70">
        <f>SUM('Debt Service'!I89:I100)</f>
        <v>1015521.4379751043</v>
      </c>
      <c r="K51" s="70">
        <f>SUM('Debt Service'!I113:I124)</f>
        <v>1144654.6436540477</v>
      </c>
      <c r="L51" s="70">
        <f>SUM('Debt Service'!I125:I136)</f>
        <v>1214818.9650877879</v>
      </c>
      <c r="M51" s="70">
        <f>SUM('Debt Service'!I137:I148)</f>
        <v>1290181.5141564226</v>
      </c>
      <c r="N51"/>
      <c r="O51"/>
    </row>
    <row r="52" spans="1:15">
      <c r="A52" s="13"/>
      <c r="B52" s="235" t="s">
        <v>145</v>
      </c>
      <c r="C52" s="81">
        <f>C50-C51</f>
        <v>1753281.354175058</v>
      </c>
      <c r="D52" s="81">
        <f t="shared" ref="D52:M52" si="43">D50-D51</f>
        <v>5379727.4479256803</v>
      </c>
      <c r="E52" s="81">
        <f t="shared" si="43"/>
        <v>3881199.874437145</v>
      </c>
      <c r="F52" s="81">
        <f t="shared" si="43"/>
        <v>3818179.698796357</v>
      </c>
      <c r="G52" s="81">
        <f t="shared" si="43"/>
        <v>3796924.1186058298</v>
      </c>
      <c r="H52" s="81">
        <f t="shared" si="43"/>
        <v>3800972.7035058117</v>
      </c>
      <c r="I52" s="81">
        <f t="shared" si="43"/>
        <v>3760165.8291226625</v>
      </c>
      <c r="J52" s="81">
        <f t="shared" si="43"/>
        <v>3693044.472558998</v>
      </c>
      <c r="K52" s="81">
        <f t="shared" si="43"/>
        <v>3644289.7637043409</v>
      </c>
      <c r="L52" s="81">
        <f t="shared" si="43"/>
        <v>3544741.6782096</v>
      </c>
      <c r="M52" s="81">
        <f t="shared" si="43"/>
        <v>3479434.5335532948</v>
      </c>
    </row>
    <row r="53" spans="1:15" s="6" customFormat="1">
      <c r="A53" s="240"/>
      <c r="B53" s="235"/>
      <c r="C53" s="283">
        <f t="shared" ref="C53:M53" si="44">C50/C10</f>
        <v>0.20718505791126968</v>
      </c>
      <c r="D53" s="283">
        <f t="shared" si="44"/>
        <v>0.31567632574528554</v>
      </c>
      <c r="E53" s="283">
        <f t="shared" si="44"/>
        <v>0.2670678300637746</v>
      </c>
      <c r="F53" s="283">
        <f t="shared" si="44"/>
        <v>0.26006717595754997</v>
      </c>
      <c r="G53" s="283">
        <f t="shared" si="44"/>
        <v>0.25369477588537731</v>
      </c>
      <c r="H53" s="283">
        <f t="shared" si="44"/>
        <v>0.24841014140055268</v>
      </c>
      <c r="I53" s="283">
        <f t="shared" si="44"/>
        <v>0.24161915352351729</v>
      </c>
      <c r="J53" s="283">
        <f t="shared" si="44"/>
        <v>0.23416576987934232</v>
      </c>
      <c r="K53" s="283">
        <f t="shared" si="44"/>
        <v>0.22897302076773257</v>
      </c>
      <c r="L53" s="283">
        <f t="shared" si="44"/>
        <v>0.22537980503937016</v>
      </c>
      <c r="M53" s="283">
        <f t="shared" si="44"/>
        <v>0.22367190447445764</v>
      </c>
      <c r="N53"/>
      <c r="O53"/>
    </row>
    <row r="54" spans="1:15" s="6" customFormat="1">
      <c r="A54" s="240"/>
      <c r="B54" s="235"/>
      <c r="C54" s="283"/>
      <c r="D54" s="283"/>
      <c r="E54" s="283"/>
      <c r="F54" s="283"/>
      <c r="G54" s="283"/>
      <c r="H54" s="283"/>
      <c r="I54" s="283"/>
      <c r="J54" s="283"/>
      <c r="K54" s="283"/>
      <c r="L54" s="283"/>
      <c r="M54" s="283"/>
      <c r="N54"/>
      <c r="O54"/>
    </row>
    <row r="55" spans="1:15">
      <c r="A55" s="13"/>
      <c r="B55" s="63" t="s">
        <v>144</v>
      </c>
      <c r="C55" s="232" t="s">
        <v>4</v>
      </c>
      <c r="D55" s="232" t="s">
        <v>5</v>
      </c>
      <c r="E55" s="232" t="s">
        <v>6</v>
      </c>
      <c r="F55" s="232" t="s">
        <v>7</v>
      </c>
      <c r="G55" s="232" t="s">
        <v>8</v>
      </c>
      <c r="H55" s="232" t="s">
        <v>9</v>
      </c>
      <c r="I55" s="232" t="s">
        <v>10</v>
      </c>
      <c r="J55" s="232" t="s">
        <v>11</v>
      </c>
      <c r="K55" s="232" t="s">
        <v>90</v>
      </c>
      <c r="L55" s="232" t="s">
        <v>330</v>
      </c>
      <c r="M55" s="232" t="s">
        <v>331</v>
      </c>
    </row>
    <row r="56" spans="1:15" s="86" customFormat="1">
      <c r="A56" s="241"/>
      <c r="B56" s="84" t="s">
        <v>145</v>
      </c>
      <c r="C56" s="233">
        <f t="shared" ref="C56:K56" si="45">C50</f>
        <v>1753281.354175058</v>
      </c>
      <c r="D56" s="233">
        <f t="shared" si="45"/>
        <v>5379727.4479256803</v>
      </c>
      <c r="E56" s="233">
        <f t="shared" si="45"/>
        <v>4632496.5978965834</v>
      </c>
      <c r="F56" s="233">
        <f t="shared" si="45"/>
        <v>4617551.8926506843</v>
      </c>
      <c r="G56" s="233">
        <f t="shared" si="45"/>
        <v>4645599.7389987018</v>
      </c>
      <c r="H56" s="233">
        <f t="shared" si="45"/>
        <v>4701992.6716590701</v>
      </c>
      <c r="I56" s="233">
        <f t="shared" si="45"/>
        <v>4715594.7440805603</v>
      </c>
      <c r="J56" s="233">
        <f t="shared" si="45"/>
        <v>4708565.9105341025</v>
      </c>
      <c r="K56" s="233">
        <f t="shared" si="45"/>
        <v>4788944.4073583884</v>
      </c>
      <c r="L56" s="233">
        <f t="shared" ref="L56:M56" si="46">L50</f>
        <v>4759560.6432973882</v>
      </c>
      <c r="M56" s="233">
        <f t="shared" si="46"/>
        <v>4769616.0477097174</v>
      </c>
      <c r="N56"/>
      <c r="O56"/>
    </row>
    <row r="57" spans="1:15" s="77" customFormat="1">
      <c r="A57" s="10"/>
      <c r="B57" s="84" t="s">
        <v>148</v>
      </c>
      <c r="C57" s="233">
        <f>C45+C51</f>
        <v>1000000</v>
      </c>
      <c r="D57" s="233">
        <f t="shared" ref="D57:M57" si="47">D45+D51</f>
        <v>1669000</v>
      </c>
      <c r="E57" s="233">
        <f t="shared" si="47"/>
        <v>2920296.7234594384</v>
      </c>
      <c r="F57" s="233">
        <f t="shared" si="47"/>
        <v>2968372.1938543273</v>
      </c>
      <c r="G57" s="233">
        <f t="shared" si="47"/>
        <v>3017675.620392872</v>
      </c>
      <c r="H57" s="233">
        <f t="shared" si="47"/>
        <v>3070019.9681532583</v>
      </c>
      <c r="I57" s="233">
        <f t="shared" si="47"/>
        <v>3124428.9149578977</v>
      </c>
      <c r="J57" s="233">
        <f t="shared" si="47"/>
        <v>3184521.4379751044</v>
      </c>
      <c r="K57" s="233">
        <f t="shared" si="47"/>
        <v>3313654.6436540475</v>
      </c>
      <c r="L57" s="233">
        <f t="shared" si="47"/>
        <v>3383818.9650877882</v>
      </c>
      <c r="M57" s="233">
        <f t="shared" si="47"/>
        <v>3459181.5141564226</v>
      </c>
      <c r="N57"/>
      <c r="O57"/>
    </row>
    <row r="58" spans="1:15" s="77" customFormat="1">
      <c r="A58" s="10"/>
      <c r="B58" s="84" t="s">
        <v>146</v>
      </c>
      <c r="C58" s="234">
        <f t="shared" ref="C58:K58" si="48">C47</f>
        <v>448767.1232876713</v>
      </c>
      <c r="D58" s="234">
        <f t="shared" si="48"/>
        <v>590397.95428121206</v>
      </c>
      <c r="E58" s="234">
        <f t="shared" si="48"/>
        <v>544842.08945102035</v>
      </c>
      <c r="F58" s="234">
        <f t="shared" si="48"/>
        <v>496276.83748561516</v>
      </c>
      <c r="G58" s="234">
        <f t="shared" si="48"/>
        <v>444716.19319732091</v>
      </c>
      <c r="H58" s="234">
        <f t="shared" si="48"/>
        <v>391121.86119538872</v>
      </c>
      <c r="I58" s="234">
        <f t="shared" si="48"/>
        <v>331929.04790712823</v>
      </c>
      <c r="J58" s="234">
        <f t="shared" si="48"/>
        <v>270231.81238817662</v>
      </c>
      <c r="K58" s="234">
        <f t="shared" si="48"/>
        <v>204729.23419853146</v>
      </c>
      <c r="L58" s="234">
        <f t="shared" ref="L58:M58" si="49">L47</f>
        <v>187591.37964574562</v>
      </c>
      <c r="M58" s="234">
        <f t="shared" si="49"/>
        <v>117427.05821200537</v>
      </c>
      <c r="N58"/>
      <c r="O58"/>
    </row>
    <row r="59" spans="1:15">
      <c r="A59" s="13"/>
      <c r="B59" s="235" t="s">
        <v>147</v>
      </c>
      <c r="C59" s="233">
        <f t="shared" ref="C59:K59" si="50">SUM(C56:C58)</f>
        <v>3202048.4774627294</v>
      </c>
      <c r="D59" s="233">
        <f t="shared" si="50"/>
        <v>7639125.4022068921</v>
      </c>
      <c r="E59" s="233">
        <f t="shared" si="50"/>
        <v>8097635.4108070424</v>
      </c>
      <c r="F59" s="233">
        <f t="shared" si="50"/>
        <v>8082200.9239906268</v>
      </c>
      <c r="G59" s="233">
        <f t="shared" si="50"/>
        <v>8107991.552588895</v>
      </c>
      <c r="H59" s="233">
        <f t="shared" si="50"/>
        <v>8163134.5010077171</v>
      </c>
      <c r="I59" s="233">
        <f t="shared" si="50"/>
        <v>8171952.706945586</v>
      </c>
      <c r="J59" s="233">
        <f t="shared" si="50"/>
        <v>8163319.1608973844</v>
      </c>
      <c r="K59" s="233">
        <f t="shared" si="50"/>
        <v>8307328.2852109671</v>
      </c>
      <c r="L59" s="233">
        <f t="shared" ref="L59:M59" si="51">SUM(L56:L58)</f>
        <v>8330970.9880309217</v>
      </c>
      <c r="M59" s="233">
        <f t="shared" si="51"/>
        <v>8346224.6200781455</v>
      </c>
    </row>
    <row r="60" spans="1:15">
      <c r="A60" s="13"/>
      <c r="B60" s="72"/>
      <c r="C60" s="236"/>
      <c r="D60" s="236"/>
      <c r="E60" s="236"/>
      <c r="F60" s="236"/>
      <c r="G60" s="236"/>
      <c r="H60" s="236"/>
      <c r="I60" s="236"/>
      <c r="J60" s="236"/>
      <c r="K60" s="236"/>
      <c r="L60" s="236"/>
      <c r="M60" s="236"/>
    </row>
    <row r="61" spans="1:15">
      <c r="A61" s="13"/>
      <c r="B61" s="235" t="s">
        <v>228</v>
      </c>
      <c r="C61" s="233">
        <f>C47+C51</f>
        <v>448767.1232876713</v>
      </c>
      <c r="D61" s="233">
        <f t="shared" ref="D61:M61" si="52">D47+D51</f>
        <v>590397.95428121206</v>
      </c>
      <c r="E61" s="233">
        <f t="shared" si="52"/>
        <v>1296138.812910459</v>
      </c>
      <c r="F61" s="233">
        <f t="shared" si="52"/>
        <v>1295649.0313399427</v>
      </c>
      <c r="G61" s="233">
        <f t="shared" si="52"/>
        <v>1293391.8135901929</v>
      </c>
      <c r="H61" s="233">
        <f t="shared" si="52"/>
        <v>1292141.829348647</v>
      </c>
      <c r="I61" s="233">
        <f t="shared" si="52"/>
        <v>1287357.9628650262</v>
      </c>
      <c r="J61" s="233">
        <f t="shared" si="52"/>
        <v>1285753.250363281</v>
      </c>
      <c r="K61" s="233">
        <f t="shared" si="52"/>
        <v>1349383.8778525791</v>
      </c>
      <c r="L61" s="233">
        <f t="shared" si="52"/>
        <v>1402410.3447335334</v>
      </c>
      <c r="M61" s="233">
        <f t="shared" si="52"/>
        <v>1407608.5723684279</v>
      </c>
    </row>
    <row r="62" spans="1:15">
      <c r="A62" s="13"/>
      <c r="B62" s="72"/>
      <c r="C62" s="236"/>
      <c r="D62" s="236"/>
      <c r="E62" s="236"/>
      <c r="F62" s="236"/>
      <c r="G62" s="236"/>
      <c r="H62" s="236"/>
      <c r="I62" s="236"/>
      <c r="J62" s="236"/>
      <c r="K62" s="236"/>
      <c r="L62" s="236"/>
      <c r="M62" s="236"/>
    </row>
    <row r="63" spans="1:15">
      <c r="A63" s="13"/>
      <c r="B63" s="235" t="s">
        <v>229</v>
      </c>
      <c r="C63" s="238">
        <f t="shared" ref="C63:K63" si="53">C59/C61</f>
        <v>7.1352118087539438</v>
      </c>
      <c r="D63" s="238">
        <f t="shared" si="53"/>
        <v>12.938942872028154</v>
      </c>
      <c r="E63" s="238">
        <f t="shared" si="53"/>
        <v>6.2475063088527776</v>
      </c>
      <c r="F63" s="238">
        <f t="shared" si="53"/>
        <v>6.2379554404730451</v>
      </c>
      <c r="G63" s="238">
        <f t="shared" si="53"/>
        <v>6.2687821798429031</v>
      </c>
      <c r="H63" s="238">
        <f t="shared" si="53"/>
        <v>6.3175220518343975</v>
      </c>
      <c r="I63" s="238">
        <f t="shared" si="53"/>
        <v>6.3478480288099783</v>
      </c>
      <c r="J63" s="238">
        <f t="shared" si="53"/>
        <v>6.3490558227956209</v>
      </c>
      <c r="K63" s="238">
        <f t="shared" si="53"/>
        <v>6.1563862008128627</v>
      </c>
      <c r="L63" s="238">
        <f t="shared" ref="L63:M63" si="54">L59/L61</f>
        <v>5.9404660121883639</v>
      </c>
      <c r="M63" s="238">
        <f t="shared" si="54"/>
        <v>5.9293647281750159</v>
      </c>
    </row>
    <row r="64" spans="1:15">
      <c r="A64" s="13"/>
      <c r="B64" s="72"/>
      <c r="C64" s="236"/>
      <c r="D64" s="236"/>
      <c r="E64" s="236"/>
      <c r="F64" s="236"/>
      <c r="G64" s="236"/>
      <c r="H64" s="236"/>
      <c r="I64" s="236"/>
      <c r="J64" s="236"/>
      <c r="K64" s="236"/>
      <c r="L64" s="236"/>
      <c r="M64" s="236"/>
    </row>
    <row r="65" spans="1:13">
      <c r="A65" s="13"/>
      <c r="B65" s="84" t="s">
        <v>147</v>
      </c>
      <c r="C65" s="81">
        <f t="shared" ref="C65:K65" si="55">C59</f>
        <v>3202048.4774627294</v>
      </c>
      <c r="D65" s="81">
        <f t="shared" si="55"/>
        <v>7639125.4022068921</v>
      </c>
      <c r="E65" s="81">
        <f t="shared" si="55"/>
        <v>8097635.4108070424</v>
      </c>
      <c r="F65" s="81">
        <f t="shared" si="55"/>
        <v>8082200.9239906268</v>
      </c>
      <c r="G65" s="81">
        <f t="shared" si="55"/>
        <v>8107991.552588895</v>
      </c>
      <c r="H65" s="81">
        <f t="shared" si="55"/>
        <v>8163134.5010077171</v>
      </c>
      <c r="I65" s="81">
        <f t="shared" si="55"/>
        <v>8171952.706945586</v>
      </c>
      <c r="J65" s="81">
        <f t="shared" si="55"/>
        <v>8163319.1608973844</v>
      </c>
      <c r="K65" s="81">
        <f t="shared" si="55"/>
        <v>8307328.2852109671</v>
      </c>
      <c r="L65" s="81">
        <f t="shared" ref="L65:M65" si="56">L59</f>
        <v>8330970.9880309217</v>
      </c>
      <c r="M65" s="81">
        <f t="shared" si="56"/>
        <v>8346224.6200781455</v>
      </c>
    </row>
    <row r="66" spans="1:13">
      <c r="A66" s="13"/>
      <c r="B66" s="84" t="s">
        <v>149</v>
      </c>
      <c r="C66" s="68">
        <f t="shared" ref="C66:K66" si="57">C61</f>
        <v>448767.1232876713</v>
      </c>
      <c r="D66" s="68">
        <f t="shared" si="57"/>
        <v>590397.95428121206</v>
      </c>
      <c r="E66" s="68">
        <f t="shared" si="57"/>
        <v>1296138.812910459</v>
      </c>
      <c r="F66" s="68">
        <f t="shared" si="57"/>
        <v>1295649.0313399427</v>
      </c>
      <c r="G66" s="68">
        <f t="shared" si="57"/>
        <v>1293391.8135901929</v>
      </c>
      <c r="H66" s="68">
        <f t="shared" si="57"/>
        <v>1292141.829348647</v>
      </c>
      <c r="I66" s="68">
        <f t="shared" si="57"/>
        <v>1287357.9628650262</v>
      </c>
      <c r="J66" s="68">
        <f t="shared" si="57"/>
        <v>1285753.250363281</v>
      </c>
      <c r="K66" s="68">
        <f t="shared" si="57"/>
        <v>1349383.8778525791</v>
      </c>
      <c r="L66" s="68">
        <f t="shared" ref="L66:M66" si="58">L61</f>
        <v>1402410.3447335334</v>
      </c>
      <c r="M66" s="68">
        <f t="shared" si="58"/>
        <v>1407608.5723684279</v>
      </c>
    </row>
    <row r="67" spans="1:13">
      <c r="A67" s="13"/>
      <c r="B67" s="84" t="s">
        <v>253</v>
      </c>
      <c r="C67" s="68"/>
      <c r="D67" s="68">
        <v>10000000</v>
      </c>
      <c r="E67" s="68"/>
      <c r="F67" s="68"/>
      <c r="G67" s="68"/>
      <c r="H67" s="68"/>
      <c r="I67" s="68"/>
      <c r="J67" s="68"/>
      <c r="K67" s="68"/>
      <c r="L67" s="68"/>
      <c r="M67" s="68"/>
    </row>
    <row r="68" spans="1:13">
      <c r="A68" s="13"/>
      <c r="B68" s="379" t="s">
        <v>336</v>
      </c>
      <c r="C68" s="68">
        <f>Offering!C11</f>
        <v>1391400</v>
      </c>
      <c r="D68" s="68"/>
      <c r="E68" s="68"/>
      <c r="F68" s="68"/>
      <c r="G68" s="68"/>
      <c r="H68" s="68"/>
      <c r="I68" s="68"/>
      <c r="J68" s="68"/>
      <c r="K68" s="68"/>
      <c r="L68" s="68"/>
      <c r="M68" s="68"/>
    </row>
    <row r="69" spans="1:13">
      <c r="A69" s="13"/>
      <c r="B69" s="84" t="s">
        <v>263</v>
      </c>
      <c r="C69" s="68">
        <v>75000</v>
      </c>
      <c r="D69" s="68">
        <f>C69*(1.02)</f>
        <v>76500</v>
      </c>
      <c r="E69" s="68">
        <f t="shared" ref="E69:K69" si="59">D69*(1.02)</f>
        <v>78030</v>
      </c>
      <c r="F69" s="68">
        <f t="shared" si="59"/>
        <v>79590.600000000006</v>
      </c>
      <c r="G69" s="68">
        <f t="shared" si="59"/>
        <v>81182.412000000011</v>
      </c>
      <c r="H69" s="68">
        <f t="shared" si="59"/>
        <v>82806.060240000006</v>
      </c>
      <c r="I69" s="68">
        <f t="shared" si="59"/>
        <v>84462.181444800008</v>
      </c>
      <c r="J69" s="68">
        <f t="shared" si="59"/>
        <v>86151.425073696009</v>
      </c>
      <c r="K69" s="68">
        <f t="shared" si="59"/>
        <v>87874.45357516993</v>
      </c>
      <c r="L69" s="68">
        <f t="shared" ref="L69" si="60">K69*(1.02)</f>
        <v>89631.942646673328</v>
      </c>
      <c r="M69" s="68">
        <f t="shared" ref="M69" si="61">L69*(1.02)</f>
        <v>91424.581499606793</v>
      </c>
    </row>
    <row r="70" spans="1:13">
      <c r="A70" s="13"/>
      <c r="B70" s="84" t="s">
        <v>186</v>
      </c>
      <c r="C70" s="70">
        <f>Offering!C12</f>
        <v>24581400</v>
      </c>
      <c r="D70" s="70">
        <v>100000</v>
      </c>
      <c r="E70" s="70">
        <v>100000</v>
      </c>
      <c r="F70" s="70">
        <v>100000</v>
      </c>
      <c r="G70" s="70">
        <v>100000</v>
      </c>
      <c r="H70" s="70">
        <v>100000</v>
      </c>
      <c r="I70" s="70">
        <v>100000</v>
      </c>
      <c r="J70" s="70">
        <v>100000</v>
      </c>
      <c r="K70" s="70">
        <v>100000</v>
      </c>
      <c r="L70" s="70">
        <v>100001</v>
      </c>
      <c r="M70" s="70">
        <v>100002</v>
      </c>
    </row>
    <row r="71" spans="1:13">
      <c r="A71" s="13"/>
      <c r="B71" s="84" t="s">
        <v>279</v>
      </c>
      <c r="C71" s="81">
        <f>C65-C70-C66-C68-C69+C67</f>
        <v>-23294518.645824939</v>
      </c>
      <c r="D71" s="81">
        <f t="shared" ref="D71:K71" si="62">D65-D70-D66-D69+D67</f>
        <v>16872227.447925679</v>
      </c>
      <c r="E71" s="81">
        <f t="shared" si="62"/>
        <v>6623466.5978965834</v>
      </c>
      <c r="F71" s="81">
        <f t="shared" si="62"/>
        <v>6606961.2926506847</v>
      </c>
      <c r="G71" s="81">
        <f t="shared" si="62"/>
        <v>6633417.3269987013</v>
      </c>
      <c r="H71" s="81">
        <f t="shared" si="62"/>
        <v>6688186.6114190705</v>
      </c>
      <c r="I71" s="81">
        <f t="shared" si="62"/>
        <v>6700132.5626357598</v>
      </c>
      <c r="J71" s="81">
        <f t="shared" si="62"/>
        <v>6691414.4854604071</v>
      </c>
      <c r="K71" s="81">
        <f t="shared" si="62"/>
        <v>6770069.9537832178</v>
      </c>
      <c r="L71" s="81">
        <f t="shared" ref="L71:M71" si="63">L65-L70-L66-L69+L67</f>
        <v>6738927.7006507153</v>
      </c>
      <c r="M71" s="81">
        <f t="shared" si="63"/>
        <v>6747189.466210111</v>
      </c>
    </row>
    <row r="72" spans="1:13">
      <c r="A72" s="13"/>
      <c r="B72" s="31"/>
      <c r="C72" s="31"/>
      <c r="D72" s="31"/>
      <c r="E72" s="31"/>
      <c r="F72" s="31"/>
      <c r="G72" s="31"/>
      <c r="H72" s="31"/>
      <c r="I72" s="31"/>
      <c r="J72" s="31"/>
      <c r="K72" s="31"/>
      <c r="L72" s="31"/>
      <c r="M72" s="31"/>
    </row>
    <row r="73" spans="1:13">
      <c r="A73" s="13"/>
      <c r="B73" s="235" t="s">
        <v>349</v>
      </c>
      <c r="C73" s="82">
        <f>C71</f>
        <v>-23294518.645824939</v>
      </c>
      <c r="D73" s="82">
        <f t="shared" ref="D73:K73" si="64">D71</f>
        <v>16872227.447925679</v>
      </c>
      <c r="E73" s="82">
        <f t="shared" si="64"/>
        <v>6623466.5978965834</v>
      </c>
      <c r="F73" s="82">
        <f t="shared" si="64"/>
        <v>6606961.2926506847</v>
      </c>
      <c r="G73" s="82">
        <f t="shared" si="64"/>
        <v>6633417.3269987013</v>
      </c>
      <c r="H73" s="82">
        <f t="shared" si="64"/>
        <v>6688186.6114190705</v>
      </c>
      <c r="I73" s="82">
        <f t="shared" si="64"/>
        <v>6700132.5626357598</v>
      </c>
      <c r="J73" s="82">
        <f t="shared" si="64"/>
        <v>6691414.4854604071</v>
      </c>
      <c r="K73" s="82">
        <f t="shared" si="64"/>
        <v>6770069.9537832178</v>
      </c>
      <c r="L73" s="82">
        <f t="shared" ref="L73:M73" si="65">L71</f>
        <v>6738927.7006507153</v>
      </c>
      <c r="M73" s="82">
        <f t="shared" si="65"/>
        <v>6747189.466210111</v>
      </c>
    </row>
  </sheetData>
  <sortState ref="E23:F33">
    <sortCondition descending="1" ref="F23:F33"/>
  </sortState>
  <phoneticPr fontId="8" type="noConversion"/>
  <printOptions horizontalCentered="1"/>
  <pageMargins left="0.19685039370078741" right="0" top="0.59" bottom="0" header="0.30000000000000004" footer="0.30000000000000004"/>
  <pageSetup scale="80" orientation="landscape" horizontalDpi="4294967293" verticalDpi="4294967293" r:id="rId1"/>
  <rowBreaks count="1" manualBreakCount="1">
    <brk id="30"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1"/>
  <sheetViews>
    <sheetView showGridLines="0" zoomScale="110" zoomScaleNormal="110" zoomScalePageLayoutView="125" workbookViewId="0">
      <selection activeCell="D35" sqref="D35"/>
    </sheetView>
  </sheetViews>
  <sheetFormatPr defaultColWidth="8.85546875" defaultRowHeight="15"/>
  <cols>
    <col min="1" max="1" width="2.85546875" customWidth="1"/>
    <col min="2" max="2" width="41.5703125" customWidth="1"/>
    <col min="3" max="3" width="14.7109375" bestFit="1" customWidth="1"/>
    <col min="4" max="4" width="14.28515625" bestFit="1" customWidth="1"/>
    <col min="5" max="11" width="12.28515625" bestFit="1" customWidth="1"/>
    <col min="12" max="12" width="13" bestFit="1" customWidth="1"/>
    <col min="13" max="13" width="12.85546875" bestFit="1" customWidth="1"/>
    <col min="14" max="14" width="11" bestFit="1" customWidth="1"/>
  </cols>
  <sheetData>
    <row r="1" spans="1:13" ht="15.75">
      <c r="A1" s="35" t="s">
        <v>185</v>
      </c>
    </row>
    <row r="2" spans="1:13" ht="15.75">
      <c r="A2" s="35"/>
    </row>
    <row r="3" spans="1:13">
      <c r="B3" s="8" t="s">
        <v>23</v>
      </c>
    </row>
    <row r="5" spans="1:13">
      <c r="B5" s="191" t="s">
        <v>19</v>
      </c>
      <c r="C5" s="252" t="s">
        <v>4</v>
      </c>
      <c r="D5" s="252" t="s">
        <v>5</v>
      </c>
      <c r="E5" s="252" t="s">
        <v>6</v>
      </c>
      <c r="F5" s="252" t="s">
        <v>7</v>
      </c>
      <c r="G5" s="252" t="s">
        <v>8</v>
      </c>
      <c r="H5" s="252" t="s">
        <v>9</v>
      </c>
      <c r="I5" s="252" t="s">
        <v>10</v>
      </c>
      <c r="J5" s="252" t="s">
        <v>11</v>
      </c>
      <c r="K5" s="252" t="s">
        <v>90</v>
      </c>
      <c r="L5" s="252" t="s">
        <v>330</v>
      </c>
      <c r="M5" s="252" t="s">
        <v>331</v>
      </c>
    </row>
    <row r="6" spans="1:13">
      <c r="B6" s="192" t="s">
        <v>20</v>
      </c>
      <c r="C6" s="193">
        <f>'P&amp;L and Cash Flow'!C5</f>
        <v>7376892.8571428573</v>
      </c>
      <c r="D6" s="193">
        <f>'P&amp;L and Cash Flow'!D5</f>
        <v>14525033.482142856</v>
      </c>
      <c r="E6" s="193">
        <f>'P&amp;L and Cash Flow'!E5</f>
        <v>14311448.102678569</v>
      </c>
      <c r="F6" s="193">
        <f>'P&amp;L and Cash Flow'!F5</f>
        <v>14175392.857142856</v>
      </c>
      <c r="G6" s="193">
        <f>'P&amp;L and Cash Flow'!G5</f>
        <v>14002533.482142858</v>
      </c>
      <c r="H6" s="193">
        <f>'P&amp;L and Cash Flow'!H5</f>
        <v>13853517.857142856</v>
      </c>
      <c r="I6" s="194">
        <f>'P&amp;L and Cash Flow'!I5</f>
        <v>13635991.071428571</v>
      </c>
      <c r="J6" s="194">
        <f>'P&amp;L and Cash Flow'!J5</f>
        <v>13379062.5</v>
      </c>
      <c r="K6" s="194">
        <f>'P&amp;L and Cash Flow'!K5</f>
        <v>13152639.843749996</v>
      </c>
      <c r="L6" s="194">
        <f>'P&amp;L and Cash Flow'!L5</f>
        <v>13246148.191406246</v>
      </c>
      <c r="M6" s="194">
        <f>'P&amp;L and Cash Flow'!M5</f>
        <v>13341059.164277339</v>
      </c>
    </row>
    <row r="7" spans="1:13">
      <c r="B7" s="192" t="s">
        <v>266</v>
      </c>
      <c r="C7" s="193"/>
      <c r="D7" s="193"/>
      <c r="E7" s="193"/>
      <c r="F7" s="193"/>
      <c r="G7" s="193"/>
      <c r="H7" s="193"/>
      <c r="I7" s="194"/>
      <c r="J7" s="194"/>
      <c r="K7" s="194"/>
      <c r="L7" s="194"/>
      <c r="M7" s="194"/>
    </row>
    <row r="8" spans="1:13">
      <c r="B8" s="192" t="s">
        <v>33</v>
      </c>
      <c r="C8" s="193">
        <f>'P&amp;L and Cash Flow'!C7</f>
        <v>330000.00000000006</v>
      </c>
      <c r="D8" s="193">
        <f>'P&amp;L and Cash Flow'!D7</f>
        <v>673200.00000000012</v>
      </c>
      <c r="E8" s="193">
        <f>'P&amp;L and Cash Flow'!E7</f>
        <v>686664.00000000023</v>
      </c>
      <c r="F8" s="193">
        <f>'P&amp;L and Cash Flow'!F7</f>
        <v>700397.28000000014</v>
      </c>
      <c r="G8" s="193">
        <f>'P&amp;L and Cash Flow'!G7</f>
        <v>714405.22560000001</v>
      </c>
      <c r="H8" s="193">
        <f>'P&amp;L and Cash Flow'!H7</f>
        <v>728693.330112</v>
      </c>
      <c r="I8" s="194">
        <f>'P&amp;L and Cash Flow'!I7</f>
        <v>743267.19671424013</v>
      </c>
      <c r="J8" s="194">
        <f>'P&amp;L and Cash Flow'!J7</f>
        <v>758132.54064852488</v>
      </c>
      <c r="K8" s="194">
        <f>'P&amp;L and Cash Flow'!K7</f>
        <v>773295.19146149547</v>
      </c>
      <c r="L8" s="194">
        <f>'P&amp;L and Cash Flow'!L7</f>
        <v>788761.09529072535</v>
      </c>
      <c r="M8" s="194">
        <f>'P&amp;L and Cash Flow'!M7</f>
        <v>804536.31719653984</v>
      </c>
    </row>
    <row r="9" spans="1:13">
      <c r="B9" s="192" t="s">
        <v>252</v>
      </c>
      <c r="C9" s="193">
        <f>'P&amp;L and Cash Flow'!C8</f>
        <v>189250.00000000006</v>
      </c>
      <c r="D9" s="193">
        <f>'P&amp;L and Cash Flow'!D8</f>
        <v>386070.00000000012</v>
      </c>
      <c r="E9" s="193">
        <f>'P&amp;L and Cash Flow'!E8</f>
        <v>393791.40000000014</v>
      </c>
      <c r="F9" s="193">
        <f>'P&amp;L and Cash Flow'!F8</f>
        <v>401667.22800000018</v>
      </c>
      <c r="G9" s="193">
        <f>'P&amp;L and Cash Flow'!G8</f>
        <v>409700.57256000012</v>
      </c>
      <c r="H9" s="193">
        <f>'P&amp;L and Cash Flow'!H8</f>
        <v>417894.58401120018</v>
      </c>
      <c r="I9" s="193">
        <f>'P&amp;L and Cash Flow'!I8</f>
        <v>426252.4756914241</v>
      </c>
      <c r="J9" s="193">
        <f>'P&amp;L and Cash Flow'!J8</f>
        <v>434777.52520525269</v>
      </c>
      <c r="K9" s="193">
        <f>'P&amp;L and Cash Flow'!K8</f>
        <v>443473.07570935768</v>
      </c>
      <c r="L9" s="193">
        <f>'P&amp;L and Cash Flow'!L8</f>
        <v>452342.5372235449</v>
      </c>
      <c r="M9" s="193">
        <f>'P&amp;L and Cash Flow'!M8</f>
        <v>461389.38796801574</v>
      </c>
    </row>
    <row r="10" spans="1:13">
      <c r="B10" s="303" t="s">
        <v>272</v>
      </c>
      <c r="C10" s="196">
        <f>'P&amp;L and Cash Flow'!C9</f>
        <v>566250.00000000047</v>
      </c>
      <c r="D10" s="196">
        <f>'P&amp;L and Cash Flow'!D9</f>
        <v>1457606.2500000012</v>
      </c>
      <c r="E10" s="196">
        <f>'P&amp;L and Cash Flow'!E9</f>
        <v>1953864.4124999985</v>
      </c>
      <c r="F10" s="196">
        <f>'P&amp;L and Cash Flow'!F9</f>
        <v>2477770.2049999991</v>
      </c>
      <c r="G10" s="196">
        <f>'P&amp;L and Cash Flow'!G9</f>
        <v>3185128.1685374994</v>
      </c>
      <c r="H10" s="196">
        <f>'P&amp;L and Cash Flow'!H9</f>
        <v>3928238.4788878495</v>
      </c>
      <c r="I10" s="197">
        <f>'P&amp;L and Cash Flow'!I9</f>
        <v>4711132.1849788623</v>
      </c>
      <c r="J10" s="197">
        <f>'P&amp;L and Cash Flow'!J9</f>
        <v>5535859.2191260131</v>
      </c>
      <c r="K10" s="197">
        <f>'P&amp;L and Cash Flow'!K9</f>
        <v>6545476.9323097877</v>
      </c>
      <c r="L10" s="197">
        <f>'P&amp;L and Cash Flow'!L9</f>
        <v>6630703.4536873</v>
      </c>
      <c r="M10" s="197">
        <f>'P&amp;L and Cash Flow'!M9</f>
        <v>6717177.6753196735</v>
      </c>
    </row>
    <row r="11" spans="1:13">
      <c r="B11" s="198" t="s">
        <v>118</v>
      </c>
      <c r="C11" s="199">
        <f t="shared" ref="C11:K11" si="0">SUM(C6:C10)</f>
        <v>8462392.8571428582</v>
      </c>
      <c r="D11" s="199">
        <f t="shared" si="0"/>
        <v>17041909.732142858</v>
      </c>
      <c r="E11" s="199">
        <f t="shared" si="0"/>
        <v>17345767.915178567</v>
      </c>
      <c r="F11" s="199">
        <f t="shared" si="0"/>
        <v>17755227.570142854</v>
      </c>
      <c r="G11" s="199">
        <f t="shared" si="0"/>
        <v>18311767.448840357</v>
      </c>
      <c r="H11" s="199">
        <f t="shared" si="0"/>
        <v>18928344.250153907</v>
      </c>
      <c r="I11" s="200">
        <f t="shared" si="0"/>
        <v>19516642.9288131</v>
      </c>
      <c r="J11" s="200">
        <f t="shared" si="0"/>
        <v>20107831.78497979</v>
      </c>
      <c r="K11" s="200">
        <f t="shared" si="0"/>
        <v>20914885.043230638</v>
      </c>
      <c r="L11" s="200">
        <f t="shared" ref="L11:M11" si="1">SUM(L6:L10)</f>
        <v>21117955.277607817</v>
      </c>
      <c r="M11" s="200">
        <f t="shared" si="1"/>
        <v>21324162.544761568</v>
      </c>
    </row>
    <row r="12" spans="1:13">
      <c r="B12" s="201"/>
      <c r="C12" s="193"/>
      <c r="D12" s="193"/>
      <c r="E12" s="193"/>
      <c r="F12" s="193"/>
      <c r="G12" s="193"/>
      <c r="H12" s="193"/>
      <c r="I12" s="194"/>
      <c r="J12" s="194"/>
      <c r="K12" s="194"/>
      <c r="L12" s="194"/>
      <c r="M12" s="194"/>
    </row>
    <row r="13" spans="1:13">
      <c r="B13" s="202" t="s">
        <v>190</v>
      </c>
      <c r="C13" s="196"/>
      <c r="D13" s="196"/>
      <c r="E13" s="196"/>
      <c r="F13" s="196"/>
      <c r="G13" s="196"/>
      <c r="H13" s="196"/>
      <c r="I13" s="197"/>
      <c r="J13" s="197"/>
      <c r="K13" s="197"/>
      <c r="L13" s="197"/>
      <c r="M13" s="197"/>
    </row>
    <row r="14" spans="1:13">
      <c r="B14" s="192" t="s">
        <v>187</v>
      </c>
      <c r="C14" s="193">
        <f>'P&amp;L and Cash Flow'!C16</f>
        <v>1936234.5454545454</v>
      </c>
      <c r="D14" s="193">
        <f>'P&amp;L and Cash Flow'!D16</f>
        <v>4067956.3636363638</v>
      </c>
      <c r="E14" s="193">
        <f>'P&amp;L and Cash Flow'!E16</f>
        <v>4335465.2727272715</v>
      </c>
      <c r="F14" s="193">
        <f>'P&amp;L and Cash Flow'!F16</f>
        <v>4622158.1818181798</v>
      </c>
      <c r="G14" s="193">
        <f>'P&amp;L and Cash Flow'!G16</f>
        <v>4978645.2872727271</v>
      </c>
      <c r="H14" s="193">
        <f>'P&amp;L and Cash Flow'!H16</f>
        <v>5352994.0839272728</v>
      </c>
      <c r="I14" s="193">
        <f>'P&amp;L and Cash Flow'!I16</f>
        <v>5749042.285605818</v>
      </c>
      <c r="J14" s="193">
        <f>'P&amp;L and Cash Flow'!J16</f>
        <v>6166820.2004088443</v>
      </c>
      <c r="K14" s="193">
        <f>'P&amp;L and Cash Flow'!K16</f>
        <v>6685198.7425988391</v>
      </c>
      <c r="L14" s="193">
        <f>'P&amp;L and Cash Flow'!L16</f>
        <v>6767214.8992689978</v>
      </c>
      <c r="M14" s="193">
        <f>'P&amp;L and Cash Flow'!M16</f>
        <v>6850871.3790725591</v>
      </c>
    </row>
    <row r="15" spans="1:13">
      <c r="B15" s="192" t="s">
        <v>188</v>
      </c>
      <c r="C15" s="193">
        <f>'P&amp;L and Cash Flow'!C23</f>
        <v>2516067.9047727278</v>
      </c>
      <c r="D15" s="193">
        <f>'P&amp;L and Cash Flow'!D23</f>
        <v>3374370.1952272728</v>
      </c>
      <c r="E15" s="193">
        <f>'P&amp;L and Cash Flow'!E23</f>
        <v>3496281.528356818</v>
      </c>
      <c r="F15" s="193">
        <f>'P&amp;L and Cash Flow'!F23</f>
        <v>3622480.8082984323</v>
      </c>
      <c r="G15" s="193">
        <f>'P&amp;L and Cash Flow'!G23</f>
        <v>3760789.7193655674</v>
      </c>
      <c r="H15" s="193">
        <f>'P&amp;L and Cash Flow'!H23</f>
        <v>3904147.5444492619</v>
      </c>
      <c r="I15" s="193">
        <f>'P&amp;L and Cash Flow'!I23</f>
        <v>4052732.9526121486</v>
      </c>
      <c r="J15" s="193">
        <f>'P&amp;L and Cash Flow'!J23</f>
        <v>4206730.7932828367</v>
      </c>
      <c r="K15" s="193">
        <f>'P&amp;L and Cash Flow'!K23</f>
        <v>4366332.306360607</v>
      </c>
      <c r="L15" s="193">
        <f>'P&amp;L and Cash Flow'!L23</f>
        <v>4496150.616170424</v>
      </c>
      <c r="M15" s="193">
        <f>'P&amp;L and Cash Flow'!M23</f>
        <v>4629840.0420869142</v>
      </c>
    </row>
    <row r="16" spans="1:13">
      <c r="B16" s="195" t="s">
        <v>189</v>
      </c>
      <c r="C16" s="196">
        <f>'P&amp;L and Cash Flow'!C39</f>
        <v>369721.59090909094</v>
      </c>
      <c r="D16" s="196">
        <f>'P&amp;L and Cash Flow'!D39</f>
        <v>615525.90909090918</v>
      </c>
      <c r="E16" s="196">
        <f>'P&amp;L and Cash Flow'!E39</f>
        <v>1009558.2772727271</v>
      </c>
      <c r="F16" s="196">
        <f>'P&amp;L and Cash Flow'!F39</f>
        <v>1073371.8767272728</v>
      </c>
      <c r="G16" s="196">
        <f>'P&amp;L and Cash Flow'!G39</f>
        <v>1151616.5752563635</v>
      </c>
      <c r="H16" s="196">
        <f>'P&amp;L and Cash Flow'!H39</f>
        <v>1233589.9210081454</v>
      </c>
      <c r="I16" s="196">
        <f>'P&amp;L and Cash Flow'!I39</f>
        <v>1319445.2125873037</v>
      </c>
      <c r="J16" s="196">
        <f>'P&amp;L and Cash Flow'!J39</f>
        <v>1409341.5907323039</v>
      </c>
      <c r="K16" s="196">
        <f>'P&amp;L and Cash Flow'!K39</f>
        <v>1503444.2508746756</v>
      </c>
      <c r="L16" s="196">
        <f>'P&amp;L and Cash Flow'!L39</f>
        <v>1548547.578400916</v>
      </c>
      <c r="M16" s="196">
        <f>'P&amp;L and Cash Flow'!M39</f>
        <v>1595004.0057529435</v>
      </c>
    </row>
    <row r="17" spans="2:13">
      <c r="B17" s="203" t="s">
        <v>191</v>
      </c>
      <c r="C17" s="199">
        <f t="shared" ref="C17:J17" si="2">C14+C15+C16</f>
        <v>4822024.0411363645</v>
      </c>
      <c r="D17" s="199">
        <f t="shared" si="2"/>
        <v>8057852.4679545453</v>
      </c>
      <c r="E17" s="199">
        <f t="shared" si="2"/>
        <v>8841305.0783568174</v>
      </c>
      <c r="F17" s="199">
        <f t="shared" si="2"/>
        <v>9318010.8668438848</v>
      </c>
      <c r="G17" s="199">
        <f t="shared" si="2"/>
        <v>9891051.5818946585</v>
      </c>
      <c r="H17" s="199">
        <f t="shared" si="2"/>
        <v>10490731.54938468</v>
      </c>
      <c r="I17" s="200">
        <f t="shared" si="2"/>
        <v>11121220.450805271</v>
      </c>
      <c r="J17" s="200">
        <f t="shared" si="2"/>
        <v>11782892.584423985</v>
      </c>
      <c r="K17" s="200">
        <f t="shared" ref="K17:M17" si="3">K14+K15+K16</f>
        <v>12554975.299834121</v>
      </c>
      <c r="L17" s="200">
        <f t="shared" si="3"/>
        <v>12811913.093840336</v>
      </c>
      <c r="M17" s="200">
        <f t="shared" si="3"/>
        <v>13075715.426912416</v>
      </c>
    </row>
    <row r="18" spans="2:13">
      <c r="B18" s="204"/>
      <c r="C18" s="193"/>
      <c r="D18" s="193"/>
      <c r="E18" s="193"/>
      <c r="F18" s="193"/>
      <c r="G18" s="193"/>
      <c r="H18" s="193"/>
      <c r="I18" s="194"/>
      <c r="J18" s="194"/>
      <c r="K18" s="194"/>
      <c r="L18" s="194"/>
      <c r="M18" s="194"/>
    </row>
    <row r="19" spans="2:13">
      <c r="B19" s="205" t="s">
        <v>2</v>
      </c>
      <c r="C19" s="199">
        <f t="shared" ref="C19:J19" si="4">C11-C17</f>
        <v>3640368.8160064938</v>
      </c>
      <c r="D19" s="199">
        <f t="shared" si="4"/>
        <v>8984057.264188312</v>
      </c>
      <c r="E19" s="199">
        <f t="shared" si="4"/>
        <v>8504462.8368217498</v>
      </c>
      <c r="F19" s="199">
        <f t="shared" si="4"/>
        <v>8437216.7032989692</v>
      </c>
      <c r="G19" s="199">
        <f t="shared" si="4"/>
        <v>8420715.8669456989</v>
      </c>
      <c r="H19" s="199">
        <f t="shared" si="4"/>
        <v>8437612.700769227</v>
      </c>
      <c r="I19" s="199">
        <f t="shared" si="4"/>
        <v>8395422.4780078288</v>
      </c>
      <c r="J19" s="199">
        <f t="shared" si="4"/>
        <v>8324939.2005558051</v>
      </c>
      <c r="K19" s="199">
        <f t="shared" ref="K19:M19" si="5">K11-K17</f>
        <v>8359909.7433965169</v>
      </c>
      <c r="L19" s="199">
        <f t="shared" si="5"/>
        <v>8306042.1837674808</v>
      </c>
      <c r="M19" s="199">
        <f t="shared" si="5"/>
        <v>8248447.1178491525</v>
      </c>
    </row>
    <row r="20" spans="2:13">
      <c r="B20" s="204" t="s">
        <v>253</v>
      </c>
      <c r="C20" s="193"/>
      <c r="D20" s="193"/>
      <c r="E20" s="193"/>
      <c r="F20" s="193"/>
      <c r="G20" s="193"/>
      <c r="H20" s="193"/>
      <c r="I20" s="194"/>
      <c r="J20" s="194"/>
      <c r="K20" s="194"/>
      <c r="L20" s="194"/>
      <c r="M20" s="194"/>
    </row>
    <row r="21" spans="2:13">
      <c r="B21" s="206" t="s">
        <v>192</v>
      </c>
      <c r="C21" s="207">
        <f>'P&amp;L and Cash Flow'!C49</f>
        <v>438320.33854376455</v>
      </c>
      <c r="D21" s="207">
        <f>'P&amp;L and Cash Flow'!D49</f>
        <v>1344931.8619814201</v>
      </c>
      <c r="E21" s="207">
        <f>'P&amp;L and Cash Flow'!E49</f>
        <v>1158124.1494741458</v>
      </c>
      <c r="F21" s="207">
        <f>'P&amp;L and Cash Flow'!F49</f>
        <v>1154387.9731626713</v>
      </c>
      <c r="G21" s="207">
        <f>'P&amp;L and Cash Flow'!G49</f>
        <v>1161399.9347496757</v>
      </c>
      <c r="H21" s="207">
        <f>'P&amp;L and Cash Flow'!H49</f>
        <v>1175498.1679147675</v>
      </c>
      <c r="I21" s="207">
        <f>'P&amp;L and Cash Flow'!I49</f>
        <v>1178898.6860201403</v>
      </c>
      <c r="J21" s="207">
        <f>'P&amp;L and Cash Flow'!J49</f>
        <v>1177141.4776335256</v>
      </c>
      <c r="K21" s="207">
        <f>'P&amp;L and Cash Flow'!K49</f>
        <v>1197236.1018395971</v>
      </c>
      <c r="L21" s="207">
        <f>'P&amp;L and Cash Flow'!L49</f>
        <v>1189890.1608243471</v>
      </c>
      <c r="M21" s="207">
        <f>'P&amp;L and Cash Flow'!M49</f>
        <v>1192404.0119274294</v>
      </c>
    </row>
    <row r="22" spans="2:13">
      <c r="B22" s="206" t="s">
        <v>263</v>
      </c>
      <c r="C22" s="207">
        <f>'P&amp;L and Cash Flow'!C69</f>
        <v>75000</v>
      </c>
      <c r="D22" s="207">
        <f>'P&amp;L and Cash Flow'!D69</f>
        <v>76500</v>
      </c>
      <c r="E22" s="207">
        <f>'P&amp;L and Cash Flow'!E69</f>
        <v>78030</v>
      </c>
      <c r="F22" s="207">
        <f>'P&amp;L and Cash Flow'!F69</f>
        <v>79590.600000000006</v>
      </c>
      <c r="G22" s="207">
        <f>'P&amp;L and Cash Flow'!G69</f>
        <v>81182.412000000011</v>
      </c>
      <c r="H22" s="207">
        <f>'P&amp;L and Cash Flow'!H69</f>
        <v>82806.060240000006</v>
      </c>
      <c r="I22" s="207">
        <f>'P&amp;L and Cash Flow'!I69</f>
        <v>84462.181444800008</v>
      </c>
      <c r="J22" s="207">
        <f>'P&amp;L and Cash Flow'!J69</f>
        <v>86151.425073696009</v>
      </c>
      <c r="K22" s="207">
        <f>'P&amp;L and Cash Flow'!K69</f>
        <v>87874.45357516993</v>
      </c>
      <c r="L22" s="207">
        <f>'P&amp;L and Cash Flow'!L69</f>
        <v>89631.942646673328</v>
      </c>
      <c r="M22" s="207">
        <f>'P&amp;L and Cash Flow'!M69</f>
        <v>91424.581499606793</v>
      </c>
    </row>
    <row r="23" spans="2:13">
      <c r="B23" s="208" t="s">
        <v>186</v>
      </c>
      <c r="C23" s="196">
        <f>Offering!C12</f>
        <v>24581400</v>
      </c>
      <c r="D23" s="196">
        <v>0</v>
      </c>
      <c r="E23" s="196"/>
      <c r="F23" s="196"/>
      <c r="G23" s="196"/>
      <c r="H23" s="196"/>
      <c r="I23" s="196"/>
      <c r="J23" s="196"/>
      <c r="K23" s="196"/>
      <c r="L23" s="196"/>
      <c r="M23" s="196"/>
    </row>
    <row r="24" spans="2:13">
      <c r="B24" s="206" t="s">
        <v>193</v>
      </c>
      <c r="C24" s="193">
        <f t="shared" ref="C24:K24" si="6">C19-C21-C23-C22</f>
        <v>-21454351.522537269</v>
      </c>
      <c r="D24" s="193">
        <f t="shared" si="6"/>
        <v>7562625.4022068921</v>
      </c>
      <c r="E24" s="193">
        <f t="shared" si="6"/>
        <v>7268308.687347604</v>
      </c>
      <c r="F24" s="193">
        <f t="shared" si="6"/>
        <v>7203238.130136298</v>
      </c>
      <c r="G24" s="193">
        <f t="shared" si="6"/>
        <v>7178133.5201960225</v>
      </c>
      <c r="H24" s="193">
        <f t="shared" si="6"/>
        <v>7179308.4726144597</v>
      </c>
      <c r="I24" s="193">
        <f t="shared" si="6"/>
        <v>7132061.6105428878</v>
      </c>
      <c r="J24" s="193">
        <f t="shared" si="6"/>
        <v>7061646.2978485832</v>
      </c>
      <c r="K24" s="193">
        <f t="shared" si="6"/>
        <v>7074799.1879817499</v>
      </c>
      <c r="L24" s="193">
        <f t="shared" ref="L24:M24" si="7">L19-L21-L23-L22</f>
        <v>7026520.0802964605</v>
      </c>
      <c r="M24" s="193">
        <f t="shared" si="7"/>
        <v>6964618.5244221166</v>
      </c>
    </row>
    <row r="25" spans="2:13">
      <c r="B25" s="206"/>
      <c r="C25" s="193"/>
      <c r="D25" s="193"/>
      <c r="E25" s="193"/>
      <c r="F25" s="193"/>
      <c r="G25" s="193"/>
      <c r="H25" s="193"/>
      <c r="I25" s="193"/>
      <c r="J25" s="193"/>
      <c r="K25" s="193"/>
      <c r="L25" s="193"/>
      <c r="M25" s="193"/>
    </row>
    <row r="26" spans="2:13">
      <c r="B26" s="206" t="s">
        <v>292</v>
      </c>
      <c r="C26" s="252" t="s">
        <v>4</v>
      </c>
      <c r="D26" s="252" t="s">
        <v>5</v>
      </c>
      <c r="E26" s="252" t="s">
        <v>6</v>
      </c>
      <c r="F26" s="252" t="s">
        <v>7</v>
      </c>
      <c r="G26" s="252" t="s">
        <v>8</v>
      </c>
      <c r="H26" s="252" t="s">
        <v>9</v>
      </c>
      <c r="I26" s="252" t="s">
        <v>10</v>
      </c>
      <c r="J26" s="252" t="s">
        <v>11</v>
      </c>
      <c r="K26" s="252" t="s">
        <v>90</v>
      </c>
      <c r="L26" s="252" t="s">
        <v>330</v>
      </c>
      <c r="M26" s="252" t="s">
        <v>331</v>
      </c>
    </row>
    <row r="27" spans="2:13">
      <c r="C27" s="372">
        <f>C24</f>
        <v>-21454351.522537269</v>
      </c>
      <c r="D27" s="193">
        <f>D24*Offering!$C$34</f>
        <v>6050100.3217655141</v>
      </c>
      <c r="E27" s="193">
        <f>E24*Offering!$C$34</f>
        <v>5814646.9498780835</v>
      </c>
      <c r="F27" s="193">
        <f>F24*Offering!$C$34</f>
        <v>5762590.504109039</v>
      </c>
      <c r="G27" s="193">
        <f>G24*Offering!$C$34</f>
        <v>5742506.8161568185</v>
      </c>
      <c r="H27" s="193">
        <f>H24*Offering!$C$34</f>
        <v>5743446.7780915685</v>
      </c>
      <c r="I27" s="193">
        <f>I24*Offering!$C$34</f>
        <v>5705649.2884343108</v>
      </c>
      <c r="J27" s="193">
        <f>J24*Offering!$C$34</f>
        <v>5649317.0382788666</v>
      </c>
      <c r="K27" s="193">
        <f>K24*Offering!$C$34</f>
        <v>5659839.3503854005</v>
      </c>
      <c r="L27" s="193">
        <f>L24*Offering!$C$34</f>
        <v>5621216.064237169</v>
      </c>
      <c r="M27" s="193">
        <f>M24*Offering!$C$34</f>
        <v>5571694.8195376936</v>
      </c>
    </row>
    <row r="28" spans="2:13">
      <c r="B28" s="192" t="s">
        <v>333</v>
      </c>
      <c r="C28" s="370">
        <f>IRR(C27:M27)</f>
        <v>0.23865288214046254</v>
      </c>
      <c r="D28" s="194"/>
      <c r="E28" s="194"/>
      <c r="F28" s="194"/>
      <c r="G28" s="194"/>
      <c r="H28" s="194"/>
      <c r="I28" s="194"/>
      <c r="J28" s="194"/>
      <c r="K28" s="194"/>
      <c r="L28" s="194"/>
      <c r="M28" s="194"/>
    </row>
    <row r="29" spans="2:13">
      <c r="B29" s="331" t="s">
        <v>332</v>
      </c>
      <c r="C29" s="320">
        <f>NPV(0.15,C27:M27)</f>
        <v>6562576.0394322509</v>
      </c>
    </row>
    <row r="31" spans="2:13">
      <c r="B31" s="8" t="s">
        <v>22</v>
      </c>
    </row>
    <row r="32" spans="2:13">
      <c r="B32" s="190"/>
      <c r="C32" s="253" t="s">
        <v>4</v>
      </c>
      <c r="D32" s="253" t="s">
        <v>5</v>
      </c>
      <c r="E32" s="253" t="s">
        <v>6</v>
      </c>
      <c r="F32" s="253" t="s">
        <v>7</v>
      </c>
      <c r="G32" s="253" t="s">
        <v>8</v>
      </c>
      <c r="H32" s="253" t="s">
        <v>9</v>
      </c>
      <c r="I32" s="253" t="s">
        <v>10</v>
      </c>
      <c r="J32" s="253" t="s">
        <v>11</v>
      </c>
      <c r="K32" s="253" t="s">
        <v>90</v>
      </c>
      <c r="L32" s="253" t="s">
        <v>330</v>
      </c>
      <c r="M32" s="253" t="s">
        <v>331</v>
      </c>
    </row>
    <row r="33" spans="2:13" s="77" customFormat="1">
      <c r="B33" s="209" t="s">
        <v>193</v>
      </c>
      <c r="C33" s="210">
        <f t="shared" ref="C33:K33" si="8">C24</f>
        <v>-21454351.522537269</v>
      </c>
      <c r="D33" s="210">
        <f t="shared" si="8"/>
        <v>7562625.4022068921</v>
      </c>
      <c r="E33" s="210">
        <f t="shared" si="8"/>
        <v>7268308.687347604</v>
      </c>
      <c r="F33" s="210">
        <f t="shared" si="8"/>
        <v>7203238.130136298</v>
      </c>
      <c r="G33" s="210">
        <f t="shared" si="8"/>
        <v>7178133.5201960225</v>
      </c>
      <c r="H33" s="210">
        <f t="shared" si="8"/>
        <v>7179308.4726144597</v>
      </c>
      <c r="I33" s="210">
        <f t="shared" si="8"/>
        <v>7132061.6105428878</v>
      </c>
      <c r="J33" s="210">
        <f t="shared" si="8"/>
        <v>7061646.2978485832</v>
      </c>
      <c r="K33" s="210">
        <f t="shared" si="8"/>
        <v>7074799.1879817499</v>
      </c>
      <c r="L33" s="210">
        <f t="shared" ref="L33:M33" si="9">L24</f>
        <v>7026520.0802964605</v>
      </c>
      <c r="M33" s="210">
        <f t="shared" si="9"/>
        <v>6964618.5244221166</v>
      </c>
    </row>
    <row r="34" spans="2:13" s="77" customFormat="1">
      <c r="B34" s="209" t="s">
        <v>253</v>
      </c>
      <c r="C34" s="210"/>
      <c r="D34" s="210">
        <v>10000000</v>
      </c>
      <c r="E34" s="210"/>
      <c r="F34" s="210"/>
      <c r="G34" s="210"/>
      <c r="H34" s="210"/>
      <c r="I34" s="210"/>
      <c r="J34" s="210"/>
      <c r="K34" s="210"/>
      <c r="L34" s="210"/>
      <c r="M34" s="210"/>
    </row>
    <row r="35" spans="2:13" s="77" customFormat="1">
      <c r="B35" s="375" t="s">
        <v>336</v>
      </c>
      <c r="C35" s="210">
        <f>Offering!C11</f>
        <v>1391400</v>
      </c>
      <c r="D35" s="210"/>
      <c r="E35" s="210"/>
      <c r="F35" s="210"/>
      <c r="G35" s="210"/>
      <c r="H35" s="210"/>
      <c r="I35" s="210"/>
      <c r="J35" s="210"/>
      <c r="K35" s="210"/>
      <c r="L35" s="210"/>
      <c r="M35" s="210"/>
    </row>
    <row r="36" spans="2:13">
      <c r="B36" s="305" t="s">
        <v>149</v>
      </c>
      <c r="C36" s="292">
        <f>'P&amp;L and Cash Flow'!C66</f>
        <v>448767.1232876713</v>
      </c>
      <c r="D36" s="292">
        <f>'P&amp;L and Cash Flow'!D66</f>
        <v>590397.95428121206</v>
      </c>
      <c r="E36" s="292">
        <f>'P&amp;L and Cash Flow'!E66</f>
        <v>1296138.812910459</v>
      </c>
      <c r="F36" s="292">
        <f>'P&amp;L and Cash Flow'!F66</f>
        <v>1295649.0313399427</v>
      </c>
      <c r="G36" s="292">
        <f>'P&amp;L and Cash Flow'!G66</f>
        <v>1293391.8135901929</v>
      </c>
      <c r="H36" s="292">
        <f>'P&amp;L and Cash Flow'!H66</f>
        <v>1292141.829348647</v>
      </c>
      <c r="I36" s="292">
        <f>'P&amp;L and Cash Flow'!I66</f>
        <v>1287357.9628650262</v>
      </c>
      <c r="J36" s="292">
        <f>'P&amp;L and Cash Flow'!J66</f>
        <v>1285753.250363281</v>
      </c>
      <c r="K36" s="292">
        <f>'P&amp;L and Cash Flow'!K66</f>
        <v>1349383.8778525791</v>
      </c>
      <c r="L36" s="292">
        <f>'P&amp;L and Cash Flow'!L66</f>
        <v>1402410.3447335334</v>
      </c>
      <c r="M36" s="292">
        <f>'P&amp;L and Cash Flow'!M66</f>
        <v>1407608.5723684279</v>
      </c>
    </row>
    <row r="37" spans="2:13">
      <c r="B37" s="9" t="s">
        <v>334</v>
      </c>
      <c r="C37" s="293">
        <f>C33+C34-C35-C36</f>
        <v>-23294518.645824939</v>
      </c>
      <c r="D37" s="293">
        <f t="shared" ref="D37:M37" si="10">D33+D34-D35-D36</f>
        <v>16972227.447925679</v>
      </c>
      <c r="E37" s="293">
        <f t="shared" si="10"/>
        <v>5972169.874437145</v>
      </c>
      <c r="F37" s="293">
        <f t="shared" si="10"/>
        <v>5907589.0987963555</v>
      </c>
      <c r="G37" s="293">
        <f t="shared" si="10"/>
        <v>5884741.7066058293</v>
      </c>
      <c r="H37" s="293">
        <f t="shared" si="10"/>
        <v>5887166.6432658127</v>
      </c>
      <c r="I37" s="293">
        <f t="shared" si="10"/>
        <v>5844703.6476778612</v>
      </c>
      <c r="J37" s="293">
        <f t="shared" si="10"/>
        <v>5775893.0474853022</v>
      </c>
      <c r="K37" s="293">
        <f t="shared" si="10"/>
        <v>5725415.3101291712</v>
      </c>
      <c r="L37" s="293">
        <f t="shared" si="10"/>
        <v>5624109.7355629271</v>
      </c>
      <c r="M37" s="293">
        <f t="shared" si="10"/>
        <v>5557009.9520536885</v>
      </c>
    </row>
    <row r="38" spans="2:13">
      <c r="B38" s="9"/>
      <c r="C38" s="293"/>
      <c r="D38" s="293"/>
      <c r="E38" s="293"/>
      <c r="F38" s="293"/>
      <c r="G38" s="293"/>
      <c r="H38" s="293"/>
      <c r="I38" s="293"/>
      <c r="J38" s="293"/>
      <c r="K38" s="293"/>
      <c r="L38" s="293"/>
    </row>
    <row r="39" spans="2:13">
      <c r="B39" s="373" t="s">
        <v>230</v>
      </c>
      <c r="C39" s="315"/>
      <c r="D39" s="315">
        <f t="shared" ref="D39:K39" si="11">D33/(D36)</f>
        <v>12.809369252327631</v>
      </c>
      <c r="E39" s="315">
        <f t="shared" si="11"/>
        <v>5.6076622464739971</v>
      </c>
      <c r="F39" s="315">
        <f t="shared" si="11"/>
        <v>5.5595596924012725</v>
      </c>
      <c r="G39" s="315">
        <f t="shared" si="11"/>
        <v>5.5498522912952275</v>
      </c>
      <c r="H39" s="315">
        <f t="shared" si="11"/>
        <v>5.5561303794595531</v>
      </c>
      <c r="I39" s="315">
        <f t="shared" si="11"/>
        <v>5.540076510398416</v>
      </c>
      <c r="J39" s="315">
        <f t="shared" si="11"/>
        <v>5.4922251185080517</v>
      </c>
      <c r="K39" s="315">
        <f t="shared" si="11"/>
        <v>5.24298482003553</v>
      </c>
      <c r="L39" s="315">
        <f t="shared" ref="L39" si="12">L33/(L36)</f>
        <v>5.0103167783118021</v>
      </c>
      <c r="M39" s="315">
        <f t="shared" ref="M39" si="13">M33/(M36)</f>
        <v>4.9478375317816656</v>
      </c>
    </row>
    <row r="40" spans="2:13">
      <c r="B40" s="373"/>
      <c r="C40" s="371"/>
      <c r="D40" s="371"/>
      <c r="E40" s="371"/>
      <c r="F40" s="371"/>
      <c r="G40" s="371"/>
      <c r="H40" s="371"/>
      <c r="I40" s="371"/>
      <c r="J40" s="371"/>
      <c r="K40" s="371"/>
      <c r="L40" s="371"/>
      <c r="M40" s="371"/>
    </row>
    <row r="41" spans="2:13">
      <c r="B41" s="374" t="s">
        <v>335</v>
      </c>
      <c r="C41" s="378">
        <f>IRR(C37:M37)</f>
        <v>0.37038461930035282</v>
      </c>
      <c r="D41" s="293"/>
      <c r="E41" s="293"/>
      <c r="F41" s="293"/>
      <c r="G41" s="293"/>
      <c r="H41" s="293"/>
      <c r="I41" s="293"/>
      <c r="J41" s="293"/>
      <c r="K41" s="293"/>
      <c r="L41" s="293"/>
    </row>
  </sheetData>
  <phoneticPr fontId="8" type="noConversion"/>
  <printOptions horizontalCentered="1"/>
  <pageMargins left="0.19685039370078741" right="0.19685039370078741" top="0.39370078740157483" bottom="0.19685039370078741" header="0.30000000000000004" footer="0.30000000000000004"/>
  <pageSetup scale="80" orientation="landscape"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7"/>
  <sheetViews>
    <sheetView topLeftCell="A7" zoomScale="120" zoomScaleNormal="120" zoomScalePageLayoutView="125" workbookViewId="0">
      <selection activeCell="C5" sqref="C5"/>
    </sheetView>
  </sheetViews>
  <sheetFormatPr defaultColWidth="11.42578125" defaultRowHeight="15"/>
  <cols>
    <col min="1" max="1" width="2.85546875" customWidth="1"/>
    <col min="2" max="2" width="36.85546875" customWidth="1"/>
    <col min="3" max="11" width="12" bestFit="1" customWidth="1"/>
    <col min="12" max="12" width="11.42578125" bestFit="1" customWidth="1"/>
  </cols>
  <sheetData>
    <row r="1" spans="1:13" ht="15.75">
      <c r="A1" s="213" t="s">
        <v>215</v>
      </c>
      <c r="B1" s="13"/>
      <c r="C1" s="13"/>
      <c r="D1" s="13"/>
      <c r="E1" s="13"/>
      <c r="F1" s="13"/>
      <c r="G1" s="13"/>
      <c r="H1" s="13"/>
      <c r="I1" s="13"/>
      <c r="J1" s="13"/>
      <c r="K1" s="13"/>
      <c r="L1" s="13"/>
    </row>
    <row r="2" spans="1:13" ht="15.75">
      <c r="A2" s="213"/>
      <c r="B2" s="13"/>
      <c r="C2" s="13"/>
      <c r="D2" s="13"/>
      <c r="E2" s="13"/>
      <c r="F2" s="13"/>
      <c r="G2" s="13"/>
      <c r="H2" s="13"/>
      <c r="I2" s="13"/>
      <c r="J2" s="13"/>
      <c r="K2" s="13"/>
      <c r="L2" s="13"/>
    </row>
    <row r="3" spans="1:13" ht="15.75">
      <c r="A3" s="213"/>
      <c r="B3" s="87" t="s">
        <v>216</v>
      </c>
      <c r="C3" s="231" t="s">
        <v>4</v>
      </c>
      <c r="D3" s="231" t="s">
        <v>5</v>
      </c>
      <c r="E3" s="231" t="s">
        <v>6</v>
      </c>
      <c r="F3" s="231" t="s">
        <v>7</v>
      </c>
      <c r="G3" s="231" t="s">
        <v>8</v>
      </c>
      <c r="H3" s="231" t="s">
        <v>9</v>
      </c>
      <c r="I3" s="231" t="s">
        <v>10</v>
      </c>
      <c r="J3" s="231" t="s">
        <v>11</v>
      </c>
      <c r="K3" s="231" t="s">
        <v>90</v>
      </c>
      <c r="L3" s="231" t="s">
        <v>330</v>
      </c>
      <c r="M3" s="231" t="s">
        <v>331</v>
      </c>
    </row>
    <row r="4" spans="1:13" ht="15.75">
      <c r="A4" s="213"/>
      <c r="B4" s="281" t="s">
        <v>217</v>
      </c>
      <c r="C4" s="282">
        <v>0.1</v>
      </c>
      <c r="D4" s="282">
        <f>C4</f>
        <v>0.1</v>
      </c>
      <c r="E4" s="282">
        <f t="shared" ref="E4:M4" si="0">D4</f>
        <v>0.1</v>
      </c>
      <c r="F4" s="282">
        <f t="shared" si="0"/>
        <v>0.1</v>
      </c>
      <c r="G4" s="282">
        <f t="shared" si="0"/>
        <v>0.1</v>
      </c>
      <c r="H4" s="282">
        <f t="shared" si="0"/>
        <v>0.1</v>
      </c>
      <c r="I4" s="282">
        <f t="shared" si="0"/>
        <v>0.1</v>
      </c>
      <c r="J4" s="282">
        <f t="shared" si="0"/>
        <v>0.1</v>
      </c>
      <c r="K4" s="282">
        <f t="shared" si="0"/>
        <v>0.1</v>
      </c>
      <c r="L4" s="282">
        <f t="shared" si="0"/>
        <v>0.1</v>
      </c>
      <c r="M4" s="282">
        <f t="shared" si="0"/>
        <v>0.1</v>
      </c>
    </row>
    <row r="5" spans="1:13" ht="15.75">
      <c r="A5" s="213"/>
      <c r="B5" s="281" t="s">
        <v>218</v>
      </c>
      <c r="C5" s="282">
        <v>0.15</v>
      </c>
      <c r="D5" s="282">
        <f>C5</f>
        <v>0.15</v>
      </c>
      <c r="E5" s="282">
        <f t="shared" ref="E5:M5" si="1">D5</f>
        <v>0.15</v>
      </c>
      <c r="F5" s="282">
        <f t="shared" si="1"/>
        <v>0.15</v>
      </c>
      <c r="G5" s="282">
        <f t="shared" si="1"/>
        <v>0.15</v>
      </c>
      <c r="H5" s="282">
        <f t="shared" si="1"/>
        <v>0.15</v>
      </c>
      <c r="I5" s="282">
        <f t="shared" si="1"/>
        <v>0.15</v>
      </c>
      <c r="J5" s="282">
        <f t="shared" si="1"/>
        <v>0.15</v>
      </c>
      <c r="K5" s="282">
        <f t="shared" si="1"/>
        <v>0.15</v>
      </c>
      <c r="L5" s="282">
        <f t="shared" si="1"/>
        <v>0.15</v>
      </c>
      <c r="M5" s="282">
        <f t="shared" si="1"/>
        <v>0.15</v>
      </c>
    </row>
    <row r="6" spans="1:13" ht="15.75">
      <c r="A6" s="213"/>
      <c r="B6" s="281" t="s">
        <v>219</v>
      </c>
      <c r="C6" s="282">
        <v>0.1</v>
      </c>
      <c r="D6" s="282">
        <f>C6</f>
        <v>0.1</v>
      </c>
      <c r="E6" s="282">
        <f t="shared" ref="E6:M6" si="2">D6</f>
        <v>0.1</v>
      </c>
      <c r="F6" s="282">
        <f t="shared" si="2"/>
        <v>0.1</v>
      </c>
      <c r="G6" s="282">
        <f t="shared" si="2"/>
        <v>0.1</v>
      </c>
      <c r="H6" s="282">
        <f t="shared" si="2"/>
        <v>0.1</v>
      </c>
      <c r="I6" s="282">
        <f t="shared" si="2"/>
        <v>0.1</v>
      </c>
      <c r="J6" s="282">
        <f t="shared" si="2"/>
        <v>0.1</v>
      </c>
      <c r="K6" s="282">
        <f t="shared" si="2"/>
        <v>0.1</v>
      </c>
      <c r="L6" s="282">
        <f t="shared" si="2"/>
        <v>0.1</v>
      </c>
      <c r="M6" s="282">
        <f t="shared" si="2"/>
        <v>0.1</v>
      </c>
    </row>
    <row r="7" spans="1:13" ht="15.75">
      <c r="A7" s="213"/>
      <c r="B7" s="281" t="s">
        <v>221</v>
      </c>
      <c r="C7" s="285">
        <f>C56</f>
        <v>0.28996220277572182</v>
      </c>
      <c r="D7" s="285">
        <f>D56</f>
        <v>0.40809572141302547</v>
      </c>
      <c r="E7" s="285">
        <f t="shared" ref="E7:M7" si="3">E56</f>
        <v>0.36233153582988004</v>
      </c>
      <c r="F7" s="285">
        <f t="shared" si="3"/>
        <v>0.34328518415554238</v>
      </c>
      <c r="G7" s="285">
        <f t="shared" si="3"/>
        <v>0.32387499667581721</v>
      </c>
      <c r="H7" s="285">
        <f t="shared" si="3"/>
        <v>0.30604046333446566</v>
      </c>
      <c r="I7" s="285">
        <f t="shared" si="3"/>
        <v>0.28630682996947726</v>
      </c>
      <c r="J7" s="285">
        <f t="shared" si="3"/>
        <v>0.26587576916037842</v>
      </c>
      <c r="K7" s="285">
        <f t="shared" si="3"/>
        <v>0.24766953440350045</v>
      </c>
      <c r="L7" s="285">
        <f t="shared" si="3"/>
        <v>0.23979072637823889</v>
      </c>
      <c r="M7" s="285">
        <f t="shared" si="3"/>
        <v>0.2317763674479926</v>
      </c>
    </row>
    <row r="8" spans="1:13" ht="15.75">
      <c r="A8" s="213"/>
      <c r="B8" s="281" t="s">
        <v>222</v>
      </c>
      <c r="C8" s="285">
        <f>-('P&amp;L and Cash Flow'!C43-Sensitivity!C7)</f>
        <v>-0.14021976554707533</v>
      </c>
      <c r="D8" s="285">
        <f>-('P&amp;L and Cash Flow'!D43-Sensitivity!D7)</f>
        <v>-0.11907860384721353</v>
      </c>
      <c r="E8" s="285">
        <f>-('P&amp;L and Cash Flow'!E43-Sensitivity!E7)</f>
        <v>-0.12795882654605401</v>
      </c>
      <c r="F8" s="285">
        <f>-('P&amp;L and Cash Flow'!F43-Sensitivity!F7)</f>
        <v>-0.13191101763727348</v>
      </c>
      <c r="G8" s="285">
        <f>-('P&amp;L and Cash Flow'!G43-Sensitivity!G7)</f>
        <v>-0.1359777122705802</v>
      </c>
      <c r="H8" s="285">
        <f>-('P&amp;L and Cash Flow'!H43-Sensitivity!H7)</f>
        <v>-0.13972555767926459</v>
      </c>
      <c r="I8" s="285">
        <f>-('P&amp;L and Cash Flow'!I43-Sensitivity!I7)</f>
        <v>-0.14386051533832533</v>
      </c>
      <c r="J8" s="285">
        <f>-('P&amp;L and Cash Flow'!J43-Sensitivity!J7)</f>
        <v>-0.14813899332507235</v>
      </c>
      <c r="K8" s="285">
        <f>-('P&amp;L and Cash Flow'!K43-Sensitivity!K7)</f>
        <v>-0.15204147171088914</v>
      </c>
      <c r="L8" s="285">
        <f>-('P&amp;L and Cash Flow'!L43-Sensitivity!L7)</f>
        <v>-0.15352586486270847</v>
      </c>
      <c r="M8" s="285">
        <f>-('P&amp;L and Cash Flow'!M43-Sensitivity!M7)</f>
        <v>-0.15503587432397994</v>
      </c>
    </row>
    <row r="9" spans="1:13" ht="15.75">
      <c r="A9" s="213"/>
      <c r="B9" s="281" t="s">
        <v>220</v>
      </c>
      <c r="C9" s="282">
        <v>0.1</v>
      </c>
      <c r="D9" s="282">
        <f>C9</f>
        <v>0.1</v>
      </c>
      <c r="E9" s="282">
        <f t="shared" ref="E9:M9" si="4">D9</f>
        <v>0.1</v>
      </c>
      <c r="F9" s="282">
        <f t="shared" si="4"/>
        <v>0.1</v>
      </c>
      <c r="G9" s="282">
        <f t="shared" si="4"/>
        <v>0.1</v>
      </c>
      <c r="H9" s="282">
        <f t="shared" si="4"/>
        <v>0.1</v>
      </c>
      <c r="I9" s="282">
        <f t="shared" si="4"/>
        <v>0.1</v>
      </c>
      <c r="J9" s="282">
        <f t="shared" si="4"/>
        <v>0.1</v>
      </c>
      <c r="K9" s="282">
        <f t="shared" si="4"/>
        <v>0.1</v>
      </c>
      <c r="L9" s="282">
        <f t="shared" si="4"/>
        <v>0.1</v>
      </c>
      <c r="M9" s="282">
        <f t="shared" si="4"/>
        <v>0.1</v>
      </c>
    </row>
    <row r="10" spans="1:13" ht="15.75">
      <c r="A10" s="213"/>
      <c r="B10" s="281" t="s">
        <v>223</v>
      </c>
      <c r="C10" s="285">
        <f>C65</f>
        <v>8.5393955265810104E-2</v>
      </c>
      <c r="D10" s="285">
        <f>'P&amp;L and Cash Flow'!D53-Sensitivity!D65</f>
        <v>0.11023406187273413</v>
      </c>
      <c r="E10" s="285">
        <f>'P&amp;L and Cash Flow'!E53-Sensitivity!E65</f>
        <v>8.8937041611613338E-2</v>
      </c>
      <c r="F10" s="285">
        <f>'P&amp;L and Cash Flow'!F53-Sensitivity!F65</f>
        <v>9.3456909761474055E-2</v>
      </c>
      <c r="G10" s="285">
        <f>'P&amp;L and Cash Flow'!G53-Sensitivity!G65</f>
        <v>9.8416274437811035E-2</v>
      </c>
      <c r="H10" s="285">
        <f>'P&amp;L and Cash Flow'!H53-Sensitivity!H65</f>
        <v>0.10315027837265839</v>
      </c>
      <c r="I10" s="285">
        <f>'P&amp;L and Cash Flow'!I53-Sensitivity!I65</f>
        <v>0.108064190357236</v>
      </c>
      <c r="J10" s="285">
        <f>'P&amp;L and Cash Flow'!J53-Sensitivity!J65</f>
        <v>0.11303846307295494</v>
      </c>
      <c r="K10" s="285">
        <f>'P&amp;L and Cash Flow'!K53-Sensitivity!K65</f>
        <v>0.11804806684961108</v>
      </c>
      <c r="L10" s="285">
        <f>'P&amp;L and Cash Flow'!L53-Sensitivity!L65</f>
        <v>0.11973061330739557</v>
      </c>
      <c r="M10" s="285">
        <f>'P&amp;L and Cash Flow'!M53-Sensitivity!M65</f>
        <v>6.0227382900781584E-2</v>
      </c>
    </row>
    <row r="11" spans="1:13" ht="15.75">
      <c r="A11" s="213"/>
      <c r="B11" s="281" t="s">
        <v>224</v>
      </c>
      <c r="C11" s="285">
        <f>-('P&amp;L and Cash Flow'!C53-Sensitivity!C10)</f>
        <v>-0.12179110264545957</v>
      </c>
      <c r="D11" s="285">
        <f>-('P&amp;L and Cash Flow'!D53-Sensitivity!D10)</f>
        <v>-0.20544226387255141</v>
      </c>
      <c r="E11" s="285">
        <f>-('P&amp;L and Cash Flow'!E53-Sensitivity!E10)</f>
        <v>-0.17813078845216127</v>
      </c>
      <c r="F11" s="285">
        <f>-('P&amp;L and Cash Flow'!F53-Sensitivity!F10)</f>
        <v>-0.16661026619607591</v>
      </c>
      <c r="G11" s="285">
        <f>-('P&amp;L and Cash Flow'!G53-Sensitivity!G10)</f>
        <v>-0.15527850144756628</v>
      </c>
      <c r="H11" s="285">
        <f>-('P&amp;L and Cash Flow'!H53-Sensitivity!H10)</f>
        <v>-0.14525986302789429</v>
      </c>
      <c r="I11" s="285">
        <f>-('P&amp;L and Cash Flow'!I53-Sensitivity!I10)</f>
        <v>-0.13355496316628129</v>
      </c>
      <c r="J11" s="285">
        <f>-('P&amp;L and Cash Flow'!J53-Sensitivity!J10)</f>
        <v>-0.12112730680638738</v>
      </c>
      <c r="K11" s="285">
        <f>-('P&amp;L and Cash Flow'!K53-Sensitivity!K10)</f>
        <v>-0.11092495391812149</v>
      </c>
      <c r="L11" s="285">
        <f>-('P&amp;L and Cash Flow'!L53-Sensitivity!L10)</f>
        <v>-0.1056491917319746</v>
      </c>
      <c r="M11" s="285">
        <f>-('P&amp;L and Cash Flow'!M53-Sensitivity!M10)</f>
        <v>-0.16344452157367606</v>
      </c>
    </row>
    <row r="12" spans="1:13" ht="15.75">
      <c r="A12" s="213"/>
      <c r="B12" s="281" t="s">
        <v>231</v>
      </c>
      <c r="C12" s="286">
        <f>C76</f>
        <v>3.9381952657640968</v>
      </c>
      <c r="D12" s="286">
        <f>D76</f>
        <v>8.3104079687890415</v>
      </c>
      <c r="E12" s="286">
        <f t="shared" ref="E12:M12" si="5">E76</f>
        <v>4.0446788766746877</v>
      </c>
      <c r="F12" s="286">
        <f t="shared" si="5"/>
        <v>3.9545321965024716</v>
      </c>
      <c r="G12" s="286">
        <f t="shared" si="5"/>
        <v>3.8799475176775675</v>
      </c>
      <c r="H12" s="286">
        <f t="shared" si="5"/>
        <v>3.8174466421719688</v>
      </c>
      <c r="I12" s="286">
        <f t="shared" si="5"/>
        <v>3.7281018717107859</v>
      </c>
      <c r="J12" s="286">
        <f t="shared" si="5"/>
        <v>3.6120202973347553</v>
      </c>
      <c r="K12" s="286">
        <f t="shared" si="5"/>
        <v>3.4118598388145696</v>
      </c>
      <c r="L12" s="286">
        <f t="shared" si="5"/>
        <v>3.2636712188051762</v>
      </c>
      <c r="M12" s="286">
        <f t="shared" si="5"/>
        <v>3.2257716198180808</v>
      </c>
    </row>
    <row r="13" spans="1:13" ht="15.75">
      <c r="A13" s="213"/>
      <c r="B13" s="281" t="s">
        <v>225</v>
      </c>
      <c r="C13" s="287">
        <f>C87</f>
        <v>0.20668425570298909</v>
      </c>
      <c r="D13" s="13"/>
      <c r="E13" s="13"/>
      <c r="F13" s="13"/>
      <c r="G13" s="13"/>
      <c r="H13" s="13"/>
      <c r="I13" s="13"/>
      <c r="J13" s="13"/>
      <c r="K13" s="13"/>
      <c r="L13" s="13"/>
      <c r="M13" s="13"/>
    </row>
    <row r="14" spans="1:13">
      <c r="A14" s="13"/>
      <c r="B14" s="13"/>
      <c r="C14" s="13"/>
      <c r="D14" s="13"/>
      <c r="E14" s="13"/>
      <c r="F14" s="13"/>
      <c r="G14" s="13"/>
      <c r="H14" s="13"/>
      <c r="I14" s="13"/>
      <c r="J14" s="13"/>
      <c r="K14" s="13"/>
      <c r="L14" s="13"/>
      <c r="M14" s="13"/>
    </row>
    <row r="15" spans="1:13">
      <c r="A15" s="13"/>
      <c r="B15" s="31"/>
      <c r="C15" s="231" t="s">
        <v>4</v>
      </c>
      <c r="D15" s="231" t="s">
        <v>5</v>
      </c>
      <c r="E15" s="231" t="s">
        <v>6</v>
      </c>
      <c r="F15" s="231" t="s">
        <v>7</v>
      </c>
      <c r="G15" s="231" t="s">
        <v>8</v>
      </c>
      <c r="H15" s="231" t="s">
        <v>9</v>
      </c>
      <c r="I15" s="231" t="s">
        <v>10</v>
      </c>
      <c r="J15" s="231" t="s">
        <v>11</v>
      </c>
      <c r="K15" s="231" t="s">
        <v>90</v>
      </c>
      <c r="L15" s="231" t="s">
        <v>330</v>
      </c>
      <c r="M15" s="231" t="s">
        <v>331</v>
      </c>
    </row>
    <row r="16" spans="1:13">
      <c r="A16" s="17"/>
      <c r="B16" s="250" t="s">
        <v>117</v>
      </c>
      <c r="C16" s="251"/>
      <c r="D16" s="251"/>
      <c r="E16" s="251"/>
      <c r="F16" s="251"/>
      <c r="G16" s="251"/>
      <c r="H16" s="251"/>
      <c r="I16" s="251"/>
      <c r="J16" s="251"/>
      <c r="K16" s="251"/>
      <c r="L16" s="251"/>
      <c r="M16" s="251"/>
    </row>
    <row r="17" spans="1:13">
      <c r="A17" s="13"/>
      <c r="B17" s="84" t="s">
        <v>20</v>
      </c>
      <c r="C17" s="81">
        <f>'P&amp;L and Cash Flow'!C5*(1-C4)</f>
        <v>6639203.5714285718</v>
      </c>
      <c r="D17" s="81">
        <f>'P&amp;L and Cash Flow'!D5*(1-D4)</f>
        <v>13072530.133928571</v>
      </c>
      <c r="E17" s="81">
        <f>'P&amp;L and Cash Flow'!E5*(1-E4)</f>
        <v>12880303.292410713</v>
      </c>
      <c r="F17" s="81">
        <f>'P&amp;L and Cash Flow'!F5*(1-F4)</f>
        <v>12757853.571428571</v>
      </c>
      <c r="G17" s="81">
        <f>'P&amp;L and Cash Flow'!G5*(1-G4)</f>
        <v>12602280.133928573</v>
      </c>
      <c r="H17" s="81">
        <f>'P&amp;L and Cash Flow'!H5*(1-H4)</f>
        <v>12468166.071428571</v>
      </c>
      <c r="I17" s="81">
        <f>'P&amp;L and Cash Flow'!I5*(1-I4)</f>
        <v>12272391.964285715</v>
      </c>
      <c r="J17" s="81">
        <f>'P&amp;L and Cash Flow'!J5*(1-J4)</f>
        <v>12041156.25</v>
      </c>
      <c r="K17" s="81">
        <f>'P&amp;L and Cash Flow'!K5*(1-K4)</f>
        <v>11837375.859374996</v>
      </c>
      <c r="L17" s="81">
        <f>'P&amp;L and Cash Flow'!L5*(1-L4)</f>
        <v>11921533.372265622</v>
      </c>
      <c r="M17" s="81">
        <f>'P&amp;L and Cash Flow'!M5*(1-M4)</f>
        <v>12006953.247849606</v>
      </c>
    </row>
    <row r="18" spans="1:13">
      <c r="A18" s="13"/>
      <c r="B18" s="84" t="s">
        <v>266</v>
      </c>
      <c r="C18" s="81">
        <f>'P&amp;L and Cash Flow'!C6*(1-C5)</f>
        <v>0</v>
      </c>
      <c r="D18" s="81">
        <f>'P&amp;L and Cash Flow'!D6*(1-D5)</f>
        <v>0</v>
      </c>
      <c r="E18" s="81">
        <f>'P&amp;L and Cash Flow'!E6*(1-E5)</f>
        <v>0</v>
      </c>
      <c r="F18" s="81">
        <f>'P&amp;L and Cash Flow'!F6*(1-F5)</f>
        <v>0</v>
      </c>
      <c r="G18" s="81">
        <f>'P&amp;L and Cash Flow'!G6*(1-G5)</f>
        <v>0</v>
      </c>
      <c r="H18" s="81">
        <f>'P&amp;L and Cash Flow'!H6*(1-H5)</f>
        <v>0</v>
      </c>
      <c r="I18" s="81">
        <f>'P&amp;L and Cash Flow'!I6*(1-I5)</f>
        <v>0</v>
      </c>
      <c r="J18" s="81">
        <f>'P&amp;L and Cash Flow'!J6*(1-J5)</f>
        <v>0</v>
      </c>
      <c r="K18" s="81">
        <f>'P&amp;L and Cash Flow'!K6*(1-K5)</f>
        <v>0</v>
      </c>
      <c r="L18" s="81">
        <f>'P&amp;L and Cash Flow'!L6*(1-L5)</f>
        <v>0</v>
      </c>
      <c r="M18" s="81">
        <f>'P&amp;L and Cash Flow'!M6*(1-M5)</f>
        <v>0</v>
      </c>
    </row>
    <row r="19" spans="1:13">
      <c r="A19" s="239"/>
      <c r="B19" s="84" t="s">
        <v>33</v>
      </c>
      <c r="C19" s="81">
        <f>'P&amp;L and Cash Flow'!C7*(1-C4)</f>
        <v>297000.00000000006</v>
      </c>
      <c r="D19" s="81">
        <f>'P&amp;L and Cash Flow'!D7*(1-D4)</f>
        <v>605880.00000000012</v>
      </c>
      <c r="E19" s="81">
        <f>'P&amp;L and Cash Flow'!E7*(1-E4)</f>
        <v>617997.60000000021</v>
      </c>
      <c r="F19" s="81">
        <f>'P&amp;L and Cash Flow'!F7*(1-F4)</f>
        <v>630357.55200000014</v>
      </c>
      <c r="G19" s="81">
        <f>'P&amp;L and Cash Flow'!G7*(1-G4)</f>
        <v>642964.70304000005</v>
      </c>
      <c r="H19" s="81">
        <f>'P&amp;L and Cash Flow'!H7*(1-H4)</f>
        <v>655823.99710080004</v>
      </c>
      <c r="I19" s="81">
        <f>'P&amp;L and Cash Flow'!I7*(1-I4)</f>
        <v>668940.47704281611</v>
      </c>
      <c r="J19" s="81">
        <f>'P&amp;L and Cash Flow'!J7*(1-J4)</f>
        <v>682319.28658367239</v>
      </c>
      <c r="K19" s="81">
        <f>'P&amp;L and Cash Flow'!K7*(1-K4)</f>
        <v>695965.67231534596</v>
      </c>
      <c r="L19" s="81">
        <f>'P&amp;L and Cash Flow'!L7*(1-L4)</f>
        <v>709884.98576165282</v>
      </c>
      <c r="M19" s="81">
        <f>'P&amp;L and Cash Flow'!M7*(1-M4)</f>
        <v>724082.68547688588</v>
      </c>
    </row>
    <row r="20" spans="1:13">
      <c r="A20" s="239"/>
      <c r="B20" s="84" t="s">
        <v>252</v>
      </c>
      <c r="C20" s="81">
        <f>'P&amp;L and Cash Flow'!C8*(1-C5)</f>
        <v>160862.50000000006</v>
      </c>
      <c r="D20" s="81">
        <f>'P&amp;L and Cash Flow'!D8*(1-D5)</f>
        <v>328159.50000000012</v>
      </c>
      <c r="E20" s="81">
        <f>'P&amp;L and Cash Flow'!E8*(1-E5)</f>
        <v>334722.69000000012</v>
      </c>
      <c r="F20" s="81">
        <f>'P&amp;L and Cash Flow'!F8*(1-F5)</f>
        <v>341417.14380000014</v>
      </c>
      <c r="G20" s="81">
        <f>'P&amp;L and Cash Flow'!G8*(1-G5)</f>
        <v>348245.48667600012</v>
      </c>
      <c r="H20" s="81">
        <f>'P&amp;L and Cash Flow'!H8*(1-H5)</f>
        <v>355210.39640952012</v>
      </c>
      <c r="I20" s="81">
        <f>'P&amp;L and Cash Flow'!I8*(1-I5)</f>
        <v>362314.60433771048</v>
      </c>
      <c r="J20" s="81">
        <f>'P&amp;L and Cash Flow'!J8*(1-J5)</f>
        <v>369560.89642446477</v>
      </c>
      <c r="K20" s="81">
        <f>'P&amp;L and Cash Flow'!K8*(1-K5)</f>
        <v>376952.11435295403</v>
      </c>
      <c r="L20" s="81">
        <f>'P&amp;L and Cash Flow'!L8*(1-L5)</f>
        <v>384491.15664001316</v>
      </c>
      <c r="M20" s="81">
        <f>'P&amp;L and Cash Flow'!M8*(1-M5)</f>
        <v>392180.97977281339</v>
      </c>
    </row>
    <row r="21" spans="1:13">
      <c r="A21" s="239"/>
      <c r="B21" s="84" t="s">
        <v>254</v>
      </c>
      <c r="C21" s="70">
        <f>'P&amp;L and Cash Flow'!C9*(1-C4)</f>
        <v>509625.00000000041</v>
      </c>
      <c r="D21" s="70">
        <f>'P&amp;L and Cash Flow'!D9*(1-D4)</f>
        <v>1311845.6250000012</v>
      </c>
      <c r="E21" s="70">
        <f>'P&amp;L and Cash Flow'!E9*(1-E4)</f>
        <v>1758477.9712499985</v>
      </c>
      <c r="F21" s="70">
        <f>'P&amp;L and Cash Flow'!F9*(1-F4)</f>
        <v>2229993.1844999995</v>
      </c>
      <c r="G21" s="70">
        <f>'P&amp;L and Cash Flow'!G9*(1-G4)</f>
        <v>2866615.3516837494</v>
      </c>
      <c r="H21" s="70">
        <f>'P&amp;L and Cash Flow'!H9*(1-H4)</f>
        <v>3535414.6309990645</v>
      </c>
      <c r="I21" s="70">
        <f>'P&amp;L and Cash Flow'!I9*(1-I4)</f>
        <v>4240018.966480976</v>
      </c>
      <c r="J21" s="70">
        <f>'P&amp;L and Cash Flow'!J9*(1-J4)</f>
        <v>4982273.2972134119</v>
      </c>
      <c r="K21" s="70">
        <f>'P&amp;L and Cash Flow'!K9*(1-K4)</f>
        <v>5890929.2390788095</v>
      </c>
      <c r="L21" s="70">
        <f>'P&amp;L and Cash Flow'!L9*(1-L4)</f>
        <v>5967633.1083185701</v>
      </c>
      <c r="M21" s="70">
        <f>'P&amp;L and Cash Flow'!M9*(1-M4)</f>
        <v>6045459.9077877067</v>
      </c>
    </row>
    <row r="22" spans="1:13">
      <c r="A22" s="13"/>
      <c r="B22" s="235" t="s">
        <v>118</v>
      </c>
      <c r="C22" s="82">
        <f t="shared" ref="C22:K22" si="6">SUM(C17:C21)</f>
        <v>7606691.0714285718</v>
      </c>
      <c r="D22" s="82">
        <f t="shared" si="6"/>
        <v>15318415.258928573</v>
      </c>
      <c r="E22" s="82">
        <f t="shared" si="6"/>
        <v>15591501.553660709</v>
      </c>
      <c r="F22" s="82">
        <f t="shared" si="6"/>
        <v>15959621.451728571</v>
      </c>
      <c r="G22" s="82">
        <f t="shared" si="6"/>
        <v>16460105.675328322</v>
      </c>
      <c r="H22" s="82">
        <f t="shared" si="6"/>
        <v>17014615.095937956</v>
      </c>
      <c r="I22" s="82">
        <f t="shared" si="6"/>
        <v>17543666.012147218</v>
      </c>
      <c r="J22" s="82">
        <f t="shared" si="6"/>
        <v>18075309.730221551</v>
      </c>
      <c r="K22" s="82">
        <f t="shared" si="6"/>
        <v>18801222.885122105</v>
      </c>
      <c r="L22" s="82">
        <f t="shared" ref="L22:M22" si="7">SUM(L17:L21)</f>
        <v>18983542.622985858</v>
      </c>
      <c r="M22" s="82">
        <f t="shared" si="7"/>
        <v>19168676.820887014</v>
      </c>
    </row>
    <row r="23" spans="1:13" ht="3" customHeight="1">
      <c r="A23" s="13"/>
      <c r="B23" s="31"/>
      <c r="C23" s="236"/>
      <c r="D23" s="236"/>
      <c r="E23" s="236"/>
      <c r="F23" s="236"/>
      <c r="G23" s="236"/>
      <c r="H23" s="236"/>
      <c r="I23" s="236"/>
      <c r="J23" s="236"/>
      <c r="K23" s="236"/>
      <c r="L23" s="236"/>
      <c r="M23" s="236"/>
    </row>
    <row r="24" spans="1:13">
      <c r="A24" s="13"/>
      <c r="B24" s="72" t="s">
        <v>119</v>
      </c>
      <c r="C24" s="31"/>
      <c r="D24" s="244"/>
      <c r="E24" s="31"/>
      <c r="F24" s="31"/>
      <c r="G24" s="31"/>
      <c r="H24" s="31"/>
      <c r="I24" s="31"/>
      <c r="J24" s="31"/>
      <c r="K24" s="31"/>
      <c r="L24" s="31"/>
      <c r="M24" s="31"/>
    </row>
    <row r="25" spans="1:13">
      <c r="A25" s="13"/>
      <c r="B25" s="84" t="s">
        <v>120</v>
      </c>
      <c r="C25" s="81">
        <f>'P&amp;L and Cash Flow'!C13*(1+C5)</f>
        <v>2012499.9999999998</v>
      </c>
      <c r="D25" s="81">
        <f>'P&amp;L and Cash Flow'!D13*(1+D5)</f>
        <v>4105499.9999999995</v>
      </c>
      <c r="E25" s="81">
        <f>'P&amp;L and Cash Flow'!E13*(1+E5)</f>
        <v>4187609.9999999995</v>
      </c>
      <c r="F25" s="81">
        <f>'P&amp;L and Cash Flow'!F13*(1+F5)</f>
        <v>4271362.1999999983</v>
      </c>
      <c r="G25" s="81">
        <f>'P&amp;L and Cash Flow'!G13*(1+G5)</f>
        <v>4356789.4440000001</v>
      </c>
      <c r="H25" s="81">
        <f>'P&amp;L and Cash Flow'!H13*(1+H5)</f>
        <v>4443925.23288</v>
      </c>
      <c r="I25" s="81">
        <f>'P&amp;L and Cash Flow'!I13*(1+I5)</f>
        <v>4532803.7375375992</v>
      </c>
      <c r="J25" s="81">
        <f>'P&amp;L and Cash Flow'!J13*(1+J5)</f>
        <v>4623459.8122883514</v>
      </c>
      <c r="K25" s="81">
        <f>'P&amp;L and Cash Flow'!K13*(1+K5)</f>
        <v>4715929.0085341195</v>
      </c>
      <c r="L25" s="81">
        <f>'P&amp;L and Cash Flow'!L13*(1+L5)</f>
        <v>4810247.5887048012</v>
      </c>
      <c r="M25" s="81">
        <f>'P&amp;L and Cash Flow'!M13*(1+M5)</f>
        <v>4906452.5404788973</v>
      </c>
    </row>
    <row r="26" spans="1:13">
      <c r="A26" s="13"/>
      <c r="B26" s="84" t="s">
        <v>78</v>
      </c>
      <c r="C26" s="81">
        <f>'P&amp;L and Cash Flow'!C14*(1+C5)</f>
        <v>104397.00000000009</v>
      </c>
      <c r="D26" s="81">
        <f>'P&amp;L and Cash Flow'!D14*(1+D5)</f>
        <v>298218.00000000023</v>
      </c>
      <c r="E26" s="81">
        <f>'P&amp;L and Cash Flow'!E14*(1+E5)</f>
        <v>441413.69999999955</v>
      </c>
      <c r="F26" s="81">
        <f>'P&amp;L and Cash Flow'!F14*(1+F5)</f>
        <v>605028.79999999946</v>
      </c>
      <c r="G26" s="81">
        <f>'P&amp;L and Cash Flow'!G14*(1+G5)</f>
        <v>819788.99999999965</v>
      </c>
      <c r="H26" s="81">
        <f>'P&amp;L and Cash Flow'!H14*(1+H5)</f>
        <v>1053381.5999999999</v>
      </c>
      <c r="I26" s="81">
        <f>'P&amp;L and Cash Flow'!I14*(1+I5)</f>
        <v>1310185.8000000003</v>
      </c>
      <c r="J26" s="81">
        <f>'P&amp;L and Cash Flow'!J14*(1+J5)</f>
        <v>1590201.6000000003</v>
      </c>
      <c r="K26" s="81">
        <f>'P&amp;L and Cash Flow'!K14*(1+K5)</f>
        <v>1984095</v>
      </c>
      <c r="L26" s="81">
        <f>'P&amp;L and Cash Flow'!L14*(1+L5)</f>
        <v>1984095</v>
      </c>
      <c r="M26" s="81">
        <f>'P&amp;L and Cash Flow'!M14*(1+M5)</f>
        <v>1984095</v>
      </c>
    </row>
    <row r="27" spans="1:13">
      <c r="A27" s="13"/>
      <c r="B27" s="84" t="s">
        <v>79</v>
      </c>
      <c r="C27" s="70">
        <f>'P&amp;L and Cash Flow'!C15*(1+C5)</f>
        <v>109772.72727272735</v>
      </c>
      <c r="D27" s="70">
        <f>'P&amp;L and Cash Flow'!D15*(1+D5)</f>
        <v>274431.81818181841</v>
      </c>
      <c r="E27" s="70">
        <f>'P&amp;L and Cash Flow'!E15*(1+E5)</f>
        <v>356761.36363636324</v>
      </c>
      <c r="F27" s="70">
        <f>'P&amp;L and Cash Flow'!F15*(1+F5)</f>
        <v>439090.90909090888</v>
      </c>
      <c r="G27" s="70">
        <f>'P&amp;L and Cash Flow'!G15*(1+G5)</f>
        <v>548863.63636363624</v>
      </c>
      <c r="H27" s="70">
        <f>'P&amp;L and Cash Flow'!H15*(1+H5)</f>
        <v>658636.36363636353</v>
      </c>
      <c r="I27" s="70">
        <f>'P&amp;L and Cash Flow'!I15*(1+I5)</f>
        <v>768409.09090909106</v>
      </c>
      <c r="J27" s="70">
        <f>'P&amp;L and Cash Flow'!J15*(1+J5)</f>
        <v>878181.81818181823</v>
      </c>
      <c r="K27" s="70">
        <f>'P&amp;L and Cash Flow'!K15*(1+K5)</f>
        <v>987954.54545454553</v>
      </c>
      <c r="L27" s="70">
        <f>'P&amp;L and Cash Flow'!L15*(1+L5)</f>
        <v>987954.54545454553</v>
      </c>
      <c r="M27" s="70">
        <f>'P&amp;L and Cash Flow'!M15*(1+M5)</f>
        <v>987954.54545454553</v>
      </c>
    </row>
    <row r="28" spans="1:13">
      <c r="A28" s="13"/>
      <c r="B28" s="235" t="s">
        <v>121</v>
      </c>
      <c r="C28" s="82">
        <f t="shared" ref="C28:K28" si="8">SUM(C25:C27)</f>
        <v>2226669.7272727275</v>
      </c>
      <c r="D28" s="82">
        <f t="shared" si="8"/>
        <v>4678149.8181818184</v>
      </c>
      <c r="E28" s="82">
        <f t="shared" si="8"/>
        <v>4985785.0636363626</v>
      </c>
      <c r="F28" s="82">
        <f t="shared" si="8"/>
        <v>5315481.9090909073</v>
      </c>
      <c r="G28" s="82">
        <f t="shared" si="8"/>
        <v>5725442.0803636368</v>
      </c>
      <c r="H28" s="82">
        <f t="shared" si="8"/>
        <v>6155943.196516363</v>
      </c>
      <c r="I28" s="82">
        <f t="shared" si="8"/>
        <v>6611398.6284466898</v>
      </c>
      <c r="J28" s="82">
        <f t="shared" si="8"/>
        <v>7091843.2304701703</v>
      </c>
      <c r="K28" s="82">
        <f t="shared" si="8"/>
        <v>7687978.5539886653</v>
      </c>
      <c r="L28" s="82">
        <f t="shared" ref="L28:M28" si="9">SUM(L25:L27)</f>
        <v>7782297.134159347</v>
      </c>
      <c r="M28" s="82">
        <f t="shared" si="9"/>
        <v>7878502.0859334432</v>
      </c>
    </row>
    <row r="29" spans="1:13">
      <c r="A29" s="13"/>
      <c r="B29" s="235"/>
      <c r="C29" s="284">
        <f t="shared" ref="C29:L29" si="10">C28/C22</f>
        <v>0.29272514242576553</v>
      </c>
      <c r="D29" s="284">
        <f t="shared" si="10"/>
        <v>0.30539385041511308</v>
      </c>
      <c r="E29" s="284">
        <f t="shared" si="10"/>
        <v>0.31977581161615293</v>
      </c>
      <c r="F29" s="284">
        <f t="shared" si="10"/>
        <v>0.33305814459121724</v>
      </c>
      <c r="G29" s="284">
        <f t="shared" si="10"/>
        <v>0.34783750440590255</v>
      </c>
      <c r="H29" s="284">
        <f t="shared" si="10"/>
        <v>0.36180325924540152</v>
      </c>
      <c r="I29" s="284">
        <f t="shared" si="10"/>
        <v>0.37685388127367242</v>
      </c>
      <c r="J29" s="284">
        <f t="shared" si="10"/>
        <v>0.39234974870791578</v>
      </c>
      <c r="K29" s="284">
        <f t="shared" si="10"/>
        <v>0.40890843116765357</v>
      </c>
      <c r="L29" s="284">
        <f t="shared" si="10"/>
        <v>0.40994967529065424</v>
      </c>
      <c r="M29" s="284">
        <f t="shared" ref="M29" si="11">M28/M22</f>
        <v>0.41100917708355794</v>
      </c>
    </row>
    <row r="30" spans="1:13" ht="3" customHeight="1">
      <c r="A30" s="13"/>
      <c r="B30" s="31"/>
      <c r="C30" s="236"/>
      <c r="D30" s="236"/>
      <c r="E30" s="236"/>
      <c r="F30" s="236"/>
      <c r="G30" s="236"/>
      <c r="H30" s="236"/>
      <c r="I30" s="236"/>
      <c r="J30" s="236"/>
      <c r="K30" s="236"/>
      <c r="L30" s="236"/>
      <c r="M30" s="236"/>
    </row>
    <row r="31" spans="1:13">
      <c r="A31" s="13"/>
      <c r="B31" s="72" t="s">
        <v>122</v>
      </c>
      <c r="C31" s="244"/>
      <c r="D31" s="244"/>
      <c r="E31" s="244"/>
      <c r="F31" s="244"/>
      <c r="G31" s="244"/>
      <c r="H31" s="244"/>
      <c r="I31" s="244"/>
      <c r="J31" s="244"/>
      <c r="K31" s="244"/>
      <c r="L31" s="244"/>
      <c r="M31" s="244"/>
    </row>
    <row r="32" spans="1:13">
      <c r="A32" s="13"/>
      <c r="B32" s="84" t="s">
        <v>183</v>
      </c>
      <c r="C32" s="68">
        <f>'P&amp;L and Cash Flow'!C19*(1+C6)</f>
        <v>2309499.6952500003</v>
      </c>
      <c r="D32" s="68">
        <f>'P&amp;L and Cash Flow'!D19*(1+D6)</f>
        <v>2726919.7147500003</v>
      </c>
      <c r="E32" s="68">
        <f>'P&amp;L and Cash Flow'!E19*(1+E6)</f>
        <v>2808727.3061925005</v>
      </c>
      <c r="F32" s="68">
        <f>'P&amp;L and Cash Flow'!F19*(1+F6)</f>
        <v>2892989.1253782758</v>
      </c>
      <c r="G32" s="68">
        <f>'P&amp;L and Cash Flow'!G19*(1+G6)</f>
        <v>2979778.799139624</v>
      </c>
      <c r="H32" s="68">
        <f>'P&amp;L and Cash Flow'!H19*(1+H6)</f>
        <v>3069172.1631138125</v>
      </c>
      <c r="I32" s="68">
        <f>'P&amp;L and Cash Flow'!I19*(1+I6)</f>
        <v>3161247.3280072268</v>
      </c>
      <c r="J32" s="68">
        <f>'P&amp;L and Cash Flow'!J19*(1+J6)</f>
        <v>3256084.7478474434</v>
      </c>
      <c r="K32" s="68">
        <f>'P&amp;L and Cash Flow'!K19*(1+K6)</f>
        <v>3353767.2902828669</v>
      </c>
      <c r="L32" s="68">
        <f>'P&amp;L and Cash Flow'!L19*(1+L6)</f>
        <v>3454380.308991353</v>
      </c>
      <c r="M32" s="68">
        <f>'P&amp;L and Cash Flow'!M19*(1+M6)</f>
        <v>3558011.7182610938</v>
      </c>
    </row>
    <row r="33" spans="1:13">
      <c r="A33" s="13"/>
      <c r="B33" s="84" t="s">
        <v>275</v>
      </c>
      <c r="C33" s="68">
        <f>'P&amp;L and Cash Flow'!C20*(1+Sensitivity!C6)</f>
        <v>318175.00000000012</v>
      </c>
      <c r="D33" s="68">
        <f>'P&amp;L and Cash Flow'!D20*(1+Sensitivity!D6)</f>
        <v>795437.50000000023</v>
      </c>
      <c r="E33" s="68">
        <f>'P&amp;L and Cash Flow'!E20*(1+Sensitivity!E6)</f>
        <v>819300.62500000023</v>
      </c>
      <c r="F33" s="68">
        <f>'P&amp;L and Cash Flow'!F20*(1+Sensitivity!F6)</f>
        <v>843879.64375000016</v>
      </c>
      <c r="G33" s="68">
        <f>'P&amp;L and Cash Flow'!G20*(1+Sensitivity!G6)</f>
        <v>869196.03306250041</v>
      </c>
      <c r="H33" s="68">
        <f>'P&amp;L and Cash Flow'!H20*(1+Sensitivity!H6)</f>
        <v>895271.91405437549</v>
      </c>
      <c r="I33" s="68">
        <f>'P&amp;L and Cash Flow'!I20*(1+Sensitivity!I6)</f>
        <v>922130.07147600665</v>
      </c>
      <c r="J33" s="68">
        <f>'P&amp;L and Cash Flow'!J20*(1+Sensitivity!J6)</f>
        <v>949793.97362028691</v>
      </c>
      <c r="K33" s="68">
        <f>'P&amp;L and Cash Flow'!K20*(1+Sensitivity!K6)</f>
        <v>978287.79282889562</v>
      </c>
      <c r="L33" s="68">
        <f>'P&amp;L and Cash Flow'!L20*(1+Sensitivity!L6)</f>
        <v>1007636.4266137623</v>
      </c>
      <c r="M33" s="68">
        <f>'P&amp;L and Cash Flow'!M20*(1+Sensitivity!M6)</f>
        <v>1037865.5194121753</v>
      </c>
    </row>
    <row r="34" spans="1:13">
      <c r="A34" s="13"/>
      <c r="B34" s="84" t="s">
        <v>123</v>
      </c>
      <c r="C34" s="68">
        <f>'P&amp;L and Cash Flow'!C21*(1+C6)</f>
        <v>30000.000000000029</v>
      </c>
      <c r="D34" s="68">
        <f>'P&amp;L and Cash Flow'!D21*(1+D6)</f>
        <v>77250.000000000073</v>
      </c>
      <c r="E34" s="68">
        <f>'P&amp;L and Cash Flow'!E21*(1+E6)</f>
        <v>103437.74999999993</v>
      </c>
      <c r="F34" s="68">
        <f>'P&amp;L and Cash Flow'!F21*(1+F6)</f>
        <v>131127.24</v>
      </c>
      <c r="G34" s="68">
        <f>'P&amp;L and Cash Flow'!G21*(1+G6)</f>
        <v>168826.32149999999</v>
      </c>
      <c r="H34" s="68">
        <f>'P&amp;L and Cash Flow'!H21*(1+H6)</f>
        <v>208669.3333740001</v>
      </c>
      <c r="I34" s="68">
        <f>'P&amp;L and Cash Flow'!I21*(1+I6)</f>
        <v>250750.98227109012</v>
      </c>
      <c r="J34" s="68">
        <f>'P&amp;L and Cash Flow'!J21*(1+J6)</f>
        <v>295169.72770196898</v>
      </c>
      <c r="K34" s="68">
        <f>'P&amp;L and Cash Flow'!K21*(1+K6)</f>
        <v>342027.92197465658</v>
      </c>
      <c r="L34" s="68">
        <f>'P&amp;L and Cash Flow'!L21*(1+L6)</f>
        <v>352288.75963389623</v>
      </c>
      <c r="M34" s="68">
        <f>'P&amp;L and Cash Flow'!M21*(1+M6)</f>
        <v>362857.42242291314</v>
      </c>
    </row>
    <row r="35" spans="1:13">
      <c r="A35" s="13"/>
      <c r="B35" s="242" t="s">
        <v>96</v>
      </c>
      <c r="C35" s="70">
        <f>'P&amp;L and Cash Flow'!C22*(1+C6)</f>
        <v>110000.00000000001</v>
      </c>
      <c r="D35" s="70">
        <f>'P&amp;L and Cash Flow'!D22*(1+D6)</f>
        <v>112200.00000000001</v>
      </c>
      <c r="E35" s="70">
        <f>'P&amp;L and Cash Flow'!E22*(1+E6)</f>
        <v>114444.00000000001</v>
      </c>
      <c r="F35" s="70">
        <f>'P&amp;L and Cash Flow'!F22*(1+F6)</f>
        <v>116732.88000000002</v>
      </c>
      <c r="G35" s="70">
        <f>'P&amp;L and Cash Flow'!G22*(1+G6)</f>
        <v>119067.53760000001</v>
      </c>
      <c r="H35" s="70">
        <f>'P&amp;L and Cash Flow'!H22*(1+H6)</f>
        <v>121448.88835200002</v>
      </c>
      <c r="I35" s="70">
        <f>'P&amp;L and Cash Flow'!I22*(1+I6)</f>
        <v>123877.86611904002</v>
      </c>
      <c r="J35" s="70">
        <f>'P&amp;L and Cash Flow'!J22*(1+J6)</f>
        <v>126355.42344142082</v>
      </c>
      <c r="K35" s="70">
        <f>'P&amp;L and Cash Flow'!K22*(1+K6)</f>
        <v>128882.53191024924</v>
      </c>
      <c r="L35" s="70">
        <f>'P&amp;L and Cash Flow'!L22*(1+L6)</f>
        <v>131460.18254845424</v>
      </c>
      <c r="M35" s="70">
        <f>'P&amp;L and Cash Flow'!M22*(1+M6)</f>
        <v>134089.38619942332</v>
      </c>
    </row>
    <row r="36" spans="1:13">
      <c r="A36" s="13"/>
      <c r="B36" s="235" t="s">
        <v>124</v>
      </c>
      <c r="C36" s="82">
        <f t="shared" ref="C36:K36" si="12">SUM(C32:C35)</f>
        <v>2767674.6952500003</v>
      </c>
      <c r="D36" s="82">
        <f t="shared" si="12"/>
        <v>3711807.2147500003</v>
      </c>
      <c r="E36" s="82">
        <f t="shared" si="12"/>
        <v>3845909.6811925005</v>
      </c>
      <c r="F36" s="82">
        <f t="shared" si="12"/>
        <v>3984728.8891282761</v>
      </c>
      <c r="G36" s="82">
        <f t="shared" si="12"/>
        <v>4136868.6913021244</v>
      </c>
      <c r="H36" s="82">
        <f t="shared" si="12"/>
        <v>4294562.2988941884</v>
      </c>
      <c r="I36" s="82">
        <f t="shared" si="12"/>
        <v>4458006.247873364</v>
      </c>
      <c r="J36" s="82">
        <f t="shared" si="12"/>
        <v>4627403.8726111203</v>
      </c>
      <c r="K36" s="82">
        <f t="shared" si="12"/>
        <v>4802965.5369966682</v>
      </c>
      <c r="L36" s="82">
        <f t="shared" ref="L36:M36" si="13">SUM(L32:L35)</f>
        <v>4945765.677787465</v>
      </c>
      <c r="M36" s="82">
        <f t="shared" si="13"/>
        <v>5092824.0462956056</v>
      </c>
    </row>
    <row r="37" spans="1:13">
      <c r="A37" s="13"/>
      <c r="B37" s="235"/>
      <c r="C37" s="284">
        <f t="shared" ref="C37:L37" si="14">C36/C22</f>
        <v>0.36384739031214769</v>
      </c>
      <c r="D37" s="284">
        <f t="shared" si="14"/>
        <v>0.24231013143389729</v>
      </c>
      <c r="E37" s="284">
        <f t="shared" si="14"/>
        <v>0.24666704922269173</v>
      </c>
      <c r="F37" s="284">
        <f t="shared" si="14"/>
        <v>0.24967565184302626</v>
      </c>
      <c r="G37" s="284">
        <f t="shared" si="14"/>
        <v>0.25132698251766289</v>
      </c>
      <c r="H37" s="284">
        <f t="shared" si="14"/>
        <v>0.2524043167993536</v>
      </c>
      <c r="I37" s="284">
        <f t="shared" si="14"/>
        <v>0.25410916080975576</v>
      </c>
      <c r="J37" s="284">
        <f t="shared" si="14"/>
        <v>0.2560068923673377</v>
      </c>
      <c r="K37" s="284">
        <f t="shared" si="14"/>
        <v>0.25546027332069871</v>
      </c>
      <c r="L37" s="284">
        <f t="shared" si="14"/>
        <v>0.26052912125047617</v>
      </c>
      <c r="M37" s="284">
        <f t="shared" ref="M37" si="15">M36/M22</f>
        <v>0.26568469456098531</v>
      </c>
    </row>
    <row r="38" spans="1:13" ht="3" customHeight="1">
      <c r="A38" s="13"/>
      <c r="B38" s="31"/>
      <c r="C38" s="237"/>
      <c r="D38" s="237"/>
      <c r="E38" s="237"/>
      <c r="F38" s="237"/>
      <c r="G38" s="237"/>
      <c r="H38" s="237"/>
      <c r="I38" s="237"/>
      <c r="J38" s="237"/>
      <c r="K38" s="237"/>
      <c r="L38" s="237"/>
      <c r="M38" s="237"/>
    </row>
    <row r="39" spans="1:13">
      <c r="A39" s="220"/>
      <c r="B39" s="243" t="s">
        <v>184</v>
      </c>
      <c r="C39" s="248">
        <f t="shared" ref="C39:K39" si="16">C28+C36</f>
        <v>4994344.4225227274</v>
      </c>
      <c r="D39" s="248">
        <f t="shared" si="16"/>
        <v>8389957.0329318196</v>
      </c>
      <c r="E39" s="248">
        <f t="shared" si="16"/>
        <v>8831694.7448288631</v>
      </c>
      <c r="F39" s="248">
        <f t="shared" si="16"/>
        <v>9300210.7982191835</v>
      </c>
      <c r="G39" s="248">
        <f t="shared" si="16"/>
        <v>9862310.7716657612</v>
      </c>
      <c r="H39" s="248">
        <f t="shared" si="16"/>
        <v>10450505.49541055</v>
      </c>
      <c r="I39" s="248">
        <f t="shared" si="16"/>
        <v>11069404.876320053</v>
      </c>
      <c r="J39" s="248">
        <f t="shared" si="16"/>
        <v>11719247.10308129</v>
      </c>
      <c r="K39" s="248">
        <f t="shared" si="16"/>
        <v>12490944.090985334</v>
      </c>
      <c r="L39" s="248">
        <f t="shared" ref="L39:M39" si="17">L28+L36</f>
        <v>12728062.811946813</v>
      </c>
      <c r="M39" s="248">
        <f t="shared" si="17"/>
        <v>12971326.132229049</v>
      </c>
    </row>
    <row r="40" spans="1:13" ht="3" customHeight="1">
      <c r="A40" s="13"/>
      <c r="B40" s="31"/>
      <c r="C40" s="236"/>
      <c r="D40" s="236"/>
      <c r="E40" s="236"/>
      <c r="F40" s="236"/>
      <c r="G40" s="236"/>
      <c r="H40" s="236"/>
      <c r="I40" s="236"/>
      <c r="J40" s="236"/>
      <c r="K40" s="236"/>
      <c r="L40" s="236"/>
      <c r="M40" s="236"/>
    </row>
    <row r="41" spans="1:13">
      <c r="A41" s="13"/>
      <c r="B41" s="80" t="s">
        <v>125</v>
      </c>
      <c r="C41" s="249">
        <f t="shared" ref="C41:L41" si="18">C22-C39</f>
        <v>2612346.6489058444</v>
      </c>
      <c r="D41" s="249">
        <f t="shared" si="18"/>
        <v>6928458.2259967532</v>
      </c>
      <c r="E41" s="249">
        <f t="shared" si="18"/>
        <v>6759806.8088318463</v>
      </c>
      <c r="F41" s="249">
        <f t="shared" si="18"/>
        <v>6659410.6535093877</v>
      </c>
      <c r="G41" s="249">
        <f t="shared" si="18"/>
        <v>6597794.9036625605</v>
      </c>
      <c r="H41" s="249">
        <f t="shared" si="18"/>
        <v>6564109.6005274057</v>
      </c>
      <c r="I41" s="249">
        <f t="shared" si="18"/>
        <v>6474261.1358271651</v>
      </c>
      <c r="J41" s="249">
        <f t="shared" si="18"/>
        <v>6356062.6271402612</v>
      </c>
      <c r="K41" s="249">
        <f t="shared" si="18"/>
        <v>6310278.7941367719</v>
      </c>
      <c r="L41" s="249">
        <f t="shared" si="18"/>
        <v>6255479.8110390455</v>
      </c>
      <c r="M41" s="249">
        <f t="shared" ref="M41" si="19">M22-M39</f>
        <v>6197350.6886579655</v>
      </c>
    </row>
    <row r="42" spans="1:13">
      <c r="A42" s="13"/>
      <c r="B42" s="80"/>
      <c r="C42" s="284">
        <f t="shared" ref="C42:L42" si="20">C41/C22</f>
        <v>0.34342746726208689</v>
      </c>
      <c r="D42" s="284">
        <f t="shared" si="20"/>
        <v>0.45229601815098958</v>
      </c>
      <c r="E42" s="284">
        <f t="shared" si="20"/>
        <v>0.43355713916115535</v>
      </c>
      <c r="F42" s="284">
        <f t="shared" si="20"/>
        <v>0.41726620356575644</v>
      </c>
      <c r="G42" s="284">
        <f t="shared" si="20"/>
        <v>0.40083551307643456</v>
      </c>
      <c r="H42" s="284">
        <f t="shared" si="20"/>
        <v>0.38579242395524488</v>
      </c>
      <c r="I42" s="284">
        <f t="shared" si="20"/>
        <v>0.36903695791657187</v>
      </c>
      <c r="J42" s="284">
        <f t="shared" si="20"/>
        <v>0.35164335892474657</v>
      </c>
      <c r="K42" s="284">
        <f t="shared" si="20"/>
        <v>0.33563129551164778</v>
      </c>
      <c r="L42" s="284">
        <f t="shared" si="20"/>
        <v>0.32952120345886954</v>
      </c>
      <c r="M42" s="284">
        <f t="shared" ref="M42" si="21">M41/M22</f>
        <v>0.32330612835545675</v>
      </c>
    </row>
    <row r="43" spans="1:13" ht="3" customHeight="1">
      <c r="A43" s="13"/>
      <c r="B43" s="80"/>
      <c r="C43" s="249"/>
      <c r="D43" s="249"/>
      <c r="E43" s="249"/>
      <c r="F43" s="249"/>
      <c r="G43" s="249"/>
      <c r="H43" s="249"/>
      <c r="I43" s="249"/>
      <c r="J43" s="249"/>
      <c r="K43" s="249"/>
      <c r="L43" s="249"/>
      <c r="M43" s="249"/>
    </row>
    <row r="44" spans="1:13">
      <c r="A44" s="13"/>
      <c r="B44" s="31"/>
      <c r="C44" s="232" t="s">
        <v>4</v>
      </c>
      <c r="D44" s="232" t="s">
        <v>5</v>
      </c>
      <c r="E44" s="232" t="s">
        <v>6</v>
      </c>
      <c r="F44" s="232" t="s">
        <v>7</v>
      </c>
      <c r="G44" s="232" t="s">
        <v>8</v>
      </c>
      <c r="H44" s="232" t="s">
        <v>9</v>
      </c>
      <c r="I44" s="232" t="s">
        <v>10</v>
      </c>
      <c r="J44" s="232" t="s">
        <v>11</v>
      </c>
      <c r="K44" s="232" t="s">
        <v>90</v>
      </c>
      <c r="L44" s="232" t="s">
        <v>330</v>
      </c>
      <c r="M44" s="232" t="s">
        <v>331</v>
      </c>
    </row>
    <row r="45" spans="1:13">
      <c r="A45" s="13"/>
      <c r="B45" s="72" t="s">
        <v>126</v>
      </c>
      <c r="C45" s="31"/>
      <c r="D45" s="31"/>
      <c r="E45" s="31"/>
      <c r="F45" s="31"/>
      <c r="G45" s="31"/>
      <c r="H45" s="31"/>
      <c r="I45" s="31"/>
      <c r="J45" s="31"/>
      <c r="K45" s="31"/>
      <c r="L45" s="31"/>
      <c r="M45" s="31"/>
    </row>
    <row r="46" spans="1:13">
      <c r="A46" s="13"/>
      <c r="B46" s="84" t="s">
        <v>127</v>
      </c>
      <c r="C46" s="81">
        <f>'P&amp;L and Cash Flow'!C33*(1+C9)</f>
        <v>16500</v>
      </c>
      <c r="D46" s="81">
        <f>'P&amp;L and Cash Flow'!D33*(1+D9)</f>
        <v>16995</v>
      </c>
      <c r="E46" s="81">
        <f>'P&amp;L and Cash Flow'!E33*(1+E9)</f>
        <v>17504.850000000002</v>
      </c>
      <c r="F46" s="81">
        <f>'P&amp;L and Cash Flow'!F33*(1+F9)</f>
        <v>18029.995500000001</v>
      </c>
      <c r="G46" s="81">
        <f>'P&amp;L and Cash Flow'!G33*(1+G9)</f>
        <v>18570.895365</v>
      </c>
      <c r="H46" s="81">
        <f>'P&amp;L and Cash Flow'!H33*(1+H9)</f>
        <v>19128.022225950001</v>
      </c>
      <c r="I46" s="81">
        <f>'P&amp;L and Cash Flow'!I33*(1+I9)</f>
        <v>19701.862892728499</v>
      </c>
      <c r="J46" s="81">
        <f>'P&amp;L and Cash Flow'!J33*(1+J9)</f>
        <v>20292.918779510357</v>
      </c>
      <c r="K46" s="81">
        <f>'P&amp;L and Cash Flow'!K33*(1+K9)</f>
        <v>20901.706342895668</v>
      </c>
      <c r="L46" s="81">
        <f>'P&amp;L and Cash Flow'!L33*(1+L9)</f>
        <v>21528.757533182539</v>
      </c>
      <c r="M46" s="81">
        <f>'P&amp;L and Cash Flow'!M33*(1+M9)</f>
        <v>22174.620259178017</v>
      </c>
    </row>
    <row r="47" spans="1:13">
      <c r="A47" s="13"/>
      <c r="B47" s="84" t="s">
        <v>109</v>
      </c>
      <c r="C47" s="81">
        <f>'P&amp;L and Cash Flow'!C34*(1+C9)</f>
        <v>82500</v>
      </c>
      <c r="D47" s="81">
        <f>'P&amp;L and Cash Flow'!D34*(1+D9)</f>
        <v>84975</v>
      </c>
      <c r="E47" s="81">
        <f>'P&amp;L and Cash Flow'!E34*(1+E9)</f>
        <v>87524.25</v>
      </c>
      <c r="F47" s="81">
        <f>'P&amp;L and Cash Flow'!F34*(1+F9)</f>
        <v>90149.977500000023</v>
      </c>
      <c r="G47" s="81">
        <f>'P&amp;L and Cash Flow'!G34*(1+G9)</f>
        <v>92854.47682500002</v>
      </c>
      <c r="H47" s="81">
        <f>'P&amp;L and Cash Flow'!H34*(1+H9)</f>
        <v>95640.111129750032</v>
      </c>
      <c r="I47" s="81">
        <f>'P&amp;L and Cash Flow'!I34*(1+I9)</f>
        <v>98509.314463642528</v>
      </c>
      <c r="J47" s="81">
        <f>'P&amp;L and Cash Flow'!J34*(1+J9)</f>
        <v>101464.59389755179</v>
      </c>
      <c r="K47" s="81">
        <f>'P&amp;L and Cash Flow'!K34*(1+K9)</f>
        <v>104508.53171447835</v>
      </c>
      <c r="L47" s="81">
        <f>'P&amp;L and Cash Flow'!L34*(1+L9)</f>
        <v>107643.78766591271</v>
      </c>
      <c r="M47" s="81">
        <f>'P&amp;L and Cash Flow'!M34*(1+M9)</f>
        <v>110873.1012958901</v>
      </c>
    </row>
    <row r="48" spans="1:13">
      <c r="A48" s="13"/>
      <c r="B48" s="84" t="s">
        <v>128</v>
      </c>
      <c r="C48" s="81">
        <f>'P&amp;L and Cash Flow'!C35*(1+C9)</f>
        <v>13200.000000000002</v>
      </c>
      <c r="D48" s="81">
        <f>'P&amp;L and Cash Flow'!D35*(1+D9)</f>
        <v>13596.000000000002</v>
      </c>
      <c r="E48" s="81">
        <f>'P&amp;L and Cash Flow'!E35*(1+E9)</f>
        <v>14003.880000000003</v>
      </c>
      <c r="F48" s="81">
        <f>'P&amp;L and Cash Flow'!F35*(1+F9)</f>
        <v>14423.996400000004</v>
      </c>
      <c r="G48" s="81">
        <f>'P&amp;L and Cash Flow'!G35*(1+G9)</f>
        <v>14856.716292000005</v>
      </c>
      <c r="H48" s="81">
        <f>'P&amp;L and Cash Flow'!H35*(1+H9)</f>
        <v>15302.417780760004</v>
      </c>
      <c r="I48" s="81">
        <f>'P&amp;L and Cash Flow'!I35*(1+I9)</f>
        <v>15761.490314182805</v>
      </c>
      <c r="J48" s="81">
        <f>'P&amp;L and Cash Flow'!J35*(1+J9)</f>
        <v>16234.33502360829</v>
      </c>
      <c r="K48" s="81">
        <f>'P&amp;L and Cash Flow'!K35*(1+K9)</f>
        <v>16721.365074316538</v>
      </c>
      <c r="L48" s="81">
        <f>'P&amp;L and Cash Flow'!L35*(1+L9)</f>
        <v>17223.006026546034</v>
      </c>
      <c r="M48" s="81">
        <f>'P&amp;L and Cash Flow'!M35*(1+M9)</f>
        <v>17739.696207342415</v>
      </c>
    </row>
    <row r="49" spans="1:13">
      <c r="A49" s="13"/>
      <c r="B49" s="84" t="s">
        <v>94</v>
      </c>
      <c r="C49" s="81">
        <f>'P&amp;L and Cash Flow'!C36*(1+C9)</f>
        <v>55000.000000000007</v>
      </c>
      <c r="D49" s="81">
        <f>'P&amp;L and Cash Flow'!D36*(1+D9)</f>
        <v>56650.000000000007</v>
      </c>
      <c r="E49" s="81">
        <f>'P&amp;L and Cash Flow'!E36*(1+E9)</f>
        <v>58349.500000000007</v>
      </c>
      <c r="F49" s="81">
        <f>'P&amp;L and Cash Flow'!F36*(1+F9)</f>
        <v>60099.985000000001</v>
      </c>
      <c r="G49" s="81">
        <f>'P&amp;L and Cash Flow'!G36*(1+G9)</f>
        <v>61902.984550000001</v>
      </c>
      <c r="H49" s="81">
        <f>'P&amp;L and Cash Flow'!H36*(1+H9)</f>
        <v>63760.074086500004</v>
      </c>
      <c r="I49" s="81">
        <f>'P&amp;L and Cash Flow'!I36*(1+I9)</f>
        <v>65672.876309095009</v>
      </c>
      <c r="J49" s="81">
        <f>'P&amp;L and Cash Flow'!J36*(1+J9)</f>
        <v>67643.062598367862</v>
      </c>
      <c r="K49" s="81">
        <f>'P&amp;L and Cash Flow'!K36*(1+K9)</f>
        <v>69672.354476318884</v>
      </c>
      <c r="L49" s="81">
        <f>'P&amp;L and Cash Flow'!L36*(1+L9)</f>
        <v>71762.525110608462</v>
      </c>
      <c r="M49" s="81">
        <f>'P&amp;L and Cash Flow'!M36*(1+M9)</f>
        <v>73915.400863926712</v>
      </c>
    </row>
    <row r="50" spans="1:13">
      <c r="A50" s="13"/>
      <c r="B50" s="84" t="s">
        <v>12</v>
      </c>
      <c r="C50" s="81">
        <f>'P&amp;L and Cash Flow'!C37*(1+C9)</f>
        <v>45000.000000000044</v>
      </c>
      <c r="D50" s="81">
        <f>'P&amp;L and Cash Flow'!D37*(1+D9)</f>
        <v>115875.00000000012</v>
      </c>
      <c r="E50" s="81">
        <f>'P&amp;L and Cash Flow'!E37*(1+E9)</f>
        <v>155156.62499999988</v>
      </c>
      <c r="F50" s="81">
        <f>'P&amp;L and Cash Flow'!F37*(1+F9)</f>
        <v>196690.85999999993</v>
      </c>
      <c r="G50" s="81">
        <f>'P&amp;L and Cash Flow'!G37*(1+G9)</f>
        <v>253239.48224999994</v>
      </c>
      <c r="H50" s="81">
        <f>'P&amp;L and Cash Flow'!H37*(1+H9)</f>
        <v>313004.000061</v>
      </c>
      <c r="I50" s="81">
        <f>'P&amp;L and Cash Flow'!I37*(1+I9)</f>
        <v>376126.47340663511</v>
      </c>
      <c r="J50" s="81">
        <f>'P&amp;L and Cash Flow'!J37*(1+J9)</f>
        <v>442754.59155295341</v>
      </c>
      <c r="K50" s="81">
        <f>'P&amp;L and Cash Flow'!K37*(1+K9)</f>
        <v>513041.88296198478</v>
      </c>
      <c r="L50" s="81">
        <f>'P&amp;L and Cash Flow'!L37*(1+L9)</f>
        <v>528433.13945084438</v>
      </c>
      <c r="M50" s="81">
        <f>'P&amp;L and Cash Flow'!M37*(1+M9)</f>
        <v>544286.1336343697</v>
      </c>
    </row>
    <row r="51" spans="1:13">
      <c r="A51" s="13"/>
      <c r="B51" s="242" t="s">
        <v>26</v>
      </c>
      <c r="C51" s="70">
        <f>'P&amp;L and Cash Flow'!C38*(1+C9)</f>
        <v>194493.75000000003</v>
      </c>
      <c r="D51" s="70">
        <f>'P&amp;L and Cash Flow'!D38*(1+D9)</f>
        <v>388987.50000000006</v>
      </c>
      <c r="E51" s="70">
        <f>'P&amp;L and Cash Flow'!E38*(1+E9)</f>
        <v>777975.00000000012</v>
      </c>
      <c r="F51" s="70">
        <f>'P&amp;L and Cash Flow'!F38*(1+F9)</f>
        <v>801314.25000000012</v>
      </c>
      <c r="G51" s="70">
        <f>'P&amp;L and Cash Flow'!G38*(1+G9)</f>
        <v>825353.67750000011</v>
      </c>
      <c r="H51" s="70">
        <f>'P&amp;L and Cash Flow'!H38*(1+H9)</f>
        <v>850114.28782500012</v>
      </c>
      <c r="I51" s="70">
        <f>'P&amp;L and Cash Flow'!I38*(1+I9)</f>
        <v>875617.7164597502</v>
      </c>
      <c r="J51" s="70">
        <f>'P&amp;L and Cash Flow'!J38*(1+J9)</f>
        <v>901886.24795354274</v>
      </c>
      <c r="K51" s="70">
        <f>'P&amp;L and Cash Flow'!K38*(1+K9)</f>
        <v>928942.83539214905</v>
      </c>
      <c r="L51" s="70">
        <f>'P&amp;L and Cash Flow'!L38*(1+L9)</f>
        <v>956811.12045391358</v>
      </c>
      <c r="M51" s="70">
        <f>'P&amp;L and Cash Flow'!M38*(1+M9)</f>
        <v>985515.45406753104</v>
      </c>
    </row>
    <row r="52" spans="1:13">
      <c r="A52" s="13"/>
      <c r="B52" s="235" t="s">
        <v>129</v>
      </c>
      <c r="C52" s="246">
        <f t="shared" ref="C52:K52" si="22">SUM(C46:C51)</f>
        <v>406693.75000000012</v>
      </c>
      <c r="D52" s="246">
        <f t="shared" si="22"/>
        <v>677078.50000000023</v>
      </c>
      <c r="E52" s="82">
        <f t="shared" si="22"/>
        <v>1110514.105</v>
      </c>
      <c r="F52" s="82">
        <f t="shared" si="22"/>
        <v>1180709.0644</v>
      </c>
      <c r="G52" s="82">
        <f t="shared" si="22"/>
        <v>1266778.2327820002</v>
      </c>
      <c r="H52" s="82">
        <f t="shared" si="22"/>
        <v>1356948.9131089603</v>
      </c>
      <c r="I52" s="82">
        <f t="shared" si="22"/>
        <v>1451389.7338460342</v>
      </c>
      <c r="J52" s="82">
        <f t="shared" si="22"/>
        <v>1550275.7498055345</v>
      </c>
      <c r="K52" s="82">
        <f t="shared" si="22"/>
        <v>1653788.6759621431</v>
      </c>
      <c r="L52" s="82">
        <f t="shared" ref="L52:M52" si="23">SUM(L46:L51)</f>
        <v>1703402.3362410078</v>
      </c>
      <c r="M52" s="82">
        <f t="shared" si="23"/>
        <v>1754504.4063282381</v>
      </c>
    </row>
    <row r="53" spans="1:13">
      <c r="A53" s="13"/>
      <c r="B53" s="235"/>
      <c r="C53" s="284">
        <f t="shared" ref="C53:L53" si="24">C52/C22</f>
        <v>5.3465264486365051E-2</v>
      </c>
      <c r="D53" s="284">
        <f t="shared" si="24"/>
        <v>4.4200296737964107E-2</v>
      </c>
      <c r="E53" s="284">
        <f t="shared" si="24"/>
        <v>7.1225603331275283E-2</v>
      </c>
      <c r="F53" s="284">
        <f t="shared" si="24"/>
        <v>7.3981019410214052E-2</v>
      </c>
      <c r="G53" s="284">
        <f t="shared" si="24"/>
        <v>7.6960516400617365E-2</v>
      </c>
      <c r="H53" s="284">
        <f t="shared" si="24"/>
        <v>7.9751960620779258E-2</v>
      </c>
      <c r="I53" s="284">
        <f t="shared" si="24"/>
        <v>8.2730127947094598E-2</v>
      </c>
      <c r="J53" s="284">
        <f t="shared" si="24"/>
        <v>8.5767589764368185E-2</v>
      </c>
      <c r="K53" s="284">
        <f t="shared" si="24"/>
        <v>8.7961761108147324E-2</v>
      </c>
      <c r="L53" s="284">
        <f t="shared" si="24"/>
        <v>8.9730477080630658E-2</v>
      </c>
      <c r="M53" s="284">
        <f t="shared" ref="M53" si="25">M52/M22</f>
        <v>9.1529760907464133E-2</v>
      </c>
    </row>
    <row r="54" spans="1:13" ht="3" customHeight="1">
      <c r="A54" s="13"/>
      <c r="B54" s="31"/>
      <c r="C54" s="244"/>
      <c r="D54" s="244"/>
      <c r="E54" s="244"/>
      <c r="F54" s="244"/>
      <c r="G54" s="244"/>
      <c r="H54" s="244"/>
      <c r="I54" s="244"/>
      <c r="J54" s="244"/>
      <c r="K54" s="244"/>
      <c r="L54" s="244"/>
      <c r="M54" s="244"/>
    </row>
    <row r="55" spans="1:13">
      <c r="A55" s="13"/>
      <c r="B55" s="235" t="s">
        <v>2</v>
      </c>
      <c r="C55" s="82">
        <f t="shared" ref="C55:L55" si="26">C41-C52</f>
        <v>2205652.8989058444</v>
      </c>
      <c r="D55" s="82">
        <f t="shared" si="26"/>
        <v>6251379.7259967532</v>
      </c>
      <c r="E55" s="82">
        <f t="shared" si="26"/>
        <v>5649292.7038318459</v>
      </c>
      <c r="F55" s="82">
        <f t="shared" si="26"/>
        <v>5478701.5891093872</v>
      </c>
      <c r="G55" s="82">
        <f t="shared" si="26"/>
        <v>5331016.6708805598</v>
      </c>
      <c r="H55" s="82">
        <f t="shared" si="26"/>
        <v>5207160.6874184459</v>
      </c>
      <c r="I55" s="82">
        <f t="shared" si="26"/>
        <v>5022871.4019811312</v>
      </c>
      <c r="J55" s="82">
        <f t="shared" si="26"/>
        <v>4805786.877334727</v>
      </c>
      <c r="K55" s="82">
        <f t="shared" si="26"/>
        <v>4656490.1181746293</v>
      </c>
      <c r="L55" s="82">
        <f t="shared" si="26"/>
        <v>4552077.4747980377</v>
      </c>
      <c r="M55" s="82">
        <f t="shared" ref="M55" si="27">M41-M52</f>
        <v>4442846.282329727</v>
      </c>
    </row>
    <row r="56" spans="1:13">
      <c r="A56" s="13"/>
      <c r="B56" s="235"/>
      <c r="C56" s="284">
        <f t="shared" ref="C56:L56" si="28">C55/C22</f>
        <v>0.28996220277572182</v>
      </c>
      <c r="D56" s="284">
        <f t="shared" si="28"/>
        <v>0.40809572141302547</v>
      </c>
      <c r="E56" s="284">
        <f t="shared" si="28"/>
        <v>0.36233153582988004</v>
      </c>
      <c r="F56" s="284">
        <f t="shared" si="28"/>
        <v>0.34328518415554238</v>
      </c>
      <c r="G56" s="284">
        <f t="shared" si="28"/>
        <v>0.32387499667581721</v>
      </c>
      <c r="H56" s="284">
        <f t="shared" si="28"/>
        <v>0.30604046333446566</v>
      </c>
      <c r="I56" s="284">
        <f t="shared" si="28"/>
        <v>0.28630682996947726</v>
      </c>
      <c r="J56" s="284">
        <f t="shared" si="28"/>
        <v>0.26587576916037842</v>
      </c>
      <c r="K56" s="284">
        <f t="shared" si="28"/>
        <v>0.24766953440350045</v>
      </c>
      <c r="L56" s="284">
        <f t="shared" si="28"/>
        <v>0.23979072637823889</v>
      </c>
      <c r="M56" s="284">
        <f t="shared" ref="M56" si="29">M55/M22</f>
        <v>0.2317763674479926</v>
      </c>
    </row>
    <row r="57" spans="1:13">
      <c r="A57" s="13"/>
      <c r="B57" s="84" t="s">
        <v>21</v>
      </c>
      <c r="C57" s="70">
        <f>'Investment Plan'!H13</f>
        <v>669000</v>
      </c>
      <c r="D57" s="70">
        <f>'Investment Plan'!I13</f>
        <v>1169000</v>
      </c>
      <c r="E57" s="70">
        <f>'Investment Plan'!J13</f>
        <v>1169000</v>
      </c>
      <c r="F57" s="70">
        <f>'Investment Plan'!K13</f>
        <v>1169000</v>
      </c>
      <c r="G57" s="70">
        <f>'Investment Plan'!L13</f>
        <v>1169000</v>
      </c>
      <c r="H57" s="70">
        <f>'Investment Plan'!M13</f>
        <v>1169000</v>
      </c>
      <c r="I57" s="70">
        <f>'Investment Plan'!N13</f>
        <v>1169000</v>
      </c>
      <c r="J57" s="70">
        <f>'Investment Plan'!O13</f>
        <v>1169000</v>
      </c>
      <c r="K57" s="70">
        <f>'Investment Plan'!P13</f>
        <v>1169000</v>
      </c>
      <c r="L57" s="70">
        <f>'Investment Plan'!Q13</f>
        <v>1169000</v>
      </c>
      <c r="M57" s="70">
        <f>'Investment Plan'!R13</f>
        <v>0</v>
      </c>
    </row>
    <row r="58" spans="1:13">
      <c r="A58" s="13"/>
      <c r="B58" s="235" t="s">
        <v>326</v>
      </c>
      <c r="C58" s="82">
        <f>C55-C57</f>
        <v>1536652.8989058444</v>
      </c>
      <c r="D58" s="82">
        <f t="shared" ref="D58:M58" si="30">D55-D57</f>
        <v>5082379.7259967532</v>
      </c>
      <c r="E58" s="82">
        <f t="shared" si="30"/>
        <v>4480292.7038318459</v>
      </c>
      <c r="F58" s="82">
        <f t="shared" si="30"/>
        <v>4309701.5891093872</v>
      </c>
      <c r="G58" s="82">
        <f t="shared" si="30"/>
        <v>4162016.6708805598</v>
      </c>
      <c r="H58" s="82">
        <f t="shared" si="30"/>
        <v>4038160.6874184459</v>
      </c>
      <c r="I58" s="82">
        <f t="shared" si="30"/>
        <v>3853871.4019811312</v>
      </c>
      <c r="J58" s="82">
        <f t="shared" si="30"/>
        <v>3636786.877334727</v>
      </c>
      <c r="K58" s="82">
        <f t="shared" si="30"/>
        <v>3487490.1181746293</v>
      </c>
      <c r="L58" s="82">
        <f t="shared" si="30"/>
        <v>3383077.4747980377</v>
      </c>
      <c r="M58" s="82">
        <f t="shared" si="30"/>
        <v>4442846.282329727</v>
      </c>
    </row>
    <row r="59" spans="1:13">
      <c r="A59" s="13"/>
      <c r="B59" s="84" t="s">
        <v>130</v>
      </c>
      <c r="C59" s="70">
        <f>'P&amp;L and Cash Flow'!C47</f>
        <v>448767.1232876713</v>
      </c>
      <c r="D59" s="70">
        <f>'P&amp;L and Cash Flow'!D47</f>
        <v>590397.95428121206</v>
      </c>
      <c r="E59" s="70">
        <f>'P&amp;L and Cash Flow'!E47</f>
        <v>544842.08945102035</v>
      </c>
      <c r="F59" s="70">
        <f>'P&amp;L and Cash Flow'!F47</f>
        <v>496276.83748561516</v>
      </c>
      <c r="G59" s="70">
        <f>'P&amp;L and Cash Flow'!G47</f>
        <v>444716.19319732091</v>
      </c>
      <c r="H59" s="70">
        <f>'P&amp;L and Cash Flow'!H47</f>
        <v>391121.86119538872</v>
      </c>
      <c r="I59" s="70">
        <f>'P&amp;L and Cash Flow'!I47</f>
        <v>331929.04790712823</v>
      </c>
      <c r="J59" s="70">
        <f>'P&amp;L and Cash Flow'!J47</f>
        <v>270231.81238817662</v>
      </c>
      <c r="K59" s="70">
        <f>'P&amp;L and Cash Flow'!K47</f>
        <v>204729.23419853146</v>
      </c>
      <c r="L59" s="70">
        <f>'P&amp;L and Cash Flow'!L47</f>
        <v>187591.37964574562</v>
      </c>
      <c r="M59" s="70">
        <f>'P&amp;L and Cash Flow'!M47</f>
        <v>117427.05821200537</v>
      </c>
    </row>
    <row r="60" spans="1:13">
      <c r="A60" s="13"/>
      <c r="B60" s="235" t="s">
        <v>327</v>
      </c>
      <c r="C60" s="81">
        <f t="shared" ref="C60:M60" si="31">C58-C59</f>
        <v>1087885.7756181732</v>
      </c>
      <c r="D60" s="81">
        <f t="shared" si="31"/>
        <v>4491981.7717155414</v>
      </c>
      <c r="E60" s="81">
        <f t="shared" si="31"/>
        <v>3935450.6143808253</v>
      </c>
      <c r="F60" s="81">
        <f t="shared" si="31"/>
        <v>3813424.7516237721</v>
      </c>
      <c r="G60" s="81">
        <f t="shared" si="31"/>
        <v>3717300.4776832387</v>
      </c>
      <c r="H60" s="81">
        <f t="shared" si="31"/>
        <v>3647038.8262230572</v>
      </c>
      <c r="I60" s="81">
        <f t="shared" si="31"/>
        <v>3521942.3540740032</v>
      </c>
      <c r="J60" s="81">
        <f t="shared" si="31"/>
        <v>3366555.0649465504</v>
      </c>
      <c r="K60" s="81">
        <f t="shared" si="31"/>
        <v>3282760.8839760977</v>
      </c>
      <c r="L60" s="81">
        <f t="shared" si="31"/>
        <v>3195486.0951522919</v>
      </c>
      <c r="M60" s="81">
        <f t="shared" si="31"/>
        <v>4325419.2241177214</v>
      </c>
    </row>
    <row r="61" spans="1:13">
      <c r="A61" s="13"/>
      <c r="B61" s="84" t="s">
        <v>251</v>
      </c>
      <c r="C61" s="70">
        <f>'P&amp;L and Cash Flow'!C49</f>
        <v>438320.33854376455</v>
      </c>
      <c r="D61" s="70">
        <f>'P&amp;L and Cash Flow'!D49</f>
        <v>1344931.8619814201</v>
      </c>
      <c r="E61" s="70">
        <f>'P&amp;L and Cash Flow'!E49</f>
        <v>1158124.1494741458</v>
      </c>
      <c r="F61" s="70">
        <f>'P&amp;L and Cash Flow'!F49</f>
        <v>1154387.9731626713</v>
      </c>
      <c r="G61" s="70">
        <f>'P&amp;L and Cash Flow'!G49</f>
        <v>1161399.9347496757</v>
      </c>
      <c r="H61" s="70">
        <f>'P&amp;L and Cash Flow'!H49</f>
        <v>1175498.1679147675</v>
      </c>
      <c r="I61" s="70">
        <f>'P&amp;L and Cash Flow'!I49</f>
        <v>1178898.6860201403</v>
      </c>
      <c r="J61" s="70">
        <f>'P&amp;L and Cash Flow'!J49</f>
        <v>1177141.4776335256</v>
      </c>
      <c r="K61" s="70">
        <f>'P&amp;L and Cash Flow'!K49</f>
        <v>1197236.1018395971</v>
      </c>
      <c r="L61" s="70">
        <f>'P&amp;L and Cash Flow'!L49</f>
        <v>1189890.1608243471</v>
      </c>
      <c r="M61" s="70">
        <f>'P&amp;L and Cash Flow'!M49</f>
        <v>1192404.0119274294</v>
      </c>
    </row>
    <row r="62" spans="1:13">
      <c r="A62" s="13"/>
      <c r="B62" s="235" t="s">
        <v>328</v>
      </c>
      <c r="C62" s="82">
        <f t="shared" ref="C62:M62" si="32">C60-C61</f>
        <v>649565.43707440863</v>
      </c>
      <c r="D62" s="82">
        <f t="shared" si="32"/>
        <v>3147049.9097341215</v>
      </c>
      <c r="E62" s="82">
        <f t="shared" si="32"/>
        <v>2777326.4649066795</v>
      </c>
      <c r="F62" s="82">
        <f t="shared" si="32"/>
        <v>2659036.7784611005</v>
      </c>
      <c r="G62" s="82">
        <f t="shared" si="32"/>
        <v>2555900.5429335628</v>
      </c>
      <c r="H62" s="82">
        <f t="shared" si="32"/>
        <v>2471540.6583082899</v>
      </c>
      <c r="I62" s="82">
        <f t="shared" si="32"/>
        <v>2343043.6680538626</v>
      </c>
      <c r="J62" s="82">
        <f t="shared" si="32"/>
        <v>2189413.5873130248</v>
      </c>
      <c r="K62" s="82">
        <f t="shared" si="32"/>
        <v>2085524.7821365006</v>
      </c>
      <c r="L62" s="82">
        <f t="shared" si="32"/>
        <v>2005595.9343279449</v>
      </c>
      <c r="M62" s="82">
        <f t="shared" si="32"/>
        <v>3133015.2121902918</v>
      </c>
    </row>
    <row r="63" spans="1:13">
      <c r="A63" s="13"/>
      <c r="B63" s="86" t="s">
        <v>329</v>
      </c>
      <c r="C63" s="70">
        <f>'P&amp;L and Cash Flow'!C51</f>
        <v>0</v>
      </c>
      <c r="D63" s="70">
        <f>'P&amp;L and Cash Flow'!D51</f>
        <v>0</v>
      </c>
      <c r="E63" s="70">
        <f>'P&amp;L and Cash Flow'!E51</f>
        <v>751296.72345943865</v>
      </c>
      <c r="F63" s="70">
        <f>'P&amp;L and Cash Flow'!F51</f>
        <v>799372.19385432755</v>
      </c>
      <c r="G63" s="70">
        <f>'P&amp;L and Cash Flow'!G51</f>
        <v>848675.62039287202</v>
      </c>
      <c r="H63" s="70">
        <f>'P&amp;L and Cash Flow'!H51</f>
        <v>901019.96815325832</v>
      </c>
      <c r="I63" s="70">
        <f>'P&amp;L and Cash Flow'!I51</f>
        <v>955428.91495789797</v>
      </c>
      <c r="J63" s="70">
        <f>'P&amp;L and Cash Flow'!J51</f>
        <v>1015521.4379751043</v>
      </c>
      <c r="K63" s="70">
        <f>'P&amp;L and Cash Flow'!K51</f>
        <v>1144654.6436540477</v>
      </c>
      <c r="L63" s="70">
        <f>'P&amp;L and Cash Flow'!L51</f>
        <v>1214818.9650877879</v>
      </c>
      <c r="M63" s="70">
        <f>'P&amp;L and Cash Flow'!M51</f>
        <v>1290181.5141564226</v>
      </c>
    </row>
    <row r="64" spans="1:13">
      <c r="A64" s="13"/>
      <c r="B64" s="235" t="s">
        <v>145</v>
      </c>
      <c r="C64" s="81">
        <f>C62-C63</f>
        <v>649565.43707440863</v>
      </c>
      <c r="D64" s="81">
        <f t="shared" ref="D64:M64" si="33">D62-D63</f>
        <v>3147049.9097341215</v>
      </c>
      <c r="E64" s="81">
        <f t="shared" si="33"/>
        <v>2026029.7414472408</v>
      </c>
      <c r="F64" s="81">
        <f t="shared" si="33"/>
        <v>1859664.584606773</v>
      </c>
      <c r="G64" s="81">
        <f t="shared" si="33"/>
        <v>1707224.9225406907</v>
      </c>
      <c r="H64" s="81">
        <f t="shared" si="33"/>
        <v>1570520.6901550316</v>
      </c>
      <c r="I64" s="81">
        <f t="shared" si="33"/>
        <v>1387614.7530959647</v>
      </c>
      <c r="J64" s="81">
        <f t="shared" si="33"/>
        <v>1173892.1493379204</v>
      </c>
      <c r="K64" s="81">
        <f t="shared" si="33"/>
        <v>940870.13848245284</v>
      </c>
      <c r="L64" s="81">
        <f t="shared" si="33"/>
        <v>790776.96924015693</v>
      </c>
      <c r="M64" s="81">
        <f t="shared" si="33"/>
        <v>1842833.6980338693</v>
      </c>
    </row>
    <row r="65" spans="1:13">
      <c r="A65" s="13"/>
      <c r="B65" s="235"/>
      <c r="C65" s="283">
        <f t="shared" ref="C65:K65" si="34">C62/C22</f>
        <v>8.5393955265810104E-2</v>
      </c>
      <c r="D65" s="283">
        <f t="shared" si="34"/>
        <v>0.20544226387255141</v>
      </c>
      <c r="E65" s="283">
        <f t="shared" si="34"/>
        <v>0.17813078845216127</v>
      </c>
      <c r="F65" s="283">
        <f t="shared" si="34"/>
        <v>0.16661026619607591</v>
      </c>
      <c r="G65" s="283">
        <f t="shared" si="34"/>
        <v>0.15527850144756628</v>
      </c>
      <c r="H65" s="283">
        <f t="shared" si="34"/>
        <v>0.14525986302789429</v>
      </c>
      <c r="I65" s="283">
        <f t="shared" si="34"/>
        <v>0.13355496316628129</v>
      </c>
      <c r="J65" s="283">
        <f t="shared" si="34"/>
        <v>0.12112730680638738</v>
      </c>
      <c r="K65" s="283">
        <f t="shared" si="34"/>
        <v>0.11092495391812149</v>
      </c>
      <c r="L65" s="283">
        <f t="shared" ref="L65:M65" si="35">L62/L22</f>
        <v>0.1056491917319746</v>
      </c>
      <c r="M65" s="283">
        <f t="shared" si="35"/>
        <v>0.16344452157367606</v>
      </c>
    </row>
    <row r="66" spans="1:13" ht="3" customHeight="1">
      <c r="A66" s="13"/>
      <c r="B66" s="31"/>
      <c r="C66" s="81"/>
      <c r="D66" s="81"/>
      <c r="E66" s="81"/>
      <c r="F66" s="81"/>
      <c r="G66" s="81"/>
      <c r="H66" s="81"/>
      <c r="I66" s="81"/>
      <c r="J66" s="81"/>
      <c r="K66" s="81"/>
      <c r="L66" s="81"/>
      <c r="M66" s="81"/>
    </row>
    <row r="67" spans="1:13">
      <c r="A67" s="13"/>
      <c r="B67" s="31"/>
      <c r="C67" s="81"/>
      <c r="D67" s="81"/>
      <c r="E67" s="81"/>
      <c r="F67" s="81"/>
      <c r="G67" s="81"/>
      <c r="H67" s="81"/>
      <c r="I67" s="81"/>
      <c r="J67" s="81"/>
      <c r="K67" s="81"/>
      <c r="L67" s="81"/>
      <c r="M67" s="81"/>
    </row>
    <row r="68" spans="1:13">
      <c r="A68" s="13"/>
      <c r="B68" s="211" t="s">
        <v>144</v>
      </c>
      <c r="C68" s="232" t="s">
        <v>4</v>
      </c>
      <c r="D68" s="232" t="s">
        <v>5</v>
      </c>
      <c r="E68" s="232" t="s">
        <v>6</v>
      </c>
      <c r="F68" s="232" t="s">
        <v>7</v>
      </c>
      <c r="G68" s="232" t="s">
        <v>8</v>
      </c>
      <c r="H68" s="232" t="s">
        <v>9</v>
      </c>
      <c r="I68" s="232" t="s">
        <v>10</v>
      </c>
      <c r="J68" s="232" t="s">
        <v>11</v>
      </c>
      <c r="K68" s="232" t="s">
        <v>90</v>
      </c>
      <c r="L68" s="232" t="s">
        <v>330</v>
      </c>
      <c r="M68" s="232" t="s">
        <v>331</v>
      </c>
    </row>
    <row r="69" spans="1:13">
      <c r="A69" s="241"/>
      <c r="B69" s="84" t="s">
        <v>145</v>
      </c>
      <c r="C69" s="233">
        <f t="shared" ref="C69:M69" si="36">C62</f>
        <v>649565.43707440863</v>
      </c>
      <c r="D69" s="233">
        <f t="shared" si="36"/>
        <v>3147049.9097341215</v>
      </c>
      <c r="E69" s="233">
        <f t="shared" si="36"/>
        <v>2777326.4649066795</v>
      </c>
      <c r="F69" s="233">
        <f t="shared" si="36"/>
        <v>2659036.7784611005</v>
      </c>
      <c r="G69" s="233">
        <f t="shared" si="36"/>
        <v>2555900.5429335628</v>
      </c>
      <c r="H69" s="233">
        <f t="shared" si="36"/>
        <v>2471540.6583082899</v>
      </c>
      <c r="I69" s="233">
        <f t="shared" si="36"/>
        <v>2343043.6680538626</v>
      </c>
      <c r="J69" s="233">
        <f t="shared" si="36"/>
        <v>2189413.5873130248</v>
      </c>
      <c r="K69" s="233">
        <f t="shared" si="36"/>
        <v>2085524.7821365006</v>
      </c>
      <c r="L69" s="233">
        <f t="shared" si="36"/>
        <v>2005595.9343279449</v>
      </c>
      <c r="M69" s="233">
        <f t="shared" si="36"/>
        <v>3133015.2121902918</v>
      </c>
    </row>
    <row r="70" spans="1:13">
      <c r="A70" s="10"/>
      <c r="B70" s="84" t="s">
        <v>148</v>
      </c>
      <c r="C70" s="233">
        <f t="shared" ref="C70:M70" si="37">C57+C63</f>
        <v>669000</v>
      </c>
      <c r="D70" s="233">
        <f t="shared" si="37"/>
        <v>1169000</v>
      </c>
      <c r="E70" s="233">
        <f t="shared" si="37"/>
        <v>1920296.7234594387</v>
      </c>
      <c r="F70" s="233">
        <f t="shared" si="37"/>
        <v>1968372.1938543275</v>
      </c>
      <c r="G70" s="233">
        <f t="shared" si="37"/>
        <v>2017675.620392872</v>
      </c>
      <c r="H70" s="233">
        <f t="shared" si="37"/>
        <v>2070019.9681532583</v>
      </c>
      <c r="I70" s="233">
        <f t="shared" si="37"/>
        <v>2124428.9149578977</v>
      </c>
      <c r="J70" s="233">
        <f t="shared" si="37"/>
        <v>2184521.4379751044</v>
      </c>
      <c r="K70" s="233">
        <f t="shared" si="37"/>
        <v>2313654.6436540475</v>
      </c>
      <c r="L70" s="233">
        <f t="shared" si="37"/>
        <v>2383818.9650877882</v>
      </c>
      <c r="M70" s="233">
        <f t="shared" si="37"/>
        <v>1290181.5141564226</v>
      </c>
    </row>
    <row r="71" spans="1:13">
      <c r="A71" s="10"/>
      <c r="B71" s="84" t="s">
        <v>146</v>
      </c>
      <c r="C71" s="234">
        <f t="shared" ref="C71:M71" si="38">C59</f>
        <v>448767.1232876713</v>
      </c>
      <c r="D71" s="234">
        <f t="shared" si="38"/>
        <v>590397.95428121206</v>
      </c>
      <c r="E71" s="234">
        <f t="shared" si="38"/>
        <v>544842.08945102035</v>
      </c>
      <c r="F71" s="234">
        <f t="shared" si="38"/>
        <v>496276.83748561516</v>
      </c>
      <c r="G71" s="234">
        <f t="shared" si="38"/>
        <v>444716.19319732091</v>
      </c>
      <c r="H71" s="234">
        <f t="shared" si="38"/>
        <v>391121.86119538872</v>
      </c>
      <c r="I71" s="234">
        <f t="shared" si="38"/>
        <v>331929.04790712823</v>
      </c>
      <c r="J71" s="234">
        <f t="shared" si="38"/>
        <v>270231.81238817662</v>
      </c>
      <c r="K71" s="234">
        <f t="shared" si="38"/>
        <v>204729.23419853146</v>
      </c>
      <c r="L71" s="234">
        <f t="shared" si="38"/>
        <v>187591.37964574562</v>
      </c>
      <c r="M71" s="234">
        <f t="shared" si="38"/>
        <v>117427.05821200537</v>
      </c>
    </row>
    <row r="72" spans="1:13">
      <c r="A72" s="13"/>
      <c r="B72" s="235" t="s">
        <v>147</v>
      </c>
      <c r="C72" s="233">
        <f t="shared" ref="C72:M72" si="39">SUM(C69:C71)</f>
        <v>1767332.5603620799</v>
      </c>
      <c r="D72" s="233">
        <f t="shared" si="39"/>
        <v>4906447.8640153334</v>
      </c>
      <c r="E72" s="233">
        <f t="shared" si="39"/>
        <v>5242465.2778171385</v>
      </c>
      <c r="F72" s="233">
        <f t="shared" si="39"/>
        <v>5123685.809801043</v>
      </c>
      <c r="G72" s="233">
        <f t="shared" si="39"/>
        <v>5018292.3565237559</v>
      </c>
      <c r="H72" s="233">
        <f t="shared" si="39"/>
        <v>4932682.4876569379</v>
      </c>
      <c r="I72" s="233">
        <f t="shared" si="39"/>
        <v>4799401.6309188884</v>
      </c>
      <c r="J72" s="233">
        <f t="shared" si="39"/>
        <v>4644166.8376763063</v>
      </c>
      <c r="K72" s="233">
        <f t="shared" si="39"/>
        <v>4603908.6599890795</v>
      </c>
      <c r="L72" s="233">
        <f t="shared" si="39"/>
        <v>4577006.2790614786</v>
      </c>
      <c r="M72" s="233">
        <f t="shared" si="39"/>
        <v>4540623.78455872</v>
      </c>
    </row>
    <row r="73" spans="1:13">
      <c r="A73" s="13"/>
      <c r="B73" s="72"/>
      <c r="C73" s="236"/>
      <c r="D73" s="236"/>
      <c r="E73" s="236"/>
      <c r="F73" s="236"/>
      <c r="G73" s="236"/>
      <c r="H73" s="236"/>
      <c r="I73" s="236"/>
      <c r="J73" s="236"/>
      <c r="K73" s="236"/>
      <c r="L73" s="236"/>
      <c r="M73" s="236"/>
    </row>
    <row r="74" spans="1:13">
      <c r="A74" s="13"/>
      <c r="B74" s="235" t="s">
        <v>228</v>
      </c>
      <c r="C74" s="233">
        <f t="shared" ref="C74:M74" si="40">C59+C63</f>
        <v>448767.1232876713</v>
      </c>
      <c r="D74" s="237">
        <f t="shared" si="40"/>
        <v>590397.95428121206</v>
      </c>
      <c r="E74" s="237">
        <f t="shared" si="40"/>
        <v>1296138.812910459</v>
      </c>
      <c r="F74" s="237">
        <f t="shared" si="40"/>
        <v>1295649.0313399427</v>
      </c>
      <c r="G74" s="237">
        <f t="shared" si="40"/>
        <v>1293391.8135901929</v>
      </c>
      <c r="H74" s="237">
        <f t="shared" si="40"/>
        <v>1292141.829348647</v>
      </c>
      <c r="I74" s="237">
        <f t="shared" si="40"/>
        <v>1287357.9628650262</v>
      </c>
      <c r="J74" s="237">
        <f t="shared" si="40"/>
        <v>1285753.250363281</v>
      </c>
      <c r="K74" s="237">
        <f t="shared" si="40"/>
        <v>1349383.8778525791</v>
      </c>
      <c r="L74" s="237">
        <f t="shared" si="40"/>
        <v>1402410.3447335334</v>
      </c>
      <c r="M74" s="237">
        <f t="shared" si="40"/>
        <v>1407608.5723684279</v>
      </c>
    </row>
    <row r="75" spans="1:13">
      <c r="A75" s="13"/>
      <c r="B75" s="72"/>
      <c r="C75" s="236"/>
      <c r="D75" s="236"/>
      <c r="E75" s="236"/>
      <c r="F75" s="236"/>
      <c r="G75" s="236"/>
      <c r="H75" s="236"/>
      <c r="I75" s="236"/>
      <c r="J75" s="236"/>
      <c r="K75" s="236"/>
      <c r="L75" s="236"/>
      <c r="M75" s="236"/>
    </row>
    <row r="76" spans="1:13">
      <c r="A76" s="13"/>
      <c r="B76" s="235" t="s">
        <v>229</v>
      </c>
      <c r="C76" s="238">
        <f t="shared" ref="C76:M76" si="41">C72/C74</f>
        <v>3.9381952657640968</v>
      </c>
      <c r="D76" s="238">
        <f t="shared" si="41"/>
        <v>8.3104079687890415</v>
      </c>
      <c r="E76" s="238">
        <f t="shared" si="41"/>
        <v>4.0446788766746877</v>
      </c>
      <c r="F76" s="238">
        <f t="shared" si="41"/>
        <v>3.9545321965024716</v>
      </c>
      <c r="G76" s="238">
        <f t="shared" si="41"/>
        <v>3.8799475176775675</v>
      </c>
      <c r="H76" s="238">
        <f t="shared" si="41"/>
        <v>3.8174466421719688</v>
      </c>
      <c r="I76" s="238">
        <f t="shared" si="41"/>
        <v>3.7281018717107859</v>
      </c>
      <c r="J76" s="238">
        <f t="shared" si="41"/>
        <v>3.6120202973347553</v>
      </c>
      <c r="K76" s="238">
        <f t="shared" si="41"/>
        <v>3.4118598388145696</v>
      </c>
      <c r="L76" s="238">
        <f t="shared" si="41"/>
        <v>3.2636712188051762</v>
      </c>
      <c r="M76" s="238">
        <f t="shared" si="41"/>
        <v>3.2257716198180808</v>
      </c>
    </row>
    <row r="77" spans="1:13">
      <c r="A77" s="13"/>
      <c r="B77" s="72"/>
      <c r="C77" s="236"/>
      <c r="D77" s="236"/>
      <c r="E77" s="236"/>
      <c r="F77" s="236"/>
      <c r="G77" s="236"/>
      <c r="H77" s="236"/>
      <c r="I77" s="236"/>
      <c r="J77" s="236"/>
      <c r="K77" s="236"/>
      <c r="L77" s="236"/>
      <c r="M77" s="236"/>
    </row>
    <row r="78" spans="1:13">
      <c r="B78" s="84" t="s">
        <v>147</v>
      </c>
      <c r="C78" s="81">
        <f t="shared" ref="C78:M78" si="42">C72</f>
        <v>1767332.5603620799</v>
      </c>
      <c r="D78" s="81">
        <f t="shared" si="42"/>
        <v>4906447.8640153334</v>
      </c>
      <c r="E78" s="81">
        <f t="shared" si="42"/>
        <v>5242465.2778171385</v>
      </c>
      <c r="F78" s="81">
        <f t="shared" si="42"/>
        <v>5123685.809801043</v>
      </c>
      <c r="G78" s="81">
        <f t="shared" si="42"/>
        <v>5018292.3565237559</v>
      </c>
      <c r="H78" s="81">
        <f t="shared" si="42"/>
        <v>4932682.4876569379</v>
      </c>
      <c r="I78" s="81">
        <f t="shared" si="42"/>
        <v>4799401.6309188884</v>
      </c>
      <c r="J78" s="81">
        <f t="shared" si="42"/>
        <v>4644166.8376763063</v>
      </c>
      <c r="K78" s="81">
        <f t="shared" si="42"/>
        <v>4603908.6599890795</v>
      </c>
      <c r="L78" s="81">
        <f t="shared" si="42"/>
        <v>4577006.2790614786</v>
      </c>
      <c r="M78" s="81">
        <f t="shared" si="42"/>
        <v>4540623.78455872</v>
      </c>
    </row>
    <row r="79" spans="1:13">
      <c r="B79" s="84" t="s">
        <v>149</v>
      </c>
      <c r="C79" s="68">
        <f t="shared" ref="C79:M79" si="43">C74</f>
        <v>448767.1232876713</v>
      </c>
      <c r="D79" s="68">
        <f t="shared" si="43"/>
        <v>590397.95428121206</v>
      </c>
      <c r="E79" s="68">
        <f t="shared" si="43"/>
        <v>1296138.812910459</v>
      </c>
      <c r="F79" s="68">
        <f t="shared" si="43"/>
        <v>1295649.0313399427</v>
      </c>
      <c r="G79" s="68">
        <f t="shared" si="43"/>
        <v>1293391.8135901929</v>
      </c>
      <c r="H79" s="68">
        <f t="shared" si="43"/>
        <v>1292141.829348647</v>
      </c>
      <c r="I79" s="68">
        <f t="shared" si="43"/>
        <v>1287357.9628650262</v>
      </c>
      <c r="J79" s="68">
        <f t="shared" si="43"/>
        <v>1285753.250363281</v>
      </c>
      <c r="K79" s="68">
        <f t="shared" si="43"/>
        <v>1349383.8778525791</v>
      </c>
      <c r="L79" s="68">
        <f t="shared" si="43"/>
        <v>1402410.3447335334</v>
      </c>
      <c r="M79" s="68">
        <f t="shared" si="43"/>
        <v>1407608.5723684279</v>
      </c>
    </row>
    <row r="80" spans="1:13">
      <c r="B80" s="84" t="s">
        <v>253</v>
      </c>
      <c r="C80" s="68">
        <v>10000000</v>
      </c>
      <c r="D80" s="68"/>
      <c r="E80" s="68"/>
      <c r="F80" s="68"/>
      <c r="G80" s="68"/>
      <c r="H80" s="68"/>
      <c r="I80" s="68"/>
      <c r="J80" s="68"/>
      <c r="K80" s="68"/>
      <c r="L80" s="68"/>
      <c r="M80" s="68"/>
    </row>
    <row r="81" spans="2:13">
      <c r="B81" s="379" t="s">
        <v>336</v>
      </c>
      <c r="C81" s="68">
        <f>Offering!C11</f>
        <v>1391400</v>
      </c>
      <c r="D81" s="68"/>
      <c r="E81" s="68"/>
      <c r="F81" s="68"/>
      <c r="G81" s="68"/>
      <c r="H81" s="68"/>
      <c r="I81" s="68"/>
      <c r="J81" s="68"/>
      <c r="K81" s="68"/>
      <c r="L81" s="68"/>
      <c r="M81" s="68"/>
    </row>
    <row r="82" spans="2:13">
      <c r="B82" s="84" t="s">
        <v>263</v>
      </c>
      <c r="C82" s="68">
        <v>75000</v>
      </c>
      <c r="D82" s="68">
        <f>C82*(1.02)</f>
        <v>76500</v>
      </c>
      <c r="E82" s="68">
        <f t="shared" ref="E82:M82" si="44">D82*(1.02)</f>
        <v>78030</v>
      </c>
      <c r="F82" s="68">
        <f t="shared" si="44"/>
        <v>79590.600000000006</v>
      </c>
      <c r="G82" s="68">
        <f t="shared" si="44"/>
        <v>81182.412000000011</v>
      </c>
      <c r="H82" s="68">
        <f t="shared" si="44"/>
        <v>82806.060240000006</v>
      </c>
      <c r="I82" s="68">
        <f t="shared" si="44"/>
        <v>84462.181444800008</v>
      </c>
      <c r="J82" s="68">
        <f t="shared" si="44"/>
        <v>86151.425073696009</v>
      </c>
      <c r="K82" s="68">
        <f t="shared" si="44"/>
        <v>87874.45357516993</v>
      </c>
      <c r="L82" s="68">
        <f t="shared" si="44"/>
        <v>89631.942646673328</v>
      </c>
      <c r="M82" s="68">
        <f t="shared" si="44"/>
        <v>91424.581499606793</v>
      </c>
    </row>
    <row r="83" spans="2:13">
      <c r="B83" s="84" t="s">
        <v>186</v>
      </c>
      <c r="C83" s="70">
        <f>Offering!C12</f>
        <v>24581400</v>
      </c>
      <c r="D83" s="70">
        <v>100000</v>
      </c>
      <c r="E83" s="70">
        <v>100000</v>
      </c>
      <c r="F83" s="70">
        <v>100000</v>
      </c>
      <c r="G83" s="70">
        <v>100000</v>
      </c>
      <c r="H83" s="70">
        <v>100000</v>
      </c>
      <c r="I83" s="70">
        <v>100000</v>
      </c>
      <c r="J83" s="70">
        <v>100000</v>
      </c>
      <c r="K83" s="70">
        <v>100000</v>
      </c>
      <c r="L83" s="70">
        <v>100001</v>
      </c>
      <c r="M83" s="70">
        <v>100002</v>
      </c>
    </row>
    <row r="84" spans="2:13">
      <c r="B84" s="84" t="s">
        <v>279</v>
      </c>
      <c r="C84" s="81">
        <f>C78-C83-C79-C81-C82+C80</f>
        <v>-14729234.562925592</v>
      </c>
      <c r="D84" s="81">
        <f t="shared" ref="D84:M84" si="45">D78-D83-D79-D82+D80</f>
        <v>4139549.9097341215</v>
      </c>
      <c r="E84" s="81">
        <f t="shared" si="45"/>
        <v>3768296.4649066795</v>
      </c>
      <c r="F84" s="81">
        <f t="shared" si="45"/>
        <v>3648446.1784611004</v>
      </c>
      <c r="G84" s="81">
        <f t="shared" si="45"/>
        <v>3543718.1309335628</v>
      </c>
      <c r="H84" s="81">
        <f t="shared" si="45"/>
        <v>3457734.5980682909</v>
      </c>
      <c r="I84" s="81">
        <f t="shared" si="45"/>
        <v>3327581.4866090622</v>
      </c>
      <c r="J84" s="81">
        <f t="shared" si="45"/>
        <v>3172262.1622393294</v>
      </c>
      <c r="K84" s="81">
        <f t="shared" si="45"/>
        <v>3066650.3285613302</v>
      </c>
      <c r="L84" s="81">
        <f t="shared" si="45"/>
        <v>2984962.9916812717</v>
      </c>
      <c r="M84" s="81">
        <f t="shared" si="45"/>
        <v>2941588.630690685</v>
      </c>
    </row>
    <row r="85" spans="2:13">
      <c r="B85" s="31"/>
      <c r="C85" s="31"/>
      <c r="D85" s="31"/>
      <c r="E85" s="31"/>
      <c r="F85" s="31"/>
      <c r="G85" s="31"/>
      <c r="H85" s="31"/>
      <c r="I85" s="31"/>
      <c r="J85" s="31"/>
      <c r="K85" s="31"/>
      <c r="L85" s="31"/>
      <c r="M85" s="31"/>
    </row>
    <row r="86" spans="2:13">
      <c r="B86" s="235" t="s">
        <v>278</v>
      </c>
      <c r="C86" s="82">
        <f>C84</f>
        <v>-14729234.562925592</v>
      </c>
      <c r="D86" s="82">
        <f t="shared" ref="D86:M86" si="46">D84</f>
        <v>4139549.9097341215</v>
      </c>
      <c r="E86" s="82">
        <f t="shared" si="46"/>
        <v>3768296.4649066795</v>
      </c>
      <c r="F86" s="82">
        <f t="shared" si="46"/>
        <v>3648446.1784611004</v>
      </c>
      <c r="G86" s="82">
        <f t="shared" si="46"/>
        <v>3543718.1309335628</v>
      </c>
      <c r="H86" s="82">
        <f t="shared" si="46"/>
        <v>3457734.5980682909</v>
      </c>
      <c r="I86" s="82">
        <f t="shared" si="46"/>
        <v>3327581.4866090622</v>
      </c>
      <c r="J86" s="82">
        <f t="shared" si="46"/>
        <v>3172262.1622393294</v>
      </c>
      <c r="K86" s="82">
        <f t="shared" si="46"/>
        <v>3066650.3285613302</v>
      </c>
      <c r="L86" s="82">
        <f t="shared" si="46"/>
        <v>2984962.9916812717</v>
      </c>
      <c r="M86" s="82">
        <f t="shared" si="46"/>
        <v>2941588.630690685</v>
      </c>
    </row>
    <row r="87" spans="2:13">
      <c r="B87" s="84" t="s">
        <v>337</v>
      </c>
      <c r="C87" s="5">
        <f>IRR(C86:M86)</f>
        <v>0.20668425570298909</v>
      </c>
    </row>
  </sheetData>
  <phoneticPr fontId="26" type="noConversion"/>
  <printOptions horizontalCentered="1"/>
  <pageMargins left="0.2" right="0.2" top="0.59" bottom="0.2" header="0.5" footer="0.5"/>
  <pageSetup scale="80" orientation="landscape" horizontalDpi="4294967292" verticalDpi="4294967292" r:id="rId1"/>
  <rowBreaks count="1" manualBreakCount="1">
    <brk id="43"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zoomScale="125" zoomScaleNormal="125" zoomScalePageLayoutView="125" workbookViewId="0">
      <selection activeCell="C26" sqref="C26"/>
    </sheetView>
  </sheetViews>
  <sheetFormatPr defaultColWidth="8.85546875" defaultRowHeight="15"/>
  <cols>
    <col min="1" max="1" width="2.85546875" customWidth="1"/>
    <col min="2" max="2" width="35.28515625" bestFit="1" customWidth="1"/>
    <col min="3" max="3" width="13.140625" bestFit="1" customWidth="1"/>
    <col min="4" max="13" width="12.42578125" bestFit="1" customWidth="1"/>
  </cols>
  <sheetData>
    <row r="1" spans="1:13" ht="15.75">
      <c r="A1" s="213" t="s">
        <v>197</v>
      </c>
      <c r="B1" s="13"/>
      <c r="C1" s="13"/>
      <c r="D1" s="13"/>
      <c r="E1" s="13"/>
      <c r="F1" s="13"/>
      <c r="G1" s="13"/>
      <c r="H1" s="13"/>
      <c r="I1" s="13"/>
      <c r="J1" s="13"/>
      <c r="K1" s="13"/>
    </row>
    <row r="2" spans="1:13">
      <c r="A2" s="13"/>
      <c r="B2" s="13"/>
      <c r="C2" s="13"/>
      <c r="D2" s="13"/>
      <c r="E2" s="13"/>
      <c r="F2" s="13"/>
      <c r="G2" s="13"/>
      <c r="H2" s="13"/>
      <c r="I2" s="13"/>
      <c r="J2" s="13"/>
      <c r="K2" s="13"/>
    </row>
    <row r="3" spans="1:13">
      <c r="A3" s="13"/>
      <c r="B3" s="265" t="s">
        <v>20</v>
      </c>
      <c r="C3" s="264" t="s">
        <v>4</v>
      </c>
      <c r="D3" s="264" t="s">
        <v>5</v>
      </c>
      <c r="E3" s="264" t="s">
        <v>6</v>
      </c>
      <c r="F3" s="264" t="s">
        <v>7</v>
      </c>
      <c r="G3" s="264" t="s">
        <v>8</v>
      </c>
      <c r="H3" s="264" t="s">
        <v>9</v>
      </c>
      <c r="I3" s="264" t="s">
        <v>10</v>
      </c>
      <c r="J3" s="264" t="s">
        <v>11</v>
      </c>
      <c r="K3" s="264" t="s">
        <v>90</v>
      </c>
      <c r="L3" s="264" t="s">
        <v>330</v>
      </c>
      <c r="M3" s="264" t="s">
        <v>331</v>
      </c>
    </row>
    <row r="4" spans="1:13">
      <c r="A4" s="13"/>
      <c r="B4" s="32" t="s">
        <v>28</v>
      </c>
      <c r="C4" s="79">
        <f>'P&amp;L and Cash Flow'!C5</f>
        <v>7376892.8571428573</v>
      </c>
      <c r="D4" s="79">
        <f>'P&amp;L and Cash Flow'!D5</f>
        <v>14525033.482142856</v>
      </c>
      <c r="E4" s="79">
        <f>'P&amp;L and Cash Flow'!E5</f>
        <v>14311448.102678569</v>
      </c>
      <c r="F4" s="79">
        <f>'P&amp;L and Cash Flow'!F5</f>
        <v>14175392.857142856</v>
      </c>
      <c r="G4" s="79">
        <f>'P&amp;L and Cash Flow'!G5</f>
        <v>14002533.482142858</v>
      </c>
      <c r="H4" s="79">
        <f>'P&amp;L and Cash Flow'!H5</f>
        <v>13853517.857142856</v>
      </c>
      <c r="I4" s="79">
        <f>'P&amp;L and Cash Flow'!I5</f>
        <v>13635991.071428571</v>
      </c>
      <c r="J4" s="79">
        <f>'P&amp;L and Cash Flow'!J5</f>
        <v>13379062.5</v>
      </c>
      <c r="K4" s="79">
        <f>'P&amp;L and Cash Flow'!K5</f>
        <v>13152639.843749996</v>
      </c>
      <c r="L4" s="79">
        <f>'P&amp;L and Cash Flow'!L5</f>
        <v>13246148.191406246</v>
      </c>
      <c r="M4" s="79">
        <f>'P&amp;L and Cash Flow'!M5</f>
        <v>13341059.164277339</v>
      </c>
    </row>
    <row r="5" spans="1:13">
      <c r="A5" s="13"/>
      <c r="B5" s="247" t="s">
        <v>25</v>
      </c>
      <c r="C5" s="326">
        <f>'P&amp;L and Cash Flow'!C19*'Key Assumptions'!C13+('Key Assumptions'!C13)*'P&amp;L and Cash Flow'!C13</f>
        <v>3695563.3704000004</v>
      </c>
      <c r="D5" s="326">
        <f>'P&amp;L and Cash Flow'!D19+('Key Assumptions'!D14/'Key Assumptions'!D9)*'P&amp;L and Cash Flow'!D13</f>
        <v>5870517.9224999994</v>
      </c>
      <c r="E5" s="326">
        <f>'P&amp;L and Cash Flow'!E19+('Key Assumptions'!E14/'Key Assumptions'!E9)*'P&amp;L and Cash Flow'!E13</f>
        <v>5958097.4601750001</v>
      </c>
      <c r="F5" s="326">
        <f>'P&amp;L and Cash Flow'!F19+('Key Assumptions'!F14/'Key Assumptions'!F9)*'P&amp;L and Cash Flow'!F13</f>
        <v>6047079.8739802502</v>
      </c>
      <c r="G5" s="326">
        <f>'P&amp;L and Cash Flow'!G19+('Key Assumptions'!G14/'Key Assumptions'!G9)*'P&amp;L and Cash Flow'!G13</f>
        <v>6118551.1213996578</v>
      </c>
      <c r="H5" s="326">
        <f>'P&amp;L and Cash Flow'!H19+('Key Assumptions'!H14/'Key Assumptions'!H9)*'P&amp;L and Cash Flow'!H13</f>
        <v>6190725.3857776476</v>
      </c>
      <c r="I5" s="326">
        <f>'P&amp;L and Cash Flow'!I19+('Key Assumptions'!I14/'Key Assumptions'!I9)*'P&amp;L and Cash Flow'!I13</f>
        <v>6263610.0892639365</v>
      </c>
      <c r="J5" s="326">
        <f>'P&amp;L and Cash Flow'!J19+('Key Assumptions'!J14/'Key Assumptions'!J9)*'P&amp;L and Cash Flow'!J13</f>
        <v>6337212.9063865589</v>
      </c>
      <c r="K5" s="326">
        <f>'P&amp;L and Cash Flow'!K19+('Key Assumptions'!K14/'Key Assumptions'!K9)*'P&amp;L and Cash Flow'!K13</f>
        <v>6411541.7782791089</v>
      </c>
      <c r="L5" s="326">
        <f>'P&amp;L and Cash Flow'!L19+('Key Assumptions'!L14/'Key Assumptions'!L9)*'P&amp;L and Cash Flow'!L13</f>
        <v>6570261.407392717</v>
      </c>
      <c r="M5" s="326">
        <f>'P&amp;L and Cash Flow'!M19+('Key Assumptions'!M14/'Key Assumptions'!M9)*'P&amp;L and Cash Flow'!M13</f>
        <v>6733070.0928950384</v>
      </c>
    </row>
    <row r="6" spans="1:13">
      <c r="A6" s="13"/>
      <c r="B6" s="32" t="s">
        <v>1</v>
      </c>
      <c r="C6" s="79">
        <f t="shared" ref="C6:K6" si="0">C4-C5</f>
        <v>3681329.4867428569</v>
      </c>
      <c r="D6" s="79">
        <f t="shared" si="0"/>
        <v>8654515.5596428569</v>
      </c>
      <c r="E6" s="79">
        <f t="shared" si="0"/>
        <v>8353350.6425035689</v>
      </c>
      <c r="F6" s="79">
        <f t="shared" si="0"/>
        <v>8128312.9831626061</v>
      </c>
      <c r="G6" s="79">
        <f t="shared" si="0"/>
        <v>7883982.3607432004</v>
      </c>
      <c r="H6" s="79">
        <f t="shared" si="0"/>
        <v>7662792.4713652087</v>
      </c>
      <c r="I6" s="79">
        <f t="shared" si="0"/>
        <v>7372380.9821646344</v>
      </c>
      <c r="J6" s="79">
        <f t="shared" si="0"/>
        <v>7041849.5936134411</v>
      </c>
      <c r="K6" s="79">
        <f t="shared" si="0"/>
        <v>6741098.0654708873</v>
      </c>
      <c r="L6" s="79">
        <f t="shared" ref="L6:M6" si="1">L4-L5</f>
        <v>6675886.7840135293</v>
      </c>
      <c r="M6" s="79">
        <f t="shared" si="1"/>
        <v>6607989.0713823009</v>
      </c>
    </row>
    <row r="7" spans="1:13">
      <c r="A7" s="13"/>
      <c r="B7" s="32" t="s">
        <v>29</v>
      </c>
      <c r="C7" s="328">
        <f t="shared" ref="C7:J7" si="2">(C4-C5)/C4</f>
        <v>0.4990352385528169</v>
      </c>
      <c r="D7" s="328">
        <f t="shared" si="2"/>
        <v>0.59583446539264495</v>
      </c>
      <c r="E7" s="328">
        <f t="shared" si="2"/>
        <v>0.58368311735974032</v>
      </c>
      <c r="F7" s="328">
        <f t="shared" si="2"/>
        <v>0.57341006807206907</v>
      </c>
      <c r="G7" s="328">
        <f t="shared" si="2"/>
        <v>0.56303970783554846</v>
      </c>
      <c r="H7" s="328">
        <f t="shared" si="2"/>
        <v>0.55312972130138649</v>
      </c>
      <c r="I7" s="328">
        <f t="shared" si="2"/>
        <v>0.54065604352088126</v>
      </c>
      <c r="J7" s="328">
        <f t="shared" si="2"/>
        <v>0.52633355988982344</v>
      </c>
      <c r="K7" s="328">
        <f>(K4-K6)/K4</f>
        <v>0.4874718576990314</v>
      </c>
      <c r="L7" s="328">
        <f t="shared" ref="L7:M7" si="3">(L4-L6)/L4</f>
        <v>0.4960129776937971</v>
      </c>
      <c r="M7" s="328">
        <f t="shared" si="3"/>
        <v>0.50468782200770312</v>
      </c>
    </row>
    <row r="8" spans="1:13">
      <c r="A8" s="13"/>
      <c r="B8" s="32"/>
      <c r="C8" s="263"/>
      <c r="D8" s="263"/>
      <c r="E8" s="263"/>
      <c r="F8" s="263"/>
      <c r="G8" s="263"/>
      <c r="H8" s="263"/>
      <c r="I8" s="263"/>
      <c r="J8" s="263"/>
      <c r="K8" s="263"/>
      <c r="L8" s="263"/>
      <c r="M8" s="263"/>
    </row>
    <row r="9" spans="1:13">
      <c r="A9" s="13"/>
      <c r="B9" s="32" t="s">
        <v>27</v>
      </c>
      <c r="C9" s="79">
        <f>'P&amp;L and Cash Flow'!C39*(1-'Key Assumptions'!$C$54)</f>
        <v>184860.79545454547</v>
      </c>
      <c r="D9" s="79">
        <f>'P&amp;L and Cash Flow'!D39*(1-'Key Assumptions'!$C$54)</f>
        <v>307762.95454545459</v>
      </c>
      <c r="E9" s="79">
        <f>'P&amp;L and Cash Flow'!E39*(1-'Key Assumptions'!$C$54)</f>
        <v>504779.13863636355</v>
      </c>
      <c r="F9" s="79">
        <f>'P&amp;L and Cash Flow'!F39*(1-'Key Assumptions'!$C$54)</f>
        <v>536685.93836363638</v>
      </c>
      <c r="G9" s="79">
        <f>'P&amp;L and Cash Flow'!G39*(1-'Key Assumptions'!$C$54)</f>
        <v>575808.28762818174</v>
      </c>
      <c r="H9" s="79">
        <f>'P&amp;L and Cash Flow'!H39*(1-'Key Assumptions'!$C$54)</f>
        <v>616794.96050407272</v>
      </c>
      <c r="I9" s="79">
        <f>'P&amp;L and Cash Flow'!I39*(1-'Key Assumptions'!$C$54)</f>
        <v>659722.60629365186</v>
      </c>
      <c r="J9" s="79">
        <f>'P&amp;L and Cash Flow'!J39*(1-'Key Assumptions'!$C$54)</f>
        <v>704670.79536615196</v>
      </c>
      <c r="K9" s="79">
        <f>'P&amp;L and Cash Flow'!K39*(1-'Key Assumptions'!$C$54)</f>
        <v>751722.12543733779</v>
      </c>
      <c r="L9" s="79">
        <f>'P&amp;L and Cash Flow'!L39*(1-'Key Assumptions'!$C$54)</f>
        <v>774273.78920045798</v>
      </c>
      <c r="M9" s="79">
        <f>'P&amp;L and Cash Flow'!M39*(1-'Key Assumptions'!$C$54)</f>
        <v>797502.00287647173</v>
      </c>
    </row>
    <row r="10" spans="1:13">
      <c r="A10" s="13"/>
      <c r="B10" s="32" t="s">
        <v>31</v>
      </c>
      <c r="C10" s="245">
        <f t="shared" ref="C10:K10" si="4">C6-C9</f>
        <v>3496468.6912883115</v>
      </c>
      <c r="D10" s="245">
        <f t="shared" si="4"/>
        <v>8346752.6050974019</v>
      </c>
      <c r="E10" s="245">
        <f t="shared" si="4"/>
        <v>7848571.5038672052</v>
      </c>
      <c r="F10" s="245">
        <f t="shared" si="4"/>
        <v>7591627.0447989702</v>
      </c>
      <c r="G10" s="245">
        <f t="shared" si="4"/>
        <v>7308174.0731150191</v>
      </c>
      <c r="H10" s="245">
        <f t="shared" si="4"/>
        <v>7045997.510861136</v>
      </c>
      <c r="I10" s="245">
        <f t="shared" si="4"/>
        <v>6712658.3758709822</v>
      </c>
      <c r="J10" s="245">
        <f t="shared" si="4"/>
        <v>6337178.7982472889</v>
      </c>
      <c r="K10" s="245">
        <f t="shared" si="4"/>
        <v>5989375.9400335494</v>
      </c>
      <c r="L10" s="245">
        <f t="shared" ref="L10:M10" si="5">L6-L9</f>
        <v>5901612.9948130716</v>
      </c>
      <c r="M10" s="245">
        <f t="shared" si="5"/>
        <v>5810487.0685058292</v>
      </c>
    </row>
    <row r="11" spans="1:13">
      <c r="A11" s="13"/>
      <c r="B11" s="31" t="s">
        <v>289</v>
      </c>
      <c r="C11" s="327">
        <f t="shared" ref="C11:K11" si="6">(C4-C5-C9)/C4</f>
        <v>0.47397579970309178</v>
      </c>
      <c r="D11" s="327">
        <f t="shared" si="6"/>
        <v>0.57464601478261224</v>
      </c>
      <c r="E11" s="327">
        <f t="shared" si="6"/>
        <v>0.54841211368388676</v>
      </c>
      <c r="F11" s="327">
        <f t="shared" si="6"/>
        <v>0.53554967550501542</v>
      </c>
      <c r="G11" s="327">
        <f t="shared" si="6"/>
        <v>0.52191798594411376</v>
      </c>
      <c r="H11" s="327">
        <f t="shared" si="6"/>
        <v>0.50860709774364121</v>
      </c>
      <c r="I11" s="327">
        <f t="shared" si="6"/>
        <v>0.49227506388853426</v>
      </c>
      <c r="J11" s="327">
        <f t="shared" si="6"/>
        <v>0.47366389074326315</v>
      </c>
      <c r="K11" s="327">
        <f t="shared" si="6"/>
        <v>0.45537443518455661</v>
      </c>
      <c r="L11" s="327">
        <f t="shared" ref="L11:M11" si="7">(L4-L5-L9)/L4</f>
        <v>0.4455342722680608</v>
      </c>
      <c r="M11" s="327">
        <f t="shared" si="7"/>
        <v>0.43553416538802769</v>
      </c>
    </row>
    <row r="12" spans="1:13">
      <c r="A12" s="13"/>
      <c r="B12" s="31"/>
      <c r="C12" s="31"/>
      <c r="D12" s="31"/>
      <c r="E12" s="31"/>
      <c r="F12" s="31"/>
      <c r="G12" s="31"/>
      <c r="H12" s="31"/>
      <c r="I12" s="31"/>
      <c r="J12" s="31"/>
      <c r="K12" s="30"/>
      <c r="L12" s="30"/>
      <c r="M12" s="30"/>
    </row>
    <row r="13" spans="1:13">
      <c r="A13" s="13"/>
      <c r="B13" s="32" t="s">
        <v>345</v>
      </c>
      <c r="C13" s="377">
        <f>(C5+C9)/('Key Assumptions'!C14*12)</f>
        <v>1.0778956016262626</v>
      </c>
      <c r="D13" s="377">
        <f>(D5+D9)/('Key Assumptions'!D14*12)</f>
        <v>0.86712714063795848</v>
      </c>
      <c r="E13" s="377">
        <f>(E5+E9)/('Key Assumptions'!E14*12)</f>
        <v>0.92162233138129968</v>
      </c>
      <c r="F13" s="377">
        <f>(F5+F9)/('Key Assumptions'!F14*12)</f>
        <v>0.95416895831070814</v>
      </c>
      <c r="G13" s="377">
        <f>(G5+G9)/('Key Assumptions'!G14*12)</f>
        <v>0.99175694948560578</v>
      </c>
      <c r="H13" s="377">
        <f>(H5+H9)/('Key Assumptions'!H14*12)</f>
        <v>1.0314424767093515</v>
      </c>
      <c r="I13" s="377">
        <f>(I5+I9)/('Key Assumptions'!I14*12)</f>
        <v>1.0733849140399363</v>
      </c>
      <c r="J13" s="377">
        <f>(J5+J9)/('Key Assumptions'!J14*12)</f>
        <v>1.1177593177385257</v>
      </c>
      <c r="K13" s="377">
        <f>(K5+K9)/('Key Assumptions'!K14*12)</f>
        <v>1.1647583583278778</v>
      </c>
      <c r="L13" s="377">
        <f>(L5+L9)/('Key Assumptions'!L14*12)</f>
        <v>1.1942333652997035</v>
      </c>
      <c r="M13" s="377">
        <f>(M5+M9)/('Key Assumptions'!M14*12)</f>
        <v>1.2244832676051238</v>
      </c>
    </row>
    <row r="14" spans="1:13">
      <c r="A14" s="13"/>
      <c r="B14" s="31"/>
      <c r="C14" s="31"/>
      <c r="D14" s="31"/>
      <c r="E14" s="31"/>
      <c r="F14" s="31"/>
      <c r="G14" s="31"/>
      <c r="H14" s="31"/>
      <c r="I14" s="31"/>
      <c r="J14" s="31"/>
      <c r="K14" s="30"/>
      <c r="L14" s="30"/>
      <c r="M14" s="30"/>
    </row>
    <row r="15" spans="1:13">
      <c r="A15" s="13"/>
      <c r="B15" s="265" t="s">
        <v>344</v>
      </c>
      <c r="C15" s="264" t="s">
        <v>4</v>
      </c>
      <c r="D15" s="264" t="s">
        <v>5</v>
      </c>
      <c r="E15" s="264" t="s">
        <v>6</v>
      </c>
      <c r="F15" s="264" t="s">
        <v>7</v>
      </c>
      <c r="G15" s="264" t="s">
        <v>8</v>
      </c>
      <c r="H15" s="264" t="s">
        <v>9</v>
      </c>
      <c r="I15" s="264" t="s">
        <v>10</v>
      </c>
      <c r="J15" s="264" t="s">
        <v>11</v>
      </c>
      <c r="K15" s="264" t="s">
        <v>90</v>
      </c>
      <c r="L15" s="264" t="s">
        <v>330</v>
      </c>
      <c r="M15" s="264" t="s">
        <v>331</v>
      </c>
    </row>
    <row r="16" spans="1:13">
      <c r="A16" s="13"/>
      <c r="B16" s="32" t="s">
        <v>28</v>
      </c>
      <c r="C16" s="79">
        <f>'P&amp;L and Cash Flow'!C9</f>
        <v>566250.00000000047</v>
      </c>
      <c r="D16" s="79">
        <f>'P&amp;L and Cash Flow'!D9</f>
        <v>1457606.2500000012</v>
      </c>
      <c r="E16" s="79">
        <f>'P&amp;L and Cash Flow'!E9</f>
        <v>1953864.4124999985</v>
      </c>
      <c r="F16" s="79">
        <f>'P&amp;L and Cash Flow'!F9</f>
        <v>2477770.2049999991</v>
      </c>
      <c r="G16" s="79">
        <f>'P&amp;L and Cash Flow'!G9</f>
        <v>3185128.1685374994</v>
      </c>
      <c r="H16" s="79">
        <f>'P&amp;L and Cash Flow'!H9</f>
        <v>3928238.4788878495</v>
      </c>
      <c r="I16" s="79">
        <f>'P&amp;L and Cash Flow'!I9</f>
        <v>4711132.1849788623</v>
      </c>
      <c r="J16" s="79">
        <f>'P&amp;L and Cash Flow'!J9</f>
        <v>5535859.2191260131</v>
      </c>
      <c r="K16" s="79">
        <f>'P&amp;L and Cash Flow'!K9</f>
        <v>6545476.9323097877</v>
      </c>
      <c r="L16" s="79">
        <f>'P&amp;L and Cash Flow'!L9</f>
        <v>6630703.4536873</v>
      </c>
      <c r="M16" s="79">
        <f>'P&amp;L and Cash Flow'!M9</f>
        <v>6717177.6753196735</v>
      </c>
    </row>
    <row r="17" spans="1:13">
      <c r="A17" s="13"/>
      <c r="B17" s="32" t="s">
        <v>25</v>
      </c>
      <c r="C17" s="326">
        <f>'P&amp;L and Cash Flow'!C19*('Key Assumptions'!C18/('Key Assumptions'!C14+'Key Assumptions'!C12+'Key Assumptions'!C11))+'P&amp;L and Cash Flow'!C21+'P&amp;L and Cash Flow'!C14+'P&amp;L and Cash Flow'!C15+'P&amp;L and Cash Flow'!C13*('Key Assumptions'!C18/('Key Assumptions'!C14+'Key Assumptions'!C12+'Key Assumptions'!C11))</f>
        <v>327935.17000247736</v>
      </c>
      <c r="D17" s="326">
        <f>'P&amp;L and Cash Flow'!D19*('Key Assumptions'!D18/('Key Assumptions'!D14+'Key Assumptions'!D12+'Key Assumptions'!D11))+'P&amp;L and Cash Flow'!D21+'P&amp;L and Cash Flow'!D14+'P&amp;L and Cash Flow'!D15+'P&amp;L and Cash Flow'!D13*('Key Assumptions'!D18/('Key Assumptions'!D14+'Key Assumptions'!D12+'Key Assumptions'!D11))</f>
        <v>794625.53513453796</v>
      </c>
      <c r="E17" s="326">
        <f>'P&amp;L and Cash Flow'!E19*('Key Assumptions'!E18/('Key Assumptions'!E14+'Key Assumptions'!E12+'Key Assumptions'!E11))+'P&amp;L and Cash Flow'!E21+'P&amp;L and Cash Flow'!E14+'P&amp;L and Cash Flow'!E15+'P&amp;L and Cash Flow'!E13*('Key Assumptions'!E18/('Key Assumptions'!E14+'Key Assumptions'!E12+'Key Assumptions'!E11))</f>
        <v>1092992.0062887277</v>
      </c>
      <c r="F17" s="326">
        <f>'P&amp;L and Cash Flow'!F19*('Key Assumptions'!F18/('Key Assumptions'!F14+'Key Assumptions'!F12+'Key Assumptions'!F11))+'P&amp;L and Cash Flow'!F21+'P&amp;L and Cash Flow'!F14+'P&amp;L and Cash Flow'!F15+'P&amp;L and Cash Flow'!F13*('Key Assumptions'!F18/('Key Assumptions'!F14+'Key Assumptions'!F12+'Key Assumptions'!F11))</f>
        <v>1415855.7698541977</v>
      </c>
      <c r="G17" s="326">
        <f>'P&amp;L and Cash Flow'!G19*('Key Assumptions'!G18/('Key Assumptions'!G14+'Key Assumptions'!G12+'Key Assumptions'!G11))+'P&amp;L and Cash Flow'!G21+'P&amp;L and Cash Flow'!G14+'P&amp;L and Cash Flow'!G15+'P&amp;L and Cash Flow'!G13*('Key Assumptions'!G18/('Key Assumptions'!G14+'Key Assumptions'!G12+'Key Assumptions'!G11))</f>
        <v>1848983.4370960435</v>
      </c>
      <c r="H17" s="326">
        <f>'P&amp;L and Cash Flow'!H19*('Key Assumptions'!H18/('Key Assumptions'!H14+'Key Assumptions'!H12+'Key Assumptions'!H11))+'P&amp;L and Cash Flow'!H21+'P&amp;L and Cash Flow'!H14+'P&amp;L and Cash Flow'!H15+'P&amp;L and Cash Flow'!H13*('Key Assumptions'!H18/('Key Assumptions'!H14+'Key Assumptions'!H12+'Key Assumptions'!H11))</f>
        <v>2309329.3278371082</v>
      </c>
      <c r="I17" s="326">
        <f>'P&amp;L and Cash Flow'!I19*('Key Assumptions'!I18/('Key Assumptions'!I14+'Key Assumptions'!I12+'Key Assumptions'!I11))+'P&amp;L and Cash Flow'!I21+'P&amp;L and Cash Flow'!I14+'P&amp;L and Cash Flow'!I15+'P&amp;L and Cash Flow'!I13*('Key Assumptions'!I18/('Key Assumptions'!I14+'Key Assumptions'!I12+'Key Assumptions'!I11))</f>
        <v>2801412.7897584322</v>
      </c>
      <c r="J17" s="326">
        <f>'P&amp;L and Cash Flow'!J19*('Key Assumptions'!J18/('Key Assumptions'!J14+'Key Assumptions'!J12+'Key Assumptions'!J11))+'P&amp;L and Cash Flow'!J21+'P&amp;L and Cash Flow'!J14+'P&amp;L and Cash Flow'!J15+'P&amp;L and Cash Flow'!J13*('Key Assumptions'!J18/('Key Assumptions'!J14+'Key Assumptions'!J12+'Key Assumptions'!J11))</f>
        <v>3325996.3226797497</v>
      </c>
      <c r="K17" s="326">
        <f>'P&amp;L and Cash Flow'!K19*('Key Assumptions'!K18/('Key Assumptions'!K14+'Key Assumptions'!K12+'Key Assumptions'!K11))+'P&amp;L and Cash Flow'!K21+'P&amp;L and Cash Flow'!K14+'P&amp;L and Cash Flow'!K15+'P&amp;L and Cash Flow'!K13*('Key Assumptions'!K18/('Key Assumptions'!K14+'Key Assumptions'!K12+'Key Assumptions'!K11))</f>
        <v>3962737.9027417987</v>
      </c>
      <c r="L17" s="326">
        <f>'P&amp;L and Cash Flow'!L19*('Key Assumptions'!L18/('Key Assumptions'!L14+'Key Assumptions'!L12+'Key Assumptions'!L11))+'P&amp;L and Cash Flow'!L21+'P&amp;L and Cash Flow'!L14+'P&amp;L and Cash Flow'!L15+'P&amp;L and Cash Flow'!L13*('Key Assumptions'!L18/('Key Assumptions'!L14+'Key Assumptions'!L12+'Key Assumptions'!L11))</f>
        <v>3997966.0116663533</v>
      </c>
      <c r="M17" s="326">
        <f>'P&amp;L and Cash Flow'!M19*('Key Assumptions'!M18/('Key Assumptions'!M14+'Key Assumptions'!M12+'Key Assumptions'!M11))+'P&amp;L and Cash Flow'!M21+'P&amp;L and Cash Flow'!M14+'P&amp;L and Cash Flow'!M15+'P&amp;L and Cash Flow'!M13*('Key Assumptions'!M18/('Key Assumptions'!M14+'Key Assumptions'!M12+'Key Assumptions'!M11))</f>
        <v>4034128.5178409452</v>
      </c>
    </row>
    <row r="18" spans="1:13">
      <c r="A18" s="13"/>
      <c r="B18" s="32" t="s">
        <v>1</v>
      </c>
      <c r="C18" s="79">
        <f t="shared" ref="C18:K18" si="8">C16-C17</f>
        <v>238314.82999752311</v>
      </c>
      <c r="D18" s="79">
        <f t="shared" si="8"/>
        <v>662980.7148654632</v>
      </c>
      <c r="E18" s="79">
        <f t="shared" si="8"/>
        <v>860872.40621127072</v>
      </c>
      <c r="F18" s="79">
        <f t="shared" si="8"/>
        <v>1061914.4351458014</v>
      </c>
      <c r="G18" s="79">
        <f t="shared" si="8"/>
        <v>1336144.7314414559</v>
      </c>
      <c r="H18" s="79">
        <f t="shared" si="8"/>
        <v>1618909.1510507413</v>
      </c>
      <c r="I18" s="79">
        <f t="shared" si="8"/>
        <v>1909719.3952204301</v>
      </c>
      <c r="J18" s="79">
        <f t="shared" si="8"/>
        <v>2209862.8964462634</v>
      </c>
      <c r="K18" s="79">
        <f t="shared" si="8"/>
        <v>2582739.0295679891</v>
      </c>
      <c r="L18" s="79">
        <f t="shared" ref="L18:M18" si="9">L16-L17</f>
        <v>2632737.4420209466</v>
      </c>
      <c r="M18" s="79">
        <f t="shared" si="9"/>
        <v>2683049.1574787283</v>
      </c>
    </row>
    <row r="19" spans="1:13">
      <c r="A19" s="13"/>
      <c r="B19" s="32" t="s">
        <v>29</v>
      </c>
      <c r="C19" s="328">
        <f t="shared" ref="C19:K19" si="10">(C16-C17)/C16</f>
        <v>0.42086504193823032</v>
      </c>
      <c r="D19" s="328">
        <f t="shared" si="10"/>
        <v>0.45484211862117269</v>
      </c>
      <c r="E19" s="328">
        <f t="shared" si="10"/>
        <v>0.44059987003385342</v>
      </c>
      <c r="F19" s="328">
        <f t="shared" si="10"/>
        <v>0.42857664241942961</v>
      </c>
      <c r="G19" s="328">
        <f t="shared" si="10"/>
        <v>0.419494808604505</v>
      </c>
      <c r="H19" s="328">
        <f t="shared" si="10"/>
        <v>0.41212089330917651</v>
      </c>
      <c r="I19" s="328">
        <f t="shared" si="10"/>
        <v>0.40536315268534512</v>
      </c>
      <c r="J19" s="328">
        <f t="shared" si="10"/>
        <v>0.39919058794185713</v>
      </c>
      <c r="K19" s="328">
        <f t="shared" si="10"/>
        <v>0.39458377995636512</v>
      </c>
      <c r="L19" s="328">
        <f t="shared" ref="L19:M19" si="11">(L16-L17)/L16</f>
        <v>0.3970525088943459</v>
      </c>
      <c r="M19" s="328">
        <f t="shared" si="11"/>
        <v>0.39943102403511171</v>
      </c>
    </row>
    <row r="20" spans="1:13">
      <c r="A20" s="13"/>
      <c r="B20" s="32"/>
      <c r="C20" s="263"/>
      <c r="D20" s="263"/>
      <c r="E20" s="263"/>
      <c r="F20" s="263"/>
      <c r="G20" s="263"/>
      <c r="H20" s="263"/>
      <c r="I20" s="263"/>
      <c r="J20" s="263"/>
      <c r="K20" s="263"/>
      <c r="L20" s="263"/>
      <c r="M20" s="263"/>
    </row>
    <row r="21" spans="1:13">
      <c r="A21" s="13"/>
      <c r="B21" s="32" t="s">
        <v>27</v>
      </c>
      <c r="C21" s="79">
        <f>'P&amp;L and Cash Flow'!C39*'Key Assumptions'!$C$54</f>
        <v>184860.79545454547</v>
      </c>
      <c r="D21" s="79">
        <f>'P&amp;L and Cash Flow'!D39*'Key Assumptions'!$C$54</f>
        <v>307762.95454545459</v>
      </c>
      <c r="E21" s="79">
        <f>'P&amp;L and Cash Flow'!E39*'Key Assumptions'!$C$54</f>
        <v>504779.13863636355</v>
      </c>
      <c r="F21" s="79">
        <f>'P&amp;L and Cash Flow'!F39*'Key Assumptions'!$C$54</f>
        <v>536685.93836363638</v>
      </c>
      <c r="G21" s="79">
        <f>'P&amp;L and Cash Flow'!G39*'Key Assumptions'!$C$54</f>
        <v>575808.28762818174</v>
      </c>
      <c r="H21" s="79">
        <f>'P&amp;L and Cash Flow'!H39*'Key Assumptions'!$C$54</f>
        <v>616794.96050407272</v>
      </c>
      <c r="I21" s="79">
        <f>'P&amp;L and Cash Flow'!I39*'Key Assumptions'!$C$54</f>
        <v>659722.60629365186</v>
      </c>
      <c r="J21" s="79">
        <f>'P&amp;L and Cash Flow'!J39*'Key Assumptions'!$C$54</f>
        <v>704670.79536615196</v>
      </c>
      <c r="K21" s="79">
        <f>'P&amp;L and Cash Flow'!K39*'Key Assumptions'!$C$54</f>
        <v>751722.12543733779</v>
      </c>
      <c r="L21" s="79">
        <f>'P&amp;L and Cash Flow'!L39*'Key Assumptions'!$C$54</f>
        <v>774273.78920045798</v>
      </c>
      <c r="M21" s="79">
        <f>'P&amp;L and Cash Flow'!M39*'Key Assumptions'!$C$54</f>
        <v>797502.00287647173</v>
      </c>
    </row>
    <row r="22" spans="1:13">
      <c r="A22" s="13"/>
      <c r="B22" s="31" t="s">
        <v>290</v>
      </c>
      <c r="C22" s="81">
        <f t="shared" ref="C22:K22" si="12">C16-C18-C21</f>
        <v>143074.37454793189</v>
      </c>
      <c r="D22" s="81">
        <f t="shared" si="12"/>
        <v>486862.58058908337</v>
      </c>
      <c r="E22" s="81">
        <f t="shared" si="12"/>
        <v>588212.86765236419</v>
      </c>
      <c r="F22" s="81">
        <f t="shared" si="12"/>
        <v>879169.83149056137</v>
      </c>
      <c r="G22" s="81">
        <f t="shared" si="12"/>
        <v>1273175.1494678617</v>
      </c>
      <c r="H22" s="81">
        <f t="shared" si="12"/>
        <v>1692534.3673330355</v>
      </c>
      <c r="I22" s="81">
        <f t="shared" si="12"/>
        <v>2141690.1834647804</v>
      </c>
      <c r="J22" s="81">
        <f t="shared" si="12"/>
        <v>2621325.5273135975</v>
      </c>
      <c r="K22" s="81">
        <f t="shared" si="12"/>
        <v>3211015.7773044608</v>
      </c>
      <c r="L22" s="81">
        <f t="shared" ref="L22:M22" si="13">L16-L18-L21</f>
        <v>3223692.2224658951</v>
      </c>
      <c r="M22" s="81">
        <f t="shared" si="13"/>
        <v>3236626.5149644734</v>
      </c>
    </row>
    <row r="23" spans="1:13">
      <c r="A23" s="13"/>
      <c r="B23" s="32" t="s">
        <v>289</v>
      </c>
      <c r="C23" s="327">
        <f t="shared" ref="C23:K23" si="14">(C16-C17-C21)/C16</f>
        <v>9.4400061003050928E-2</v>
      </c>
      <c r="D23" s="327">
        <f t="shared" si="14"/>
        <v>0.24369939434604396</v>
      </c>
      <c r="E23" s="327">
        <f t="shared" si="14"/>
        <v>0.18225075665269963</v>
      </c>
      <c r="F23" s="327">
        <f t="shared" si="14"/>
        <v>0.21197627436244243</v>
      </c>
      <c r="G23" s="327">
        <f t="shared" si="14"/>
        <v>0.23871455199945513</v>
      </c>
      <c r="H23" s="327">
        <f t="shared" si="14"/>
        <v>0.25510523251897477</v>
      </c>
      <c r="I23" s="327">
        <f t="shared" si="14"/>
        <v>0.26532832020980257</v>
      </c>
      <c r="J23" s="327">
        <f t="shared" si="14"/>
        <v>0.27189855115530687</v>
      </c>
      <c r="K23" s="327">
        <f t="shared" si="14"/>
        <v>0.27973773692370441</v>
      </c>
      <c r="L23" s="327">
        <f t="shared" ref="L23:M23" si="15">(L16-L17-L21)/L16</f>
        <v>0.28028152153102348</v>
      </c>
      <c r="M23" s="327">
        <f t="shared" si="15"/>
        <v>0.28070526726279016</v>
      </c>
    </row>
    <row r="24" spans="1:13">
      <c r="A24" s="13"/>
      <c r="B24" s="31"/>
      <c r="C24" s="31"/>
      <c r="D24" s="31"/>
      <c r="E24" s="31"/>
      <c r="F24" s="31"/>
      <c r="G24" s="31"/>
      <c r="H24" s="31"/>
      <c r="I24" s="31"/>
      <c r="J24" s="31"/>
      <c r="K24" s="31"/>
      <c r="L24" s="31"/>
      <c r="M24" s="31"/>
    </row>
    <row r="25" spans="1:13">
      <c r="A25" s="13"/>
      <c r="B25" s="31"/>
      <c r="C25" s="31"/>
      <c r="D25" s="31"/>
      <c r="E25" s="31"/>
      <c r="F25" s="31"/>
      <c r="G25" s="31"/>
      <c r="H25" s="31"/>
      <c r="I25" s="31"/>
      <c r="J25" s="31"/>
      <c r="K25" s="31"/>
      <c r="L25" s="31"/>
      <c r="M25" s="31"/>
    </row>
    <row r="26" spans="1:13">
      <c r="A26" s="13"/>
      <c r="B26" s="31" t="s">
        <v>346</v>
      </c>
      <c r="C26" s="323">
        <f>C18/('Key Assumptions'!C18*12)</f>
        <v>1.5887655333168196</v>
      </c>
      <c r="D26" s="323">
        <f>D18/('Key Assumptions'!D18*12)</f>
        <v>1.767948572974567</v>
      </c>
      <c r="E26" s="323">
        <f>E18/('Key Assumptions'!E18*12)</f>
        <v>1.7658921153051723</v>
      </c>
      <c r="F26" s="323">
        <f>F18/('Key Assumptions'!F18*12)</f>
        <v>1.7698573919096696</v>
      </c>
      <c r="G26" s="323">
        <f>G18/('Key Assumptions'!G18*12)</f>
        <v>1.7815263085886084</v>
      </c>
      <c r="H26" s="323">
        <f>H18/('Key Assumptions'!H18*12)</f>
        <v>1.7987879456119349</v>
      </c>
      <c r="I26" s="323">
        <f>I18/('Key Assumptions'!I18*12)</f>
        <v>1.8187803764004091</v>
      </c>
      <c r="J26" s="323">
        <f>J18/('Key Assumptions'!J18*12)</f>
        <v>1.841552413705219</v>
      </c>
      <c r="K26" s="323">
        <f>K18/('Key Assumptions'!K18*12)</f>
        <v>1.9131400219022134</v>
      </c>
      <c r="L26" s="323">
        <f>L18/('Key Assumptions'!L18*12)</f>
        <v>1.9501758829784783</v>
      </c>
      <c r="M26" s="323">
        <f>M18/('Key Assumptions'!M18*12)</f>
        <v>1.987443820354613</v>
      </c>
    </row>
    <row r="27" spans="1:13">
      <c r="A27" s="13"/>
      <c r="B27" s="31" t="s">
        <v>347</v>
      </c>
      <c r="C27" s="323">
        <f>(C18+C21)/('Key Assumptions'!C18*12)</f>
        <v>2.8211708363471217</v>
      </c>
      <c r="D27" s="323">
        <f>(D18+D21)/('Key Assumptions'!D18*12)</f>
        <v>2.5886497850957784</v>
      </c>
      <c r="E27" s="323">
        <f>(E18+E21)/('Key Assumptions'!E18*12)</f>
        <v>2.8013365022515599</v>
      </c>
      <c r="F27" s="323">
        <f>(F18+F21)/('Key Assumptions'!F18*12)</f>
        <v>2.664333955849064</v>
      </c>
      <c r="G27" s="323">
        <f>(G18+G21)/('Key Assumptions'!G18*12)</f>
        <v>2.549270692092851</v>
      </c>
      <c r="H27" s="323">
        <f>(H18+H21)/('Key Assumptions'!H18*12)</f>
        <v>2.484115679505349</v>
      </c>
      <c r="I27" s="323">
        <f>(I18+I21)/('Key Assumptions'!I18*12)</f>
        <v>2.4470876204896013</v>
      </c>
      <c r="J27" s="323">
        <f>(J18+J21)/('Key Assumptions'!J18*12)</f>
        <v>2.4287780765103459</v>
      </c>
      <c r="K27" s="323">
        <f>(K18+K21)/('Key Assumptions'!K18*12)</f>
        <v>2.469971225929871</v>
      </c>
      <c r="L27" s="323">
        <f>(L18+L21)/('Key Assumptions'!L18*12)</f>
        <v>2.5237120231269659</v>
      </c>
      <c r="M27" s="323">
        <f>(M18+M21)/('Key Assumptions'!M18*12)</f>
        <v>2.5781860447075546</v>
      </c>
    </row>
  </sheetData>
  <phoneticPr fontId="26" type="noConversion"/>
  <printOptions horizontalCentered="1"/>
  <pageMargins left="0.39370078740157483" right="0.19685039370078741" top="0.39370078740157483" bottom="0.19685039370078741" header="0.30000000000000004" footer="0.30000000000000004"/>
  <pageSetup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Offering</vt:lpstr>
      <vt:lpstr>Key Assumptions</vt:lpstr>
      <vt:lpstr> Crude Oil-Base Oil</vt:lpstr>
      <vt:lpstr>Investment Plan</vt:lpstr>
      <vt:lpstr>Summary Cash Flows 1000s</vt:lpstr>
      <vt:lpstr>P&amp;L and Cash Flow</vt:lpstr>
      <vt:lpstr>Summary Cash Flows</vt:lpstr>
      <vt:lpstr>Sensitivity</vt:lpstr>
      <vt:lpstr>Margins</vt:lpstr>
      <vt:lpstr>Debt Service</vt:lpstr>
      <vt:lpstr>Plant Ops Cost 5000 lph </vt:lpstr>
      <vt:lpstr>Plant Ops Cost 2500 lph</vt:lpstr>
      <vt:lpstr>Org-Salary Structure</vt:lpstr>
      <vt:lpstr>Additives</vt:lpstr>
      <vt:lpstr>Base Oil Trends</vt:lpstr>
      <vt:lpstr>'P&amp;L and Cash Flow'!Print_Area</vt:lpstr>
      <vt:lpstr>Sensitivity!Print_Titles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Parker Abraham</dc:creator>
  <cp:lastModifiedBy>Luke</cp:lastModifiedBy>
  <cp:lastPrinted>2016-11-26T17:37:04Z</cp:lastPrinted>
  <dcterms:created xsi:type="dcterms:W3CDTF">2013-10-28T16:55:50Z</dcterms:created>
  <dcterms:modified xsi:type="dcterms:W3CDTF">2018-02-20T21:58:03Z</dcterms:modified>
</cp:coreProperties>
</file>