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NFI " sheetId="1" r:id="rId4"/>
    <sheet state="visible" name="UNFI 2Q21" sheetId="2" r:id="rId5"/>
    <sheet state="visible" name="UNFI 3Q21" sheetId="3" r:id="rId6"/>
  </sheets>
  <definedNames/>
  <calcPr/>
</workbook>
</file>

<file path=xl/sharedStrings.xml><?xml version="1.0" encoding="utf-8"?>
<sst xmlns="http://schemas.openxmlformats.org/spreadsheetml/2006/main" count="99" uniqueCount="39">
  <si>
    <t>TTM</t>
  </si>
  <si>
    <t>Revenues</t>
  </si>
  <si>
    <t>Net Income</t>
  </si>
  <si>
    <t>Depreciation</t>
  </si>
  <si>
    <t>Capex</t>
  </si>
  <si>
    <t>Goodwill impairment</t>
  </si>
  <si>
    <t>Owner's Earnings</t>
  </si>
  <si>
    <t>FCF</t>
  </si>
  <si>
    <t>Divestitures</t>
  </si>
  <si>
    <t>Net Issuance of Debt</t>
  </si>
  <si>
    <t>Interest Expense</t>
  </si>
  <si>
    <t>Debt Due (as of 2020)</t>
  </si>
  <si>
    <t>Total Debt</t>
  </si>
  <si>
    <t>Discounted OE</t>
  </si>
  <si>
    <t>Terminal Value</t>
  </si>
  <si>
    <t>Intrinsic Value</t>
  </si>
  <si>
    <t>Per Share</t>
  </si>
  <si>
    <t>P/OE Exit Multiples</t>
  </si>
  <si>
    <t>2026 OE/share</t>
  </si>
  <si>
    <t>X1</t>
  </si>
  <si>
    <t>X3</t>
  </si>
  <si>
    <t>X5</t>
  </si>
  <si>
    <t>X10</t>
  </si>
  <si>
    <t>X15</t>
  </si>
  <si>
    <t>Bear</t>
  </si>
  <si>
    <t xml:space="preserve">Base </t>
  </si>
  <si>
    <t>Bull</t>
  </si>
  <si>
    <t>Returns</t>
  </si>
  <si>
    <t>CAGR</t>
  </si>
  <si>
    <t xml:space="preserve">Probability </t>
  </si>
  <si>
    <t>Expectation</t>
  </si>
  <si>
    <t>TTM (2Q21)</t>
  </si>
  <si>
    <t>Debt Due (as of 2Q21)</t>
  </si>
  <si>
    <t>TTM (3Q21)</t>
  </si>
  <si>
    <t>Debt Due (as of 3Q21)</t>
  </si>
  <si>
    <t>X4</t>
  </si>
  <si>
    <t>X6</t>
  </si>
  <si>
    <t>X8</t>
  </si>
  <si>
    <t>X12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</si>
</sst>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_(&quot;$&quot;* #,##0.00_);_(&quot;$&quot;* \(#,##0.00\);_(&quot;$&quot;* &quot;-&quot;??_);_(@_)"/>
  </numFmts>
  <fonts count="7">
    <font>
      <sz val="10.0"/>
      <color rgb="FF000000"/>
      <name val="Arial"/>
    </font>
    <font>
      <color theme="1"/>
      <name val="Arial"/>
    </font>
    <font>
      <b/>
      <color rgb="FF000000"/>
      <name val="Arial"/>
    </font>
    <font>
      <b/>
      <color theme="1"/>
      <name val="Arial"/>
    </font>
    <font>
      <color rgb="FF000000"/>
      <name val="Arial"/>
    </font>
    <font>
      <name val="Arial"/>
    </font>
    <font>
      <b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horizontal="right" vertical="bottom"/>
    </xf>
    <xf borderId="0" fillId="2" fontId="2" numFmtId="0" xfId="0" applyAlignment="1" applyFont="1">
      <alignment vertical="bottom"/>
    </xf>
    <xf borderId="0" fillId="3" fontId="2" numFmtId="0" xfId="0" applyAlignment="1" applyFill="1" applyFont="1">
      <alignment horizontal="right" vertical="bottom"/>
    </xf>
    <xf borderId="0" fillId="3" fontId="3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0" fontId="4" numFmtId="0" xfId="0" applyAlignment="1" applyBorder="1" applyFont="1">
      <alignment horizontal="center" shrinkToFit="0" vertical="bottom" wrapText="1"/>
    </xf>
    <xf borderId="0" fillId="4" fontId="4" numFmtId="164" xfId="0" applyAlignment="1" applyFill="1" applyFont="1" applyNumberFormat="1">
      <alignment horizontal="right" vertical="bottom"/>
    </xf>
    <xf borderId="0" fillId="5" fontId="4" numFmtId="164" xfId="0" applyAlignment="1" applyFill="1" applyFont="1" applyNumberFormat="1">
      <alignment horizontal="right" vertical="bottom"/>
    </xf>
    <xf borderId="0" fillId="5" fontId="1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1" fillId="0" fontId="1" numFmtId="164" xfId="0" applyAlignment="1" applyBorder="1" applyFont="1" applyNumberFormat="1">
      <alignment vertical="bottom"/>
    </xf>
    <xf borderId="1" fillId="0" fontId="1" numFmtId="165" xfId="0" applyAlignment="1" applyBorder="1" applyFont="1" applyNumberFormat="1">
      <alignment shrinkToFit="0" vertical="bottom" wrapText="1"/>
    </xf>
    <xf borderId="1" fillId="0" fontId="4" numFmtId="164" xfId="0" applyAlignment="1" applyBorder="1" applyFont="1" applyNumberFormat="1">
      <alignment horizontal="center" shrinkToFit="0" vertical="bottom" wrapText="1"/>
    </xf>
    <xf borderId="0" fillId="6" fontId="2" numFmtId="0" xfId="0" applyAlignment="1" applyFill="1" applyFont="1">
      <alignment vertical="bottom"/>
    </xf>
    <xf borderId="0" fillId="6" fontId="4" numFmtId="164" xfId="0" applyAlignment="1" applyFont="1" applyNumberFormat="1">
      <alignment horizontal="right" vertical="bottom"/>
    </xf>
    <xf borderId="0" fillId="7" fontId="2" numFmtId="0" xfId="0" applyAlignment="1" applyFill="1" applyFont="1">
      <alignment vertical="bottom"/>
    </xf>
    <xf borderId="0" fillId="7" fontId="3" numFmtId="0" xfId="0" applyAlignment="1" applyFont="1">
      <alignment vertical="bottom"/>
    </xf>
    <xf borderId="0" fillId="0" fontId="1" numFmtId="10" xfId="0" applyAlignment="1" applyFont="1" applyNumberFormat="1">
      <alignment horizontal="right" vertical="bottom"/>
    </xf>
    <xf borderId="0" fillId="2" fontId="3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2" fontId="3" numFmtId="0" xfId="0" applyAlignment="1" applyFont="1">
      <alignment horizontal="right" vertical="bottom"/>
    </xf>
    <xf borderId="0" fillId="0" fontId="1" numFmtId="0" xfId="0" applyAlignment="1" applyFont="1">
      <alignment horizontal="right" vertical="bottom"/>
    </xf>
    <xf borderId="0" fillId="8" fontId="3" numFmtId="0" xfId="0" applyAlignment="1" applyFill="1" applyFont="1">
      <alignment vertical="bottom"/>
    </xf>
    <xf borderId="0" fillId="8" fontId="1" numFmtId="0" xfId="0" applyAlignment="1" applyFont="1">
      <alignment vertical="bottom"/>
    </xf>
    <xf borderId="0" fillId="8" fontId="3" numFmtId="164" xfId="0" applyAlignment="1" applyFont="1" applyNumberFormat="1">
      <alignment horizontal="right" vertical="bottom"/>
    </xf>
    <xf borderId="0" fillId="8" fontId="3" numFmtId="166" xfId="0" applyAlignment="1" applyFont="1" applyNumberFormat="1">
      <alignment horizontal="right" vertical="bottom"/>
    </xf>
    <xf borderId="0" fillId="7" fontId="3" numFmtId="0" xfId="0" applyAlignment="1" applyFont="1">
      <alignment horizontal="center" vertical="bottom"/>
    </xf>
    <xf borderId="0" fillId="5" fontId="3" numFmtId="0" xfId="0" applyAlignment="1" applyFont="1">
      <alignment horizontal="center" vertical="bottom"/>
    </xf>
    <xf borderId="0" fillId="5" fontId="3" numFmtId="164" xfId="0" applyAlignment="1" applyFont="1" applyNumberFormat="1">
      <alignment vertical="bottom"/>
    </xf>
    <xf borderId="0" fillId="5" fontId="3" numFmtId="167" xfId="0" applyAlignment="1" applyFont="1" applyNumberFormat="1">
      <alignment horizontal="right" vertical="bottom"/>
    </xf>
    <xf borderId="0" fillId="9" fontId="1" numFmtId="167" xfId="0" applyAlignment="1" applyFill="1" applyFont="1" applyNumberFormat="1">
      <alignment horizontal="right" vertical="bottom"/>
    </xf>
    <xf borderId="0" fillId="0" fontId="1" numFmtId="167" xfId="0" applyAlignment="1" applyFont="1" applyNumberFormat="1">
      <alignment horizontal="right" vertical="bottom"/>
    </xf>
    <xf borderId="0" fillId="0" fontId="1" numFmtId="167" xfId="0" applyAlignment="1" applyFont="1" applyNumberFormat="1">
      <alignment vertical="bottom"/>
    </xf>
    <xf borderId="0" fillId="4" fontId="3" numFmtId="164" xfId="0" applyAlignment="1" applyFont="1" applyNumberFormat="1">
      <alignment vertical="bottom"/>
    </xf>
    <xf borderId="0" fillId="4" fontId="1" numFmtId="0" xfId="0" applyAlignment="1" applyFont="1">
      <alignment vertical="bottom"/>
    </xf>
    <xf borderId="0" fillId="4" fontId="1" numFmtId="9" xfId="0" applyAlignment="1" applyFont="1" applyNumberFormat="1">
      <alignment horizontal="right" vertical="bottom"/>
    </xf>
    <xf borderId="0" fillId="4" fontId="1" numFmtId="9" xfId="0" applyAlignment="1" applyFont="1" applyNumberFormat="1">
      <alignment vertical="bottom"/>
    </xf>
    <xf borderId="0" fillId="4" fontId="1" numFmtId="165" xfId="0" applyAlignment="1" applyFont="1" applyNumberFormat="1">
      <alignment horizontal="right" vertical="bottom"/>
    </xf>
    <xf borderId="0" fillId="4" fontId="1" numFmtId="165" xfId="0" applyAlignment="1" applyFont="1" applyNumberFormat="1">
      <alignment vertical="bottom"/>
    </xf>
    <xf borderId="0" fillId="8" fontId="3" numFmtId="9" xfId="0" applyAlignment="1" applyFont="1" applyNumberFormat="1">
      <alignment horizontal="right" vertical="bottom"/>
    </xf>
    <xf borderId="0" fillId="0" fontId="1" numFmtId="9" xfId="0" applyAlignment="1" applyFont="1" applyNumberFormat="1">
      <alignment horizontal="right" vertical="bottom"/>
    </xf>
    <xf borderId="0" fillId="5" fontId="1" numFmtId="167" xfId="0" applyAlignment="1" applyFont="1" applyNumberFormat="1">
      <alignment vertical="bottom"/>
    </xf>
    <xf borderId="0" fillId="9" fontId="1" numFmtId="167" xfId="0" applyAlignment="1" applyFont="1" applyNumberFormat="1">
      <alignment vertical="bottom"/>
    </xf>
    <xf borderId="0" fillId="2" fontId="2" numFmtId="0" xfId="0" applyAlignment="1" applyFont="1">
      <alignment readingOrder="0" vertical="bottom"/>
    </xf>
    <xf borderId="0" fillId="4" fontId="4" numFmtId="164" xfId="0" applyAlignment="1" applyFont="1" applyNumberFormat="1">
      <alignment horizontal="right" readingOrder="0" vertical="bottom"/>
    </xf>
    <xf borderId="0" fillId="5" fontId="4" numFmtId="164" xfId="0" applyAlignment="1" applyFont="1" applyNumberFormat="1">
      <alignment horizontal="right" readingOrder="0" vertical="bottom"/>
    </xf>
    <xf borderId="0" fillId="5" fontId="1" numFmtId="164" xfId="0" applyAlignment="1" applyFont="1" applyNumberFormat="1">
      <alignment horizontal="right" readingOrder="0" vertical="bottom"/>
    </xf>
    <xf borderId="0" fillId="7" fontId="3" numFmtId="0" xfId="0" applyAlignment="1" applyFont="1">
      <alignment readingOrder="0" vertical="bottom"/>
    </xf>
    <xf borderId="0" fillId="0" fontId="1" numFmtId="164" xfId="0" applyAlignment="1" applyFont="1" applyNumberFormat="1">
      <alignment horizontal="right" readingOrder="0" vertical="bottom"/>
    </xf>
    <xf borderId="0" fillId="5" fontId="3" numFmtId="167" xfId="0" applyAlignment="1" applyFont="1" applyNumberFormat="1">
      <alignment horizontal="right" readingOrder="0" vertical="bottom"/>
    </xf>
    <xf borderId="0" fillId="4" fontId="1" numFmtId="9" xfId="0" applyAlignment="1" applyFont="1" applyNumberFormat="1">
      <alignment horizontal="right" readingOrder="0" vertical="bottom"/>
    </xf>
    <xf borderId="0" fillId="5" fontId="5" numFmtId="164" xfId="0" applyAlignment="1" applyFont="1" applyNumberFormat="1">
      <alignment horizontal="right" readingOrder="0" vertical="bottom"/>
    </xf>
    <xf borderId="0" fillId="7" fontId="6" numFmtId="0" xfId="0" applyAlignment="1" applyFont="1">
      <alignment readingOrder="0" vertical="bottom"/>
    </xf>
    <xf borderId="0" fillId="0" fontId="5" numFmtId="164" xfId="0" applyAlignment="1" applyFont="1" applyNumberFormat="1">
      <alignment horizontal="right" readingOrder="0" vertical="bottom"/>
    </xf>
    <xf borderId="0" fillId="5" fontId="6" numFmtId="167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5">
      <c r="C5" s="1"/>
      <c r="D5" s="2">
        <v>2015.0</v>
      </c>
      <c r="E5" s="2">
        <v>2016.0</v>
      </c>
      <c r="F5" s="2">
        <v>2017.0</v>
      </c>
      <c r="G5" s="2">
        <v>2018.0</v>
      </c>
      <c r="H5" s="2">
        <v>2019.0</v>
      </c>
      <c r="I5" s="2">
        <v>2020.0</v>
      </c>
      <c r="J5" s="3" t="s">
        <v>0</v>
      </c>
      <c r="K5" s="4">
        <v>2021.0</v>
      </c>
      <c r="L5" s="5">
        <v>2022.0</v>
      </c>
      <c r="M5" s="4">
        <v>2023.0</v>
      </c>
      <c r="N5" s="5">
        <v>2024.0</v>
      </c>
      <c r="O5" s="4">
        <v>2025.0</v>
      </c>
      <c r="P5" s="4">
        <v>2026.0</v>
      </c>
      <c r="Q5" s="6"/>
      <c r="R5" s="6"/>
      <c r="S5" s="6"/>
      <c r="T5" s="6"/>
      <c r="U5" s="6"/>
      <c r="V5" s="6"/>
      <c r="W5" s="7"/>
      <c r="X5" s="8">
        <v>317.0</v>
      </c>
      <c r="Y5" s="8">
        <v>314.0</v>
      </c>
      <c r="Z5" s="8">
        <v>66.0</v>
      </c>
      <c r="AA5" s="8">
        <v>115.0</v>
      </c>
      <c r="AB5" s="8">
        <v>594.0</v>
      </c>
      <c r="AC5" s="6"/>
      <c r="AD5" s="6"/>
      <c r="AE5" s="6"/>
      <c r="AF5" s="6"/>
    </row>
    <row r="6">
      <c r="C6" s="3" t="s">
        <v>1</v>
      </c>
      <c r="D6" s="9">
        <v>8185.0</v>
      </c>
      <c r="E6" s="9">
        <v>8470.0</v>
      </c>
      <c r="F6" s="9">
        <v>9274.0</v>
      </c>
      <c r="G6" s="9">
        <v>10227.0</v>
      </c>
      <c r="H6" s="9">
        <v>22307.0</v>
      </c>
      <c r="I6" s="9">
        <v>26514.0</v>
      </c>
      <c r="J6" s="9">
        <v>27167.0</v>
      </c>
      <c r="K6" s="10">
        <v>27400.0</v>
      </c>
      <c r="L6" s="11">
        <f t="shared" ref="L6:P6" si="1">1.1*K6</f>
        <v>30140</v>
      </c>
      <c r="M6" s="11">
        <f t="shared" si="1"/>
        <v>33154</v>
      </c>
      <c r="N6" s="11">
        <f t="shared" si="1"/>
        <v>36469.4</v>
      </c>
      <c r="O6" s="11">
        <f t="shared" si="1"/>
        <v>40116.34</v>
      </c>
      <c r="P6" s="11">
        <f t="shared" si="1"/>
        <v>44127.974</v>
      </c>
      <c r="Q6" s="12"/>
      <c r="R6" s="12"/>
      <c r="S6" s="12"/>
      <c r="T6" s="12"/>
      <c r="U6" s="12"/>
      <c r="V6" s="12"/>
      <c r="W6" s="13"/>
      <c r="X6" s="14" t="str">
        <f t="shared" ref="X6:AB6" si="2">X5/X4</f>
        <v>#DIV/0!</v>
      </c>
      <c r="Y6" s="14" t="str">
        <f t="shared" si="2"/>
        <v>#DIV/0!</v>
      </c>
      <c r="Z6" s="14" t="str">
        <f t="shared" si="2"/>
        <v>#DIV/0!</v>
      </c>
      <c r="AA6" s="14" t="str">
        <f t="shared" si="2"/>
        <v>#DIV/0!</v>
      </c>
      <c r="AB6" s="14" t="str">
        <f t="shared" si="2"/>
        <v>#DIV/0!</v>
      </c>
      <c r="AC6" s="12"/>
      <c r="AD6" s="12"/>
      <c r="AE6" s="12"/>
      <c r="AF6" s="12"/>
    </row>
    <row r="7">
      <c r="C7" s="3" t="s">
        <v>2</v>
      </c>
      <c r="D7" s="9">
        <v>139.0</v>
      </c>
      <c r="E7" s="9">
        <v>126.0</v>
      </c>
      <c r="F7" s="9">
        <v>130.0</v>
      </c>
      <c r="G7" s="9">
        <v>163.0</v>
      </c>
      <c r="H7" s="9">
        <v>-286.0</v>
      </c>
      <c r="I7" s="9">
        <v>-254.0</v>
      </c>
      <c r="J7" s="9">
        <v>132.0</v>
      </c>
      <c r="K7" s="10">
        <v>184.0</v>
      </c>
      <c r="L7" s="11">
        <v>300.0</v>
      </c>
      <c r="M7" s="11">
        <f t="shared" ref="M7:P7" si="3">1.5/100*M6</f>
        <v>497.31</v>
      </c>
      <c r="N7" s="11">
        <f t="shared" si="3"/>
        <v>547.041</v>
      </c>
      <c r="O7" s="11">
        <f t="shared" si="3"/>
        <v>601.7451</v>
      </c>
      <c r="P7" s="11">
        <f t="shared" si="3"/>
        <v>661.91961</v>
      </c>
      <c r="Q7" s="12"/>
      <c r="R7" s="12"/>
      <c r="S7" s="12"/>
      <c r="T7" s="12"/>
      <c r="U7" s="12"/>
      <c r="V7" s="12"/>
      <c r="W7" s="13"/>
      <c r="X7" s="15">
        <v>130.0</v>
      </c>
      <c r="Y7" s="15">
        <v>163.0</v>
      </c>
      <c r="Z7" s="15">
        <v>-285.0</v>
      </c>
      <c r="AA7" s="15">
        <v>-274.0</v>
      </c>
      <c r="AB7" s="15">
        <v>109.0</v>
      </c>
      <c r="AC7" s="12"/>
      <c r="AD7" s="12"/>
      <c r="AE7" s="12"/>
      <c r="AF7" s="12"/>
    </row>
    <row r="8">
      <c r="C8" s="3" t="s">
        <v>3</v>
      </c>
      <c r="D8" s="9">
        <v>64.0</v>
      </c>
      <c r="E8" s="9">
        <v>71.0</v>
      </c>
      <c r="F8" s="9">
        <v>86.0</v>
      </c>
      <c r="G8" s="9">
        <v>88.0</v>
      </c>
      <c r="H8" s="9">
        <v>248.0</v>
      </c>
      <c r="I8" s="9">
        <v>282.0</v>
      </c>
      <c r="J8" s="9">
        <v>284.0</v>
      </c>
      <c r="K8" s="10">
        <v>300.0</v>
      </c>
      <c r="L8" s="10">
        <v>300.0</v>
      </c>
      <c r="M8" s="10">
        <v>300.0</v>
      </c>
      <c r="N8" s="10">
        <v>300.0</v>
      </c>
      <c r="O8" s="10">
        <v>300.0</v>
      </c>
      <c r="P8" s="10">
        <v>300.0</v>
      </c>
      <c r="Q8" s="12"/>
      <c r="R8" s="12"/>
      <c r="S8" s="12"/>
      <c r="T8" s="12"/>
      <c r="U8" s="12"/>
      <c r="V8" s="12"/>
      <c r="W8" s="13"/>
      <c r="X8" s="14" t="str">
        <f t="shared" ref="X8:AB8" si="4">X7/X4</f>
        <v>#DIV/0!</v>
      </c>
      <c r="Y8" s="14" t="str">
        <f t="shared" si="4"/>
        <v>#DIV/0!</v>
      </c>
      <c r="Z8" s="14" t="str">
        <f t="shared" si="4"/>
        <v>#DIV/0!</v>
      </c>
      <c r="AA8" s="14" t="str">
        <f t="shared" si="4"/>
        <v>#DIV/0!</v>
      </c>
      <c r="AB8" s="14" t="str">
        <f t="shared" si="4"/>
        <v>#DIV/0!</v>
      </c>
      <c r="AC8" s="12"/>
      <c r="AD8" s="12"/>
      <c r="AE8" s="12"/>
      <c r="AF8" s="12"/>
    </row>
    <row r="9">
      <c r="C9" s="3" t="s">
        <v>4</v>
      </c>
      <c r="D9" s="9">
        <v>-129.0</v>
      </c>
      <c r="E9" s="9">
        <v>-41.0</v>
      </c>
      <c r="F9" s="9">
        <v>-56.0</v>
      </c>
      <c r="G9" s="9">
        <v>-45.0</v>
      </c>
      <c r="H9" s="9">
        <v>-228.0</v>
      </c>
      <c r="I9" s="9">
        <v>-173.0</v>
      </c>
      <c r="J9" s="9">
        <v>-169.0</v>
      </c>
      <c r="K9" s="10">
        <v>-200.0</v>
      </c>
      <c r="L9" s="10">
        <v>-200.0</v>
      </c>
      <c r="M9" s="10">
        <v>-200.0</v>
      </c>
      <c r="N9" s="10">
        <v>-200.0</v>
      </c>
      <c r="O9" s="10">
        <v>-200.0</v>
      </c>
      <c r="P9" s="10">
        <v>-200.0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>
      <c r="C10" s="3" t="s">
        <v>5</v>
      </c>
      <c r="D10" s="9">
        <v>0.0</v>
      </c>
      <c r="E10" s="9">
        <v>0.0</v>
      </c>
      <c r="F10" s="9">
        <v>0.0</v>
      </c>
      <c r="G10" s="9">
        <v>11.0</v>
      </c>
      <c r="H10" s="9">
        <v>293.0</v>
      </c>
      <c r="I10" s="9">
        <v>425.0</v>
      </c>
      <c r="J10" s="9">
        <v>0.0</v>
      </c>
      <c r="K10" s="10">
        <v>0.0</v>
      </c>
      <c r="L10" s="10">
        <v>0.0</v>
      </c>
      <c r="M10" s="10">
        <v>0.0</v>
      </c>
      <c r="N10" s="10">
        <v>0.0</v>
      </c>
      <c r="O10" s="10">
        <v>0.0</v>
      </c>
      <c r="P10" s="10">
        <v>0.0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>
      <c r="C11" s="16" t="s">
        <v>6</v>
      </c>
      <c r="D11" s="17">
        <f t="shared" ref="D11:G11" si="5">D7+D8+D9+D10</f>
        <v>74</v>
      </c>
      <c r="E11" s="17">
        <f t="shared" si="5"/>
        <v>156</v>
      </c>
      <c r="F11" s="17">
        <f t="shared" si="5"/>
        <v>160</v>
      </c>
      <c r="G11" s="17">
        <f t="shared" si="5"/>
        <v>217</v>
      </c>
      <c r="H11" s="17">
        <f t="shared" ref="H11:P11" si="6">H7+H8+H9+H10+H13</f>
        <v>73</v>
      </c>
      <c r="I11" s="17">
        <f t="shared" si="6"/>
        <v>382</v>
      </c>
      <c r="J11" s="17">
        <f t="shared" si="6"/>
        <v>351</v>
      </c>
      <c r="K11" s="17">
        <f t="shared" si="6"/>
        <v>384</v>
      </c>
      <c r="L11" s="17">
        <f t="shared" si="6"/>
        <v>500</v>
      </c>
      <c r="M11" s="17">
        <f t="shared" si="6"/>
        <v>597.31</v>
      </c>
      <c r="N11" s="17">
        <f t="shared" si="6"/>
        <v>647.041</v>
      </c>
      <c r="O11" s="17">
        <f t="shared" si="6"/>
        <v>701.7451</v>
      </c>
      <c r="P11" s="17">
        <f t="shared" si="6"/>
        <v>761.91961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>
      <c r="C12" s="18" t="s">
        <v>7</v>
      </c>
      <c r="D12" s="9">
        <v>-80.0</v>
      </c>
      <c r="E12" s="9">
        <v>255.0</v>
      </c>
      <c r="F12" s="9">
        <v>217.0</v>
      </c>
      <c r="G12" s="9">
        <v>64.0</v>
      </c>
      <c r="H12" s="9">
        <v>56.0</v>
      </c>
      <c r="I12" s="9">
        <v>284.0</v>
      </c>
      <c r="J12" s="9">
        <v>365.0</v>
      </c>
      <c r="K12" s="10">
        <f t="shared" ref="K12:L12" si="7">K7+K8+K9+K10</f>
        <v>284</v>
      </c>
      <c r="L12" s="10">
        <f t="shared" si="7"/>
        <v>400</v>
      </c>
      <c r="M12" s="10">
        <f t="shared" ref="M12:P12" si="8">M7+M8+M9+M10+M13</f>
        <v>597.31</v>
      </c>
      <c r="N12" s="10">
        <f t="shared" si="8"/>
        <v>647.041</v>
      </c>
      <c r="O12" s="10">
        <f t="shared" si="8"/>
        <v>701.7451</v>
      </c>
      <c r="P12" s="10">
        <f t="shared" si="8"/>
        <v>761.91961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>
      <c r="C13" s="18" t="s">
        <v>8</v>
      </c>
      <c r="D13" s="9">
        <v>0.0</v>
      </c>
      <c r="E13" s="9">
        <v>8.0</v>
      </c>
      <c r="F13" s="9">
        <v>3.0</v>
      </c>
      <c r="G13" s="9">
        <v>-7.0</v>
      </c>
      <c r="H13" s="9">
        <v>46.0</v>
      </c>
      <c r="I13" s="9">
        <v>102.0</v>
      </c>
      <c r="J13" s="9">
        <v>104.0</v>
      </c>
      <c r="K13" s="10">
        <v>100.0</v>
      </c>
      <c r="L13" s="11">
        <v>100.0</v>
      </c>
      <c r="M13" s="11">
        <v>0.0</v>
      </c>
      <c r="N13" s="11">
        <v>0.0</v>
      </c>
      <c r="O13" s="11">
        <v>0.0</v>
      </c>
      <c r="P13" s="11">
        <v>0.0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>
      <c r="C14" s="18" t="s">
        <v>9</v>
      </c>
      <c r="D14" s="9">
        <v>93.0</v>
      </c>
      <c r="E14" s="9">
        <v>58.0</v>
      </c>
      <c r="F14" s="9">
        <v>-215.0</v>
      </c>
      <c r="G14" s="9">
        <v>-26.0</v>
      </c>
      <c r="H14" s="9">
        <v>2039.0</v>
      </c>
      <c r="I14" s="9">
        <v>-462.0</v>
      </c>
      <c r="J14" s="9">
        <v>-502.0</v>
      </c>
      <c r="K14" s="10">
        <v>-384.0</v>
      </c>
      <c r="L14" s="11">
        <v>-500.0</v>
      </c>
      <c r="M14" s="11">
        <v>-597.0</v>
      </c>
      <c r="N14" s="11">
        <v>-647.0</v>
      </c>
      <c r="O14" s="11">
        <v>-160.0</v>
      </c>
      <c r="P14" s="11">
        <v>-160.0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>
      <c r="C15" s="18" t="s">
        <v>10</v>
      </c>
      <c r="D15" s="9">
        <v>-14.0</v>
      </c>
      <c r="E15" s="9">
        <v>-15.0</v>
      </c>
      <c r="F15" s="9">
        <v>-17.0</v>
      </c>
      <c r="G15" s="9">
        <v>-16.0</v>
      </c>
      <c r="H15" s="9">
        <v>-181.0</v>
      </c>
      <c r="I15" s="9">
        <v>-192.0</v>
      </c>
      <c r="J15" s="9">
        <v>-211.0</v>
      </c>
      <c r="K15" s="10">
        <v>137.0</v>
      </c>
      <c r="L15" s="11">
        <v>118.0</v>
      </c>
      <c r="M15" s="11">
        <v>118.0</v>
      </c>
      <c r="N15" s="11">
        <v>93.0</v>
      </c>
      <c r="O15" s="11">
        <v>100.0</v>
      </c>
      <c r="P15" s="11">
        <v>18.0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>
      <c r="C16" s="19" t="s">
        <v>11</v>
      </c>
      <c r="D16" s="9"/>
      <c r="E16" s="9"/>
      <c r="F16" s="9"/>
      <c r="G16" s="9"/>
      <c r="H16" s="9"/>
      <c r="I16" s="9"/>
      <c r="J16" s="9"/>
      <c r="K16" s="10">
        <v>72.0</v>
      </c>
      <c r="L16" s="11">
        <v>13.5</v>
      </c>
      <c r="M16" s="11">
        <v>14.2</v>
      </c>
      <c r="N16" s="11">
        <v>757.0</v>
      </c>
      <c r="O16" s="11">
        <v>18.0</v>
      </c>
      <c r="P16" s="11">
        <v>1683.0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>
      <c r="C17" s="19" t="s">
        <v>12</v>
      </c>
      <c r="D17" s="9">
        <v>536.0</v>
      </c>
      <c r="E17" s="9">
        <v>588.0</v>
      </c>
      <c r="F17" s="9">
        <v>373.0</v>
      </c>
      <c r="G17" s="9">
        <v>309.0</v>
      </c>
      <c r="H17" s="9">
        <v>2819.0</v>
      </c>
      <c r="I17" s="9">
        <v>2427.0</v>
      </c>
      <c r="J17" s="9">
        <v>2621.0</v>
      </c>
      <c r="K17" s="10">
        <f t="shared" ref="K17:P17" si="9">J17+K14</f>
        <v>2237</v>
      </c>
      <c r="L17" s="10">
        <f t="shared" si="9"/>
        <v>1737</v>
      </c>
      <c r="M17" s="10">
        <f t="shared" si="9"/>
        <v>1140</v>
      </c>
      <c r="N17" s="10">
        <f t="shared" si="9"/>
        <v>493</v>
      </c>
      <c r="O17" s="10">
        <f t="shared" si="9"/>
        <v>333</v>
      </c>
      <c r="P17" s="10">
        <f t="shared" si="9"/>
        <v>173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>
      <c r="C19" s="6"/>
      <c r="D19" s="20">
        <f t="shared" ref="D19:P19" si="10">D15/D17</f>
        <v>-0.02611940299</v>
      </c>
      <c r="E19" s="20">
        <f t="shared" si="10"/>
        <v>-0.02551020408</v>
      </c>
      <c r="F19" s="20">
        <f t="shared" si="10"/>
        <v>-0.04557640751</v>
      </c>
      <c r="G19" s="20">
        <f t="shared" si="10"/>
        <v>-0.05177993528</v>
      </c>
      <c r="H19" s="20">
        <f t="shared" si="10"/>
        <v>-0.06420716566</v>
      </c>
      <c r="I19" s="20">
        <f t="shared" si="10"/>
        <v>-0.07911001236</v>
      </c>
      <c r="J19" s="20">
        <f t="shared" si="10"/>
        <v>-0.08050362457</v>
      </c>
      <c r="K19" s="20">
        <f t="shared" si="10"/>
        <v>0.06124273581</v>
      </c>
      <c r="L19" s="20">
        <f t="shared" si="10"/>
        <v>0.06793321819</v>
      </c>
      <c r="M19" s="20">
        <f t="shared" si="10"/>
        <v>0.1035087719</v>
      </c>
      <c r="N19" s="20">
        <f t="shared" si="10"/>
        <v>0.1886409736</v>
      </c>
      <c r="O19" s="20">
        <f t="shared" si="10"/>
        <v>0.3003003003</v>
      </c>
      <c r="P19" s="20">
        <f t="shared" si="10"/>
        <v>0.1040462428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21" t="s">
        <v>6</v>
      </c>
      <c r="T25" s="21" t="s">
        <v>13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1" t="s">
        <v>0</v>
      </c>
      <c r="S26" s="22">
        <v>351.0</v>
      </c>
      <c r="T26" s="12"/>
      <c r="U26" s="12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3">
        <v>2021.0</v>
      </c>
      <c r="S27" s="22">
        <v>384.0</v>
      </c>
      <c r="T27" s="22">
        <v>384.0</v>
      </c>
      <c r="U27" s="12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3">
        <v>2022.0</v>
      </c>
      <c r="S28" s="22">
        <v>500.0</v>
      </c>
      <c r="T28" s="22">
        <f t="shared" ref="T28:T32" si="11">S28/(1.18^W28)</f>
        <v>423.7288136</v>
      </c>
      <c r="U28" s="12"/>
      <c r="V28" s="6"/>
      <c r="W28" s="24">
        <v>1.0</v>
      </c>
      <c r="X28" s="6"/>
      <c r="Y28" s="6"/>
      <c r="Z28" s="6"/>
      <c r="AA28" s="6"/>
      <c r="AB28" s="6"/>
      <c r="AC28" s="6"/>
      <c r="AD28" s="6"/>
      <c r="AE28" s="6"/>
      <c r="AF28" s="6"/>
    </row>
    <row r="29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3">
        <v>2023.0</v>
      </c>
      <c r="S29" s="22">
        <v>597.3100000000002</v>
      </c>
      <c r="T29" s="22">
        <f t="shared" si="11"/>
        <v>428.9787417</v>
      </c>
      <c r="U29" s="12"/>
      <c r="V29" s="6"/>
      <c r="W29" s="24">
        <v>2.0</v>
      </c>
      <c r="X29" s="6"/>
      <c r="Y29" s="6"/>
      <c r="Z29" s="6"/>
      <c r="AA29" s="6"/>
      <c r="AB29" s="6"/>
      <c r="AC29" s="6"/>
      <c r="AD29" s="6"/>
      <c r="AE29" s="6"/>
      <c r="AF29" s="6"/>
    </row>
    <row r="30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3">
        <v>2024.0</v>
      </c>
      <c r="S30" s="22">
        <v>647.0410000000002</v>
      </c>
      <c r="T30" s="22">
        <f t="shared" si="11"/>
        <v>393.8091285</v>
      </c>
      <c r="U30" s="12"/>
      <c r="V30" s="6"/>
      <c r="W30" s="24">
        <v>3.0</v>
      </c>
      <c r="X30" s="6"/>
      <c r="Y30" s="6"/>
      <c r="Z30" s="6"/>
      <c r="AA30" s="6"/>
      <c r="AB30" s="6"/>
      <c r="AC30" s="6"/>
      <c r="AD30" s="6"/>
      <c r="AE30" s="6"/>
      <c r="AF30" s="6"/>
    </row>
    <row r="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3">
        <v>2025.0</v>
      </c>
      <c r="S31" s="22">
        <v>701.7451000000001</v>
      </c>
      <c r="T31" s="22">
        <f t="shared" si="11"/>
        <v>361.9523158</v>
      </c>
      <c r="U31" s="12"/>
      <c r="V31" s="6"/>
      <c r="W31" s="24">
        <v>4.0</v>
      </c>
      <c r="X31" s="6"/>
      <c r="Y31" s="6"/>
      <c r="Z31" s="6"/>
      <c r="AA31" s="6"/>
      <c r="AB31" s="6"/>
      <c r="AC31" s="6"/>
      <c r="AD31" s="6"/>
      <c r="AE31" s="6"/>
      <c r="AF31" s="6"/>
    </row>
    <row r="3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3">
        <v>2026.0</v>
      </c>
      <c r="S32" s="22">
        <v>761.9196100000003</v>
      </c>
      <c r="T32" s="22">
        <f t="shared" si="11"/>
        <v>333.0420836</v>
      </c>
      <c r="U32" s="12"/>
      <c r="V32" s="6"/>
      <c r="W32" s="24">
        <v>5.0</v>
      </c>
      <c r="X32" s="6"/>
      <c r="Y32" s="6"/>
      <c r="Z32" s="6"/>
      <c r="AA32" s="6"/>
      <c r="AB32" s="6"/>
      <c r="AC32" s="6"/>
      <c r="AD32" s="6"/>
      <c r="AE32" s="6"/>
      <c r="AF32" s="6"/>
    </row>
    <row r="33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1" t="s">
        <v>14</v>
      </c>
      <c r="S33" s="12"/>
      <c r="T33" s="22">
        <v>2081.0</v>
      </c>
      <c r="U33" s="12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5" t="s">
        <v>15</v>
      </c>
      <c r="S34" s="26"/>
      <c r="T34" s="27">
        <f>sum(T27:T33)</f>
        <v>4406.511083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5" t="s">
        <v>16</v>
      </c>
      <c r="S35" s="26"/>
      <c r="T35" s="28">
        <f>T34/56</f>
        <v>78.68769791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2"/>
      <c r="U42" s="6"/>
      <c r="V42" s="29" t="s">
        <v>17</v>
      </c>
      <c r="AA42" s="29"/>
      <c r="AB42" s="29"/>
      <c r="AC42" s="29"/>
      <c r="AD42" s="29"/>
      <c r="AE42" s="29"/>
      <c r="AF42" s="29"/>
    </row>
    <row r="43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30" t="s">
        <v>18</v>
      </c>
      <c r="V43" s="19" t="s">
        <v>19</v>
      </c>
      <c r="W43" s="19" t="s">
        <v>20</v>
      </c>
      <c r="X43" s="19" t="s">
        <v>21</v>
      </c>
      <c r="Y43" s="19" t="s">
        <v>22</v>
      </c>
      <c r="Z43" s="19" t="s">
        <v>23</v>
      </c>
      <c r="AA43" s="19"/>
      <c r="AB43" s="19"/>
      <c r="AC43" s="19"/>
      <c r="AD43" s="19"/>
      <c r="AE43" s="19"/>
      <c r="AF43" s="19"/>
    </row>
    <row r="44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31" t="s">
        <v>24</v>
      </c>
      <c r="U44" s="32">
        <v>7.62</v>
      </c>
      <c r="V44" s="33">
        <f t="shared" ref="V44:V46" si="12">U44*1</f>
        <v>7.62</v>
      </c>
      <c r="W44" s="34">
        <f t="shared" ref="W44:W46" si="13">U44*3</f>
        <v>22.86</v>
      </c>
      <c r="X44" s="34">
        <f t="shared" ref="X44:X46" si="14">U44*5</f>
        <v>38.1</v>
      </c>
      <c r="Y44" s="34">
        <f t="shared" ref="Y44:Y46" si="15">U44*10</f>
        <v>76.2</v>
      </c>
      <c r="Z44" s="34">
        <f t="shared" ref="Z44:Z46" si="16">U44*15</f>
        <v>114.3</v>
      </c>
      <c r="AA44" s="35"/>
      <c r="AB44" s="35"/>
      <c r="AC44" s="35"/>
      <c r="AD44" s="35"/>
      <c r="AE44" s="35"/>
      <c r="AF44" s="35"/>
    </row>
    <row r="4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1" t="s">
        <v>25</v>
      </c>
      <c r="U45" s="32">
        <v>10.88</v>
      </c>
      <c r="V45" s="34">
        <f t="shared" si="12"/>
        <v>10.88</v>
      </c>
      <c r="W45" s="33">
        <f t="shared" si="13"/>
        <v>32.64</v>
      </c>
      <c r="X45" s="33">
        <f t="shared" si="14"/>
        <v>54.4</v>
      </c>
      <c r="Y45" s="33">
        <f t="shared" si="15"/>
        <v>108.8</v>
      </c>
      <c r="Z45" s="34">
        <f t="shared" si="16"/>
        <v>163.2</v>
      </c>
      <c r="AA45" s="35"/>
      <c r="AB45" s="35"/>
      <c r="AC45" s="35"/>
      <c r="AD45" s="35"/>
      <c r="AE45" s="35"/>
      <c r="AF45" s="35"/>
    </row>
    <row r="46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1" t="s">
        <v>26</v>
      </c>
      <c r="U46" s="32">
        <v>11.97</v>
      </c>
      <c r="V46" s="34">
        <f t="shared" si="12"/>
        <v>11.97</v>
      </c>
      <c r="W46" s="34">
        <f t="shared" si="13"/>
        <v>35.91</v>
      </c>
      <c r="X46" s="34">
        <f t="shared" si="14"/>
        <v>59.85</v>
      </c>
      <c r="Y46" s="34">
        <f t="shared" si="15"/>
        <v>119.7</v>
      </c>
      <c r="Z46" s="33">
        <f t="shared" si="16"/>
        <v>179.55</v>
      </c>
      <c r="AA46" s="35"/>
      <c r="AB46" s="35"/>
      <c r="AC46" s="35"/>
      <c r="AD46" s="35"/>
      <c r="AE46" s="35"/>
      <c r="AF46" s="35"/>
    </row>
    <row r="47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6" t="s">
        <v>27</v>
      </c>
      <c r="U47" s="37"/>
      <c r="V47" s="38">
        <f>(V44-29)/29</f>
        <v>-0.7372413793</v>
      </c>
      <c r="W47" s="38">
        <f t="shared" ref="W47:Y47" si="17">(W45-29)/29</f>
        <v>0.1255172414</v>
      </c>
      <c r="X47" s="38">
        <f t="shared" si="17"/>
        <v>0.875862069</v>
      </c>
      <c r="Y47" s="38">
        <f t="shared" si="17"/>
        <v>2.751724138</v>
      </c>
      <c r="Z47" s="38">
        <f>(Z46-29)/29</f>
        <v>5.19137931</v>
      </c>
      <c r="AA47" s="39"/>
      <c r="AB47" s="39"/>
      <c r="AC47" s="39"/>
      <c r="AD47" s="39"/>
      <c r="AE47" s="39"/>
      <c r="AF47" s="39"/>
    </row>
    <row r="48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36" t="s">
        <v>28</v>
      </c>
      <c r="U48" s="37"/>
      <c r="V48" s="40">
        <f t="shared" ref="V48:Z48" si="18">(V47+1)^0.2-1</f>
        <v>-0.2345595751</v>
      </c>
      <c r="W48" s="40">
        <f t="shared" si="18"/>
        <v>0.02393038409</v>
      </c>
      <c r="X48" s="40">
        <f t="shared" si="18"/>
        <v>0.1340708313</v>
      </c>
      <c r="Y48" s="40">
        <f t="shared" si="18"/>
        <v>0.3027052983</v>
      </c>
      <c r="Z48" s="40">
        <f t="shared" si="18"/>
        <v>0.439983389</v>
      </c>
      <c r="AA48" s="41"/>
      <c r="AB48" s="41"/>
      <c r="AC48" s="41"/>
      <c r="AD48" s="41"/>
      <c r="AE48" s="41"/>
      <c r="AF48" s="41"/>
    </row>
    <row r="49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6" t="s">
        <v>29</v>
      </c>
      <c r="U49" s="37"/>
      <c r="V49" s="38">
        <v>0.1</v>
      </c>
      <c r="W49" s="38">
        <v>0.2</v>
      </c>
      <c r="X49" s="38">
        <v>0.4</v>
      </c>
      <c r="Y49" s="38">
        <v>0.2</v>
      </c>
      <c r="Z49" s="38">
        <v>0.1</v>
      </c>
      <c r="AA49" s="39"/>
      <c r="AB49" s="39"/>
      <c r="AC49" s="39"/>
      <c r="AD49" s="39"/>
      <c r="AE49" s="39"/>
      <c r="AF49" s="39"/>
    </row>
    <row r="50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5" t="s">
        <v>30</v>
      </c>
      <c r="U50" s="42">
        <f>sum(V50:Z50)</f>
        <v>0.1394978504</v>
      </c>
      <c r="V50" s="43">
        <f t="shared" ref="V50:Z50" si="19">V49*V48</f>
        <v>-0.02345595751</v>
      </c>
      <c r="W50" s="43">
        <f t="shared" si="19"/>
        <v>0.004786076819</v>
      </c>
      <c r="X50" s="43">
        <f t="shared" si="19"/>
        <v>0.0536283325</v>
      </c>
      <c r="Y50" s="43">
        <f t="shared" si="19"/>
        <v>0.06054105966</v>
      </c>
      <c r="Z50" s="43">
        <f t="shared" si="19"/>
        <v>0.0439983389</v>
      </c>
      <c r="AA50" s="6"/>
      <c r="AB50" s="6"/>
      <c r="AC50" s="6"/>
      <c r="AD50" s="6"/>
      <c r="AE50" s="6"/>
      <c r="AF50" s="6"/>
    </row>
    <row r="5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2"/>
      <c r="AA57" s="6"/>
    </row>
    <row r="58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AB58" s="19"/>
      <c r="AC58" s="19"/>
      <c r="AD58" s="19"/>
      <c r="AE58" s="19"/>
      <c r="AF58" s="19"/>
    </row>
    <row r="59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31"/>
      <c r="AA59" s="44"/>
      <c r="AB59" s="45"/>
      <c r="AC59" s="35"/>
      <c r="AD59" s="35"/>
      <c r="AE59" s="35"/>
      <c r="AF59" s="35"/>
    </row>
    <row r="60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31"/>
      <c r="AA60" s="44"/>
      <c r="AB60" s="35"/>
      <c r="AC60" s="45"/>
      <c r="AD60" s="45"/>
      <c r="AE60" s="45"/>
      <c r="AF60" s="35"/>
    </row>
    <row r="6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31"/>
      <c r="AA61" s="44"/>
      <c r="AB61" s="35"/>
      <c r="AC61" s="35"/>
      <c r="AD61" s="35"/>
      <c r="AE61" s="35"/>
      <c r="AF61" s="45"/>
    </row>
    <row r="6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36"/>
      <c r="AA62" s="37"/>
      <c r="AB62" s="39"/>
      <c r="AC62" s="39"/>
      <c r="AD62" s="39"/>
      <c r="AE62" s="39"/>
      <c r="AF62" s="39"/>
    </row>
    <row r="63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36"/>
      <c r="AA63" s="37"/>
      <c r="AB63" s="41"/>
      <c r="AC63" s="41"/>
      <c r="AD63" s="41"/>
      <c r="AE63" s="41"/>
      <c r="AF63" s="41"/>
    </row>
    <row r="64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36"/>
      <c r="AA64" s="37"/>
      <c r="AB64" s="39"/>
      <c r="AC64" s="39"/>
      <c r="AD64" s="39"/>
      <c r="AE64" s="39"/>
      <c r="AF64" s="39"/>
    </row>
    <row r="6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25"/>
      <c r="AA65" s="26"/>
      <c r="AB65" s="6"/>
      <c r="AC65" s="6"/>
      <c r="AD65" s="6"/>
      <c r="AE65" s="6"/>
      <c r="AF65" s="6"/>
    </row>
    <row r="66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</sheetData>
  <mergeCells count="4">
    <mergeCell ref="V42:Z42"/>
    <mergeCell ref="T43:U43"/>
    <mergeCell ref="AB57:AF57"/>
    <mergeCell ref="Z58:AA5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43"/>
  </cols>
  <sheetData>
    <row r="4">
      <c r="B4" s="1"/>
      <c r="C4" s="2">
        <v>2015.0</v>
      </c>
      <c r="D4" s="2">
        <v>2016.0</v>
      </c>
      <c r="E4" s="2">
        <v>2017.0</v>
      </c>
      <c r="F4" s="2">
        <v>2018.0</v>
      </c>
      <c r="G4" s="2">
        <v>2019.0</v>
      </c>
      <c r="H4" s="2">
        <v>2020.0</v>
      </c>
      <c r="I4" s="46" t="s">
        <v>31</v>
      </c>
      <c r="J4" s="4">
        <v>2021.0</v>
      </c>
      <c r="K4" s="5">
        <v>2022.0</v>
      </c>
      <c r="L4" s="4">
        <v>2023.0</v>
      </c>
      <c r="M4" s="5">
        <v>2024.0</v>
      </c>
      <c r="N4" s="4">
        <v>2025.0</v>
      </c>
      <c r="O4" s="4">
        <v>2026.0</v>
      </c>
    </row>
    <row r="5">
      <c r="B5" s="3" t="s">
        <v>1</v>
      </c>
      <c r="C5" s="9">
        <v>8185.0</v>
      </c>
      <c r="D5" s="9">
        <v>8470.0</v>
      </c>
      <c r="E5" s="9">
        <v>9274.0</v>
      </c>
      <c r="F5" s="9">
        <v>10227.0</v>
      </c>
      <c r="G5" s="9">
        <v>22307.0</v>
      </c>
      <c r="H5" s="9">
        <v>26514.0</v>
      </c>
      <c r="I5" s="47">
        <v>27918.0</v>
      </c>
      <c r="J5" s="10">
        <v>27400.0</v>
      </c>
      <c r="K5" s="11">
        <f t="shared" ref="K5:O5" si="1">1.1*J5</f>
        <v>30140</v>
      </c>
      <c r="L5" s="11">
        <f t="shared" si="1"/>
        <v>33154</v>
      </c>
      <c r="M5" s="11">
        <f t="shared" si="1"/>
        <v>36469.4</v>
      </c>
      <c r="N5" s="11">
        <f t="shared" si="1"/>
        <v>40116.34</v>
      </c>
      <c r="O5" s="11">
        <f t="shared" si="1"/>
        <v>44127.974</v>
      </c>
    </row>
    <row r="6">
      <c r="B6" s="3" t="s">
        <v>2</v>
      </c>
      <c r="C6" s="9">
        <v>139.0</v>
      </c>
      <c r="D6" s="9">
        <v>126.0</v>
      </c>
      <c r="E6" s="9">
        <v>130.0</v>
      </c>
      <c r="F6" s="9">
        <v>163.0</v>
      </c>
      <c r="G6" s="9">
        <v>-286.0</v>
      </c>
      <c r="H6" s="9">
        <v>-254.0</v>
      </c>
      <c r="I6" s="47">
        <v>198.0</v>
      </c>
      <c r="J6" s="10">
        <v>184.0</v>
      </c>
      <c r="K6" s="11">
        <v>300.0</v>
      </c>
      <c r="L6" s="11">
        <f t="shared" ref="L6:O6" si="2">1.5/100*L5</f>
        <v>497.31</v>
      </c>
      <c r="M6" s="11">
        <f t="shared" si="2"/>
        <v>547.041</v>
      </c>
      <c r="N6" s="11">
        <f t="shared" si="2"/>
        <v>601.7451</v>
      </c>
      <c r="O6" s="11">
        <f t="shared" si="2"/>
        <v>661.91961</v>
      </c>
    </row>
    <row r="7">
      <c r="B7" s="3" t="s">
        <v>3</v>
      </c>
      <c r="C7" s="9">
        <v>64.0</v>
      </c>
      <c r="D7" s="9">
        <v>71.0</v>
      </c>
      <c r="E7" s="9">
        <v>86.0</v>
      </c>
      <c r="F7" s="9">
        <v>88.0</v>
      </c>
      <c r="G7" s="9">
        <v>248.0</v>
      </c>
      <c r="H7" s="9">
        <v>282.0</v>
      </c>
      <c r="I7" s="47">
        <v>288.0</v>
      </c>
      <c r="J7" s="10">
        <v>300.0</v>
      </c>
      <c r="K7" s="10">
        <v>300.0</v>
      </c>
      <c r="L7" s="10">
        <v>300.0</v>
      </c>
      <c r="M7" s="10">
        <v>300.0</v>
      </c>
      <c r="N7" s="10">
        <v>300.0</v>
      </c>
      <c r="O7" s="10">
        <v>300.0</v>
      </c>
    </row>
    <row r="8">
      <c r="B8" s="3" t="s">
        <v>4</v>
      </c>
      <c r="C8" s="9">
        <v>-129.0</v>
      </c>
      <c r="D8" s="9">
        <v>-41.0</v>
      </c>
      <c r="E8" s="9">
        <v>-56.0</v>
      </c>
      <c r="F8" s="9">
        <v>-45.0</v>
      </c>
      <c r="G8" s="9">
        <v>-228.0</v>
      </c>
      <c r="H8" s="9">
        <v>-173.0</v>
      </c>
      <c r="I8" s="47">
        <v>-187.0</v>
      </c>
      <c r="J8" s="10">
        <v>-200.0</v>
      </c>
      <c r="K8" s="10">
        <v>-200.0</v>
      </c>
      <c r="L8" s="10">
        <v>-200.0</v>
      </c>
      <c r="M8" s="10">
        <v>-200.0</v>
      </c>
      <c r="N8" s="10">
        <v>-200.0</v>
      </c>
      <c r="O8" s="10">
        <v>-200.0</v>
      </c>
    </row>
    <row r="9">
      <c r="B9" s="3" t="s">
        <v>5</v>
      </c>
      <c r="C9" s="9">
        <v>0.0</v>
      </c>
      <c r="D9" s="9">
        <v>0.0</v>
      </c>
      <c r="E9" s="9">
        <v>0.0</v>
      </c>
      <c r="F9" s="9">
        <v>11.0</v>
      </c>
      <c r="G9" s="9">
        <v>293.0</v>
      </c>
      <c r="H9" s="9">
        <v>425.0</v>
      </c>
      <c r="I9" s="9">
        <v>0.0</v>
      </c>
      <c r="J9" s="10">
        <v>0.0</v>
      </c>
      <c r="K9" s="10">
        <v>0.0</v>
      </c>
      <c r="L9" s="10">
        <v>0.0</v>
      </c>
      <c r="M9" s="10">
        <v>0.0</v>
      </c>
      <c r="N9" s="10">
        <v>0.0</v>
      </c>
      <c r="O9" s="10">
        <v>0.0</v>
      </c>
    </row>
    <row r="10">
      <c r="B10" s="16" t="s">
        <v>6</v>
      </c>
      <c r="C10" s="17">
        <f t="shared" ref="C10:F10" si="3">C6+C7+C8+C9</f>
        <v>74</v>
      </c>
      <c r="D10" s="17">
        <f t="shared" si="3"/>
        <v>156</v>
      </c>
      <c r="E10" s="17">
        <f t="shared" si="3"/>
        <v>160</v>
      </c>
      <c r="F10" s="17">
        <f t="shared" si="3"/>
        <v>217</v>
      </c>
      <c r="G10" s="17">
        <f t="shared" ref="G10:O10" si="4">G6+G7+G8+G9+G12</f>
        <v>73</v>
      </c>
      <c r="H10" s="17">
        <f t="shared" si="4"/>
        <v>382</v>
      </c>
      <c r="I10" s="17">
        <f t="shared" si="4"/>
        <v>403</v>
      </c>
      <c r="J10" s="17">
        <f t="shared" si="4"/>
        <v>384</v>
      </c>
      <c r="K10" s="17">
        <f t="shared" si="4"/>
        <v>500</v>
      </c>
      <c r="L10" s="17">
        <f t="shared" si="4"/>
        <v>597.31</v>
      </c>
      <c r="M10" s="17">
        <f t="shared" si="4"/>
        <v>647.041</v>
      </c>
      <c r="N10" s="17">
        <f t="shared" si="4"/>
        <v>701.7451</v>
      </c>
      <c r="O10" s="17">
        <f t="shared" si="4"/>
        <v>761.91961</v>
      </c>
    </row>
    <row r="11">
      <c r="B11" s="18" t="s">
        <v>7</v>
      </c>
      <c r="C11" s="9">
        <v>-80.0</v>
      </c>
      <c r="D11" s="9">
        <v>255.0</v>
      </c>
      <c r="E11" s="9">
        <v>217.0</v>
      </c>
      <c r="F11" s="9">
        <v>64.0</v>
      </c>
      <c r="G11" s="9">
        <v>56.0</v>
      </c>
      <c r="H11" s="9">
        <v>284.0</v>
      </c>
      <c r="I11" s="47">
        <v>-33.0</v>
      </c>
      <c r="J11" s="10">
        <f t="shared" ref="J11:K11" si="5">J6+J7+J8+J9</f>
        <v>284</v>
      </c>
      <c r="K11" s="10">
        <f t="shared" si="5"/>
        <v>400</v>
      </c>
      <c r="L11" s="10">
        <f t="shared" ref="L11:O11" si="6">L6+L7+L8+L9+L12</f>
        <v>597.31</v>
      </c>
      <c r="M11" s="10">
        <f t="shared" si="6"/>
        <v>647.041</v>
      </c>
      <c r="N11" s="10">
        <f t="shared" si="6"/>
        <v>701.7451</v>
      </c>
      <c r="O11" s="10">
        <f t="shared" si="6"/>
        <v>761.91961</v>
      </c>
    </row>
    <row r="12">
      <c r="B12" s="18" t="s">
        <v>8</v>
      </c>
      <c r="C12" s="9">
        <v>0.0</v>
      </c>
      <c r="D12" s="9">
        <v>8.0</v>
      </c>
      <c r="E12" s="9">
        <v>3.0</v>
      </c>
      <c r="F12" s="9">
        <v>-7.0</v>
      </c>
      <c r="G12" s="9">
        <v>46.0</v>
      </c>
      <c r="H12" s="9">
        <v>102.0</v>
      </c>
      <c r="I12" s="9">
        <v>104.0</v>
      </c>
      <c r="J12" s="10">
        <v>100.0</v>
      </c>
      <c r="K12" s="11">
        <v>100.0</v>
      </c>
      <c r="L12" s="11">
        <v>0.0</v>
      </c>
      <c r="M12" s="11">
        <v>0.0</v>
      </c>
      <c r="N12" s="11">
        <v>0.0</v>
      </c>
      <c r="O12" s="11">
        <v>0.0</v>
      </c>
    </row>
    <row r="13">
      <c r="B13" s="18" t="s">
        <v>9</v>
      </c>
      <c r="C13" s="9">
        <v>93.0</v>
      </c>
      <c r="D13" s="9">
        <v>58.0</v>
      </c>
      <c r="E13" s="9">
        <v>-215.0</v>
      </c>
      <c r="F13" s="9">
        <v>-26.0</v>
      </c>
      <c r="G13" s="9">
        <v>2039.0</v>
      </c>
      <c r="H13" s="9">
        <v>-462.0</v>
      </c>
      <c r="I13" s="47">
        <v>-117.0</v>
      </c>
      <c r="J13" s="10">
        <v>-384.0</v>
      </c>
      <c r="K13" s="11">
        <v>-500.0</v>
      </c>
      <c r="L13" s="11">
        <v>-597.0</v>
      </c>
      <c r="M13" s="11">
        <v>-647.0</v>
      </c>
      <c r="N13" s="11">
        <v>-160.0</v>
      </c>
      <c r="O13" s="11">
        <v>-160.0</v>
      </c>
    </row>
    <row r="14">
      <c r="B14" s="18" t="s">
        <v>10</v>
      </c>
      <c r="C14" s="9">
        <v>-14.0</v>
      </c>
      <c r="D14" s="9">
        <v>-15.0</v>
      </c>
      <c r="E14" s="9">
        <v>-17.0</v>
      </c>
      <c r="F14" s="9">
        <v>-16.0</v>
      </c>
      <c r="G14" s="9">
        <v>-181.0</v>
      </c>
      <c r="H14" s="9">
        <v>-192.0</v>
      </c>
      <c r="I14" s="47">
        <v>-205.0</v>
      </c>
      <c r="J14" s="48">
        <v>-137.0</v>
      </c>
      <c r="K14" s="49">
        <v>-118.0</v>
      </c>
      <c r="L14" s="49">
        <v>-118.0</v>
      </c>
      <c r="M14" s="49">
        <v>-93.0</v>
      </c>
      <c r="N14" s="49">
        <v>-100.0</v>
      </c>
      <c r="O14" s="49">
        <v>-18.0</v>
      </c>
    </row>
    <row r="15">
      <c r="B15" s="50" t="s">
        <v>32</v>
      </c>
      <c r="C15" s="9"/>
      <c r="D15" s="9"/>
      <c r="E15" s="9"/>
      <c r="F15" s="9"/>
      <c r="G15" s="9"/>
      <c r="H15" s="9"/>
      <c r="I15" s="9"/>
      <c r="J15" s="10">
        <v>72.0</v>
      </c>
      <c r="K15" s="11">
        <v>13.5</v>
      </c>
      <c r="L15" s="11">
        <v>14.2</v>
      </c>
      <c r="M15" s="11">
        <v>757.0</v>
      </c>
      <c r="N15" s="11">
        <v>18.0</v>
      </c>
      <c r="O15" s="11">
        <v>1683.0</v>
      </c>
    </row>
    <row r="16">
      <c r="B16" s="19" t="s">
        <v>12</v>
      </c>
      <c r="C16" s="9">
        <v>536.0</v>
      </c>
      <c r="D16" s="9">
        <v>588.0</v>
      </c>
      <c r="E16" s="9">
        <v>373.0</v>
      </c>
      <c r="F16" s="9">
        <v>309.0</v>
      </c>
      <c r="G16" s="9">
        <v>2819.0</v>
      </c>
      <c r="H16" s="9">
        <v>2427.0</v>
      </c>
      <c r="I16" s="47">
        <v>2374.0</v>
      </c>
      <c r="J16" s="10">
        <f t="shared" ref="J16:O16" si="7">I16+J13</f>
        <v>1990</v>
      </c>
      <c r="K16" s="10">
        <f t="shared" si="7"/>
        <v>1490</v>
      </c>
      <c r="L16" s="10">
        <f t="shared" si="7"/>
        <v>893</v>
      </c>
      <c r="M16" s="10">
        <f t="shared" si="7"/>
        <v>246</v>
      </c>
      <c r="N16" s="10">
        <f t="shared" si="7"/>
        <v>86</v>
      </c>
      <c r="O16" s="10">
        <f t="shared" si="7"/>
        <v>-74</v>
      </c>
    </row>
    <row r="17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>
      <c r="B18" s="6"/>
      <c r="C18" s="20">
        <f t="shared" ref="C18:O18" si="8">C14/C16</f>
        <v>-0.02611940299</v>
      </c>
      <c r="D18" s="20">
        <f t="shared" si="8"/>
        <v>-0.02551020408</v>
      </c>
      <c r="E18" s="20">
        <f t="shared" si="8"/>
        <v>-0.04557640751</v>
      </c>
      <c r="F18" s="20">
        <f t="shared" si="8"/>
        <v>-0.05177993528</v>
      </c>
      <c r="G18" s="20">
        <f t="shared" si="8"/>
        <v>-0.06420716566</v>
      </c>
      <c r="H18" s="20">
        <f t="shared" si="8"/>
        <v>-0.07911001236</v>
      </c>
      <c r="I18" s="20">
        <f t="shared" si="8"/>
        <v>-0.08635214827</v>
      </c>
      <c r="J18" s="20">
        <f t="shared" si="8"/>
        <v>-0.06884422111</v>
      </c>
      <c r="K18" s="20">
        <f t="shared" si="8"/>
        <v>-0.07919463087</v>
      </c>
      <c r="L18" s="20">
        <f t="shared" si="8"/>
        <v>-0.1321388578</v>
      </c>
      <c r="M18" s="20">
        <f t="shared" si="8"/>
        <v>-0.3780487805</v>
      </c>
      <c r="N18" s="20">
        <f t="shared" si="8"/>
        <v>-1.162790698</v>
      </c>
      <c r="O18" s="20">
        <f t="shared" si="8"/>
        <v>0.2432432432</v>
      </c>
    </row>
    <row r="19">
      <c r="R19" s="1"/>
      <c r="S19" s="21" t="s">
        <v>6</v>
      </c>
      <c r="T19" s="21" t="s">
        <v>13</v>
      </c>
      <c r="U19" s="6"/>
      <c r="V19" s="6"/>
      <c r="W19" s="6"/>
    </row>
    <row r="20">
      <c r="R20" s="21" t="s">
        <v>0</v>
      </c>
      <c r="S20" s="51">
        <v>403.0</v>
      </c>
      <c r="T20" s="12"/>
      <c r="U20" s="12"/>
      <c r="V20" s="6"/>
      <c r="W20" s="6"/>
    </row>
    <row r="21">
      <c r="R21" s="23">
        <v>2021.0</v>
      </c>
      <c r="S21" s="22">
        <v>384.0</v>
      </c>
      <c r="T21" s="22">
        <v>384.0</v>
      </c>
      <c r="U21" s="12"/>
      <c r="V21" s="6"/>
      <c r="W21" s="6"/>
    </row>
    <row r="22">
      <c r="R22" s="23">
        <v>2022.0</v>
      </c>
      <c r="S22" s="22">
        <v>500.0</v>
      </c>
      <c r="T22" s="22">
        <f t="shared" ref="T22:T26" si="9">S22/(1.17^W22)</f>
        <v>427.3504274</v>
      </c>
      <c r="U22" s="12"/>
      <c r="V22" s="6"/>
      <c r="W22" s="24">
        <v>1.0</v>
      </c>
    </row>
    <row r="23">
      <c r="R23" s="23">
        <v>2023.0</v>
      </c>
      <c r="S23" s="22">
        <v>597.3100000000002</v>
      </c>
      <c r="T23" s="22">
        <f t="shared" si="9"/>
        <v>436.3430492</v>
      </c>
      <c r="U23" s="12"/>
      <c r="V23" s="6"/>
      <c r="W23" s="24">
        <v>2.0</v>
      </c>
    </row>
    <row r="24">
      <c r="R24" s="23">
        <v>2024.0</v>
      </c>
      <c r="S24" s="22">
        <v>647.0410000000002</v>
      </c>
      <c r="T24" s="22">
        <f t="shared" si="9"/>
        <v>403.9933492</v>
      </c>
      <c r="U24" s="12"/>
      <c r="V24" s="6"/>
      <c r="W24" s="24">
        <v>3.0</v>
      </c>
    </row>
    <row r="25">
      <c r="R25" s="23">
        <v>2025.0</v>
      </c>
      <c r="S25" s="22">
        <v>701.7451000000001</v>
      </c>
      <c r="T25" s="22">
        <f t="shared" si="9"/>
        <v>374.4863065</v>
      </c>
      <c r="U25" s="12"/>
      <c r="V25" s="6"/>
      <c r="W25" s="24">
        <v>4.0</v>
      </c>
    </row>
    <row r="26">
      <c r="R26" s="23">
        <v>2026.0</v>
      </c>
      <c r="S26" s="22">
        <v>761.9196100000003</v>
      </c>
      <c r="T26" s="22">
        <f t="shared" si="9"/>
        <v>347.5200313</v>
      </c>
      <c r="U26" s="12"/>
      <c r="V26" s="6"/>
      <c r="W26" s="24">
        <v>5.0</v>
      </c>
    </row>
    <row r="27">
      <c r="R27" s="21" t="s">
        <v>14</v>
      </c>
      <c r="S27" s="12"/>
      <c r="T27" s="51">
        <v>2320.0</v>
      </c>
      <c r="U27" s="12"/>
      <c r="V27" s="6"/>
      <c r="W27" s="6"/>
    </row>
    <row r="28">
      <c r="R28" s="25" t="s">
        <v>15</v>
      </c>
      <c r="S28" s="26"/>
      <c r="T28" s="27">
        <f>sum(T21:T27)</f>
        <v>4693.693163</v>
      </c>
      <c r="U28" s="6"/>
      <c r="V28" s="6"/>
      <c r="W28" s="6"/>
    </row>
    <row r="29">
      <c r="R29" s="25" t="s">
        <v>16</v>
      </c>
      <c r="S29" s="26"/>
      <c r="T29" s="28">
        <f>T28/60</f>
        <v>78.22821939</v>
      </c>
      <c r="U29" s="6"/>
      <c r="V29" s="6"/>
      <c r="W29" s="6"/>
    </row>
    <row r="36">
      <c r="R36" s="12"/>
      <c r="S36" s="6"/>
      <c r="T36" s="29" t="s">
        <v>17</v>
      </c>
    </row>
    <row r="37">
      <c r="R37" s="30" t="s">
        <v>18</v>
      </c>
      <c r="T37" s="19" t="s">
        <v>19</v>
      </c>
      <c r="U37" s="19" t="s">
        <v>20</v>
      </c>
      <c r="V37" s="19" t="s">
        <v>21</v>
      </c>
      <c r="W37" s="19" t="s">
        <v>22</v>
      </c>
      <c r="X37" s="19" t="s">
        <v>23</v>
      </c>
    </row>
    <row r="38">
      <c r="R38" s="31" t="s">
        <v>24</v>
      </c>
      <c r="S38" s="52">
        <v>9.79</v>
      </c>
      <c r="T38" s="33">
        <f t="shared" ref="T38:T40" si="10">S38*1</f>
        <v>9.79</v>
      </c>
      <c r="U38" s="34">
        <f t="shared" ref="U38:U40" si="11">S38*3</f>
        <v>29.37</v>
      </c>
      <c r="V38" s="34">
        <f t="shared" ref="V38:V40" si="12">S38*5</f>
        <v>48.95</v>
      </c>
      <c r="W38" s="34">
        <f t="shared" ref="W38:W40" si="13">S38*10</f>
        <v>97.9</v>
      </c>
      <c r="X38" s="34">
        <f t="shared" ref="X38:X40" si="14">S38*15</f>
        <v>146.85</v>
      </c>
    </row>
    <row r="39">
      <c r="R39" s="31" t="s">
        <v>25</v>
      </c>
      <c r="S39" s="32">
        <v>10.88</v>
      </c>
      <c r="T39" s="34">
        <f t="shared" si="10"/>
        <v>10.88</v>
      </c>
      <c r="U39" s="33">
        <f t="shared" si="11"/>
        <v>32.64</v>
      </c>
      <c r="V39" s="33">
        <f t="shared" si="12"/>
        <v>54.4</v>
      </c>
      <c r="W39" s="33">
        <f t="shared" si="13"/>
        <v>108.8</v>
      </c>
      <c r="X39" s="34">
        <f t="shared" si="14"/>
        <v>163.2</v>
      </c>
    </row>
    <row r="40">
      <c r="R40" s="31" t="s">
        <v>26</v>
      </c>
      <c r="S40" s="32">
        <v>11.97</v>
      </c>
      <c r="T40" s="34">
        <f t="shared" si="10"/>
        <v>11.97</v>
      </c>
      <c r="U40" s="34">
        <f t="shared" si="11"/>
        <v>35.91</v>
      </c>
      <c r="V40" s="34">
        <f t="shared" si="12"/>
        <v>59.85</v>
      </c>
      <c r="W40" s="34">
        <f t="shared" si="13"/>
        <v>119.7</v>
      </c>
      <c r="X40" s="33">
        <f t="shared" si="14"/>
        <v>179.55</v>
      </c>
    </row>
    <row r="41">
      <c r="R41" s="36" t="s">
        <v>27</v>
      </c>
      <c r="S41" s="37"/>
      <c r="T41" s="38">
        <f>(T38-36)/36</f>
        <v>-0.7280555556</v>
      </c>
      <c r="U41" s="38">
        <f t="shared" ref="U41:W41" si="15">(U39-36)/36</f>
        <v>-0.09333333333</v>
      </c>
      <c r="V41" s="38">
        <f t="shared" si="15"/>
        <v>0.5111111111</v>
      </c>
      <c r="W41" s="38">
        <f t="shared" si="15"/>
        <v>2.022222222</v>
      </c>
      <c r="X41" s="38">
        <f>(X40-36)/36</f>
        <v>3.9875</v>
      </c>
    </row>
    <row r="42">
      <c r="R42" s="36" t="s">
        <v>28</v>
      </c>
      <c r="S42" s="37"/>
      <c r="T42" s="40">
        <f t="shared" ref="T42:X42" si="16">(T41+1)^0.2-1</f>
        <v>-0.2292810484</v>
      </c>
      <c r="U42" s="40">
        <f t="shared" si="16"/>
        <v>-0.01940532651</v>
      </c>
      <c r="V42" s="40">
        <f t="shared" si="16"/>
        <v>0.08607365672</v>
      </c>
      <c r="W42" s="40">
        <f t="shared" si="16"/>
        <v>0.2475710229</v>
      </c>
      <c r="X42" s="40">
        <f t="shared" si="16"/>
        <v>0.3790391057</v>
      </c>
    </row>
    <row r="43">
      <c r="R43" s="36" t="s">
        <v>29</v>
      </c>
      <c r="S43" s="37"/>
      <c r="T43" s="53">
        <v>0.05</v>
      </c>
      <c r="U43" s="53">
        <v>0.15</v>
      </c>
      <c r="V43" s="38">
        <v>0.4</v>
      </c>
      <c r="W43" s="53">
        <v>0.25</v>
      </c>
      <c r="X43" s="53">
        <v>0.15</v>
      </c>
    </row>
    <row r="44">
      <c r="R44" s="25" t="s">
        <v>30</v>
      </c>
      <c r="S44" s="42">
        <f>sum(T44:X44)</f>
        <v>0.1388032329</v>
      </c>
      <c r="T44" s="43">
        <f t="shared" ref="T44:X44" si="17">T43*T42</f>
        <v>-0.01146405242</v>
      </c>
      <c r="U44" s="43">
        <f t="shared" si="17"/>
        <v>-0.002910798977</v>
      </c>
      <c r="V44" s="43">
        <f t="shared" si="17"/>
        <v>0.03442946269</v>
      </c>
      <c r="W44" s="43">
        <f t="shared" si="17"/>
        <v>0.06189275572</v>
      </c>
      <c r="X44" s="43">
        <f t="shared" si="17"/>
        <v>0.05685586586</v>
      </c>
    </row>
  </sheetData>
  <mergeCells count="2">
    <mergeCell ref="T36:X36"/>
    <mergeCell ref="R37:S3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0.43"/>
  </cols>
  <sheetData>
    <row r="4">
      <c r="B4" s="1"/>
      <c r="C4" s="2">
        <v>2015.0</v>
      </c>
      <c r="D4" s="2">
        <v>2016.0</v>
      </c>
      <c r="E4" s="2">
        <v>2017.0</v>
      </c>
      <c r="F4" s="2">
        <v>2018.0</v>
      </c>
      <c r="G4" s="2">
        <v>2019.0</v>
      </c>
      <c r="H4" s="2">
        <v>2020.0</v>
      </c>
      <c r="I4" s="46" t="s">
        <v>33</v>
      </c>
      <c r="J4" s="4">
        <v>2021.0</v>
      </c>
      <c r="K4" s="5">
        <v>2022.0</v>
      </c>
      <c r="L4" s="4">
        <v>2023.0</v>
      </c>
      <c r="M4" s="5">
        <v>2024.0</v>
      </c>
      <c r="N4" s="4">
        <v>2025.0</v>
      </c>
      <c r="O4" s="4">
        <v>2026.0</v>
      </c>
    </row>
    <row r="5">
      <c r="B5" s="3" t="s">
        <v>1</v>
      </c>
      <c r="C5" s="9">
        <v>8185.0</v>
      </c>
      <c r="D5" s="9">
        <v>8470.0</v>
      </c>
      <c r="E5" s="9">
        <v>9274.0</v>
      </c>
      <c r="F5" s="9">
        <v>10227.0</v>
      </c>
      <c r="G5" s="9">
        <v>22307.0</v>
      </c>
      <c r="H5" s="9">
        <v>26514.0</v>
      </c>
      <c r="I5" s="47">
        <v>27870.0</v>
      </c>
      <c r="J5" s="48">
        <v>27000.0</v>
      </c>
      <c r="K5" s="11">
        <f t="shared" ref="K5:O5" si="1">1.04*J5</f>
        <v>28080</v>
      </c>
      <c r="L5" s="11">
        <f t="shared" si="1"/>
        <v>29203.2</v>
      </c>
      <c r="M5" s="11">
        <f t="shared" si="1"/>
        <v>30371.328</v>
      </c>
      <c r="N5" s="11">
        <f t="shared" si="1"/>
        <v>31586.18112</v>
      </c>
      <c r="O5" s="11">
        <f t="shared" si="1"/>
        <v>32849.62836</v>
      </c>
    </row>
    <row r="6">
      <c r="B6" s="3" t="s">
        <v>2</v>
      </c>
      <c r="C6" s="9">
        <v>139.0</v>
      </c>
      <c r="D6" s="9">
        <v>126.0</v>
      </c>
      <c r="E6" s="9">
        <v>130.0</v>
      </c>
      <c r="F6" s="9">
        <v>163.0</v>
      </c>
      <c r="G6" s="9">
        <v>-286.0</v>
      </c>
      <c r="H6" s="9">
        <v>-254.0</v>
      </c>
      <c r="I6" s="47">
        <v>158.0</v>
      </c>
      <c r="J6" s="48">
        <v>200.0</v>
      </c>
      <c r="K6" s="11">
        <v>300.0</v>
      </c>
      <c r="L6" s="11">
        <f t="shared" ref="L6:O6" si="2">1.5/100*L5</f>
        <v>438.048</v>
      </c>
      <c r="M6" s="11">
        <f t="shared" si="2"/>
        <v>455.56992</v>
      </c>
      <c r="N6" s="11">
        <f t="shared" si="2"/>
        <v>473.7927168</v>
      </c>
      <c r="O6" s="11">
        <f t="shared" si="2"/>
        <v>492.7444255</v>
      </c>
    </row>
    <row r="7">
      <c r="B7" s="3" t="s">
        <v>3</v>
      </c>
      <c r="C7" s="9">
        <v>64.0</v>
      </c>
      <c r="D7" s="9">
        <v>71.0</v>
      </c>
      <c r="E7" s="9">
        <v>86.0</v>
      </c>
      <c r="F7" s="9">
        <v>88.0</v>
      </c>
      <c r="G7" s="9">
        <v>248.0</v>
      </c>
      <c r="H7" s="9">
        <v>282.0</v>
      </c>
      <c r="I7" s="47">
        <v>280.0</v>
      </c>
      <c r="J7" s="10">
        <v>300.0</v>
      </c>
      <c r="K7" s="10">
        <v>300.0</v>
      </c>
      <c r="L7" s="10">
        <v>300.0</v>
      </c>
      <c r="M7" s="10">
        <v>300.0</v>
      </c>
      <c r="N7" s="10">
        <v>300.0</v>
      </c>
      <c r="O7" s="10">
        <v>300.0</v>
      </c>
    </row>
    <row r="8">
      <c r="B8" s="3" t="s">
        <v>4</v>
      </c>
      <c r="C8" s="9">
        <v>-129.0</v>
      </c>
      <c r="D8" s="9">
        <v>-41.0</v>
      </c>
      <c r="E8" s="9">
        <v>-56.0</v>
      </c>
      <c r="F8" s="9">
        <v>-45.0</v>
      </c>
      <c r="G8" s="9">
        <v>-228.0</v>
      </c>
      <c r="H8" s="9">
        <v>-173.0</v>
      </c>
      <c r="I8" s="47">
        <v>-219.0</v>
      </c>
      <c r="J8" s="48">
        <v>-250.0</v>
      </c>
      <c r="K8" s="48">
        <v>-250.0</v>
      </c>
      <c r="L8" s="48">
        <v>-250.0</v>
      </c>
      <c r="M8" s="48">
        <v>-250.0</v>
      </c>
      <c r="N8" s="48">
        <v>-250.0</v>
      </c>
      <c r="O8" s="48">
        <v>-250.0</v>
      </c>
    </row>
    <row r="9">
      <c r="B9" s="3" t="s">
        <v>5</v>
      </c>
      <c r="C9" s="9">
        <v>0.0</v>
      </c>
      <c r="D9" s="9">
        <v>0.0</v>
      </c>
      <c r="E9" s="9">
        <v>0.0</v>
      </c>
      <c r="F9" s="9">
        <v>11.0</v>
      </c>
      <c r="G9" s="9">
        <v>293.0</v>
      </c>
      <c r="H9" s="9">
        <v>425.0</v>
      </c>
      <c r="I9" s="9">
        <v>0.0</v>
      </c>
      <c r="J9" s="10">
        <v>0.0</v>
      </c>
      <c r="K9" s="10">
        <v>0.0</v>
      </c>
      <c r="L9" s="10">
        <v>0.0</v>
      </c>
      <c r="M9" s="10">
        <v>0.0</v>
      </c>
      <c r="N9" s="10">
        <v>0.0</v>
      </c>
      <c r="O9" s="10">
        <v>0.0</v>
      </c>
    </row>
    <row r="10">
      <c r="B10" s="16" t="s">
        <v>6</v>
      </c>
      <c r="C10" s="17">
        <f t="shared" ref="C10:F10" si="3">C6+C7+C8+C9</f>
        <v>74</v>
      </c>
      <c r="D10" s="17">
        <f t="shared" si="3"/>
        <v>156</v>
      </c>
      <c r="E10" s="17">
        <f t="shared" si="3"/>
        <v>160</v>
      </c>
      <c r="F10" s="17">
        <f t="shared" si="3"/>
        <v>217</v>
      </c>
      <c r="G10" s="17">
        <f t="shared" ref="G10:O10" si="4">G6+G7+G8+G9+G12</f>
        <v>73</v>
      </c>
      <c r="H10" s="17">
        <f t="shared" si="4"/>
        <v>382</v>
      </c>
      <c r="I10" s="17">
        <f t="shared" si="4"/>
        <v>219</v>
      </c>
      <c r="J10" s="17">
        <f t="shared" si="4"/>
        <v>250</v>
      </c>
      <c r="K10" s="17">
        <f t="shared" si="4"/>
        <v>450</v>
      </c>
      <c r="L10" s="17">
        <f t="shared" si="4"/>
        <v>588.048</v>
      </c>
      <c r="M10" s="17">
        <f t="shared" si="4"/>
        <v>505.56992</v>
      </c>
      <c r="N10" s="17">
        <f t="shared" si="4"/>
        <v>523.7927168</v>
      </c>
      <c r="O10" s="17">
        <f t="shared" si="4"/>
        <v>542.7444255</v>
      </c>
    </row>
    <row r="11">
      <c r="B11" s="18" t="s">
        <v>7</v>
      </c>
      <c r="C11" s="9">
        <v>-80.0</v>
      </c>
      <c r="D11" s="9">
        <v>255.0</v>
      </c>
      <c r="E11" s="9">
        <v>217.0</v>
      </c>
      <c r="F11" s="9">
        <v>64.0</v>
      </c>
      <c r="G11" s="9">
        <v>56.0</v>
      </c>
      <c r="H11" s="9">
        <v>284.0</v>
      </c>
      <c r="I11" s="47">
        <v>117.0</v>
      </c>
      <c r="J11" s="10">
        <f t="shared" ref="J11:L11" si="5">J6+J7+J8+J9</f>
        <v>250</v>
      </c>
      <c r="K11" s="10">
        <f t="shared" si="5"/>
        <v>350</v>
      </c>
      <c r="L11" s="10">
        <f t="shared" si="5"/>
        <v>488.048</v>
      </c>
      <c r="M11" s="10">
        <f t="shared" ref="M11:O11" si="6">M6+M7+M8+M9+M12</f>
        <v>505.56992</v>
      </c>
      <c r="N11" s="10">
        <f t="shared" si="6"/>
        <v>523.7927168</v>
      </c>
      <c r="O11" s="10">
        <f t="shared" si="6"/>
        <v>542.7444255</v>
      </c>
    </row>
    <row r="12">
      <c r="B12" s="18" t="s">
        <v>8</v>
      </c>
      <c r="C12" s="9">
        <v>0.0</v>
      </c>
      <c r="D12" s="9">
        <v>8.0</v>
      </c>
      <c r="E12" s="9">
        <v>3.0</v>
      </c>
      <c r="F12" s="9">
        <v>-7.0</v>
      </c>
      <c r="G12" s="9">
        <v>46.0</v>
      </c>
      <c r="H12" s="9">
        <v>102.0</v>
      </c>
      <c r="I12" s="47">
        <v>0.0</v>
      </c>
      <c r="J12" s="48">
        <v>0.0</v>
      </c>
      <c r="K12" s="11">
        <v>100.0</v>
      </c>
      <c r="L12" s="54">
        <v>100.0</v>
      </c>
      <c r="M12" s="11">
        <v>0.0</v>
      </c>
      <c r="N12" s="11">
        <v>0.0</v>
      </c>
      <c r="O12" s="11">
        <v>0.0</v>
      </c>
    </row>
    <row r="13">
      <c r="B13" s="18" t="s">
        <v>9</v>
      </c>
      <c r="C13" s="9">
        <v>93.0</v>
      </c>
      <c r="D13" s="9">
        <v>58.0</v>
      </c>
      <c r="E13" s="9">
        <v>-215.0</v>
      </c>
      <c r="F13" s="9">
        <v>-26.0</v>
      </c>
      <c r="G13" s="9">
        <v>2039.0</v>
      </c>
      <c r="H13" s="9">
        <v>-462.0</v>
      </c>
      <c r="I13" s="47">
        <v>-298.0</v>
      </c>
      <c r="J13" s="48">
        <v>-250.0</v>
      </c>
      <c r="K13" s="11">
        <v>-500.0</v>
      </c>
      <c r="L13" s="11">
        <v>-597.0</v>
      </c>
      <c r="M13" s="11">
        <v>-647.0</v>
      </c>
      <c r="N13" s="11">
        <v>-160.0</v>
      </c>
      <c r="O13" s="11">
        <v>-160.0</v>
      </c>
    </row>
    <row r="14">
      <c r="B14" s="18" t="s">
        <v>10</v>
      </c>
      <c r="C14" s="9">
        <v>-14.0</v>
      </c>
      <c r="D14" s="9">
        <v>-15.0</v>
      </c>
      <c r="E14" s="9">
        <v>-17.0</v>
      </c>
      <c r="F14" s="9">
        <v>-16.0</v>
      </c>
      <c r="G14" s="9">
        <v>-181.0</v>
      </c>
      <c r="H14" s="9">
        <v>-192.0</v>
      </c>
      <c r="I14" s="47">
        <v>-86.0</v>
      </c>
      <c r="J14" s="48">
        <v>-120.0</v>
      </c>
      <c r="K14" s="49">
        <v>-118.0</v>
      </c>
      <c r="L14" s="49">
        <v>-118.0</v>
      </c>
      <c r="M14" s="49">
        <v>-93.0</v>
      </c>
      <c r="N14" s="49">
        <v>-100.0</v>
      </c>
      <c r="O14" s="49">
        <v>-18.0</v>
      </c>
    </row>
    <row r="15">
      <c r="B15" s="55" t="s">
        <v>34</v>
      </c>
      <c r="C15" s="9"/>
      <c r="D15" s="9"/>
      <c r="E15" s="9"/>
      <c r="F15" s="9"/>
      <c r="G15" s="9"/>
      <c r="H15" s="9"/>
      <c r="I15" s="9"/>
      <c r="J15" s="48">
        <v>23.0</v>
      </c>
      <c r="K15" s="11">
        <v>13.5</v>
      </c>
      <c r="L15" s="11">
        <v>14.2</v>
      </c>
      <c r="M15" s="54">
        <v>839.0</v>
      </c>
      <c r="N15" s="11">
        <v>18.0</v>
      </c>
      <c r="O15" s="54">
        <v>1502.0</v>
      </c>
    </row>
    <row r="16">
      <c r="B16" s="19" t="s">
        <v>12</v>
      </c>
      <c r="C16" s="9">
        <v>536.0</v>
      </c>
      <c r="D16" s="9">
        <v>588.0</v>
      </c>
      <c r="E16" s="9">
        <v>373.0</v>
      </c>
      <c r="F16" s="9">
        <v>309.0</v>
      </c>
      <c r="G16" s="9">
        <v>2819.0</v>
      </c>
      <c r="H16" s="9">
        <v>2427.0</v>
      </c>
      <c r="I16" s="47">
        <v>2337.0</v>
      </c>
      <c r="J16" s="10">
        <f t="shared" ref="J16:O16" si="7">I16+J13</f>
        <v>2087</v>
      </c>
      <c r="K16" s="10">
        <f t="shared" si="7"/>
        <v>1587</v>
      </c>
      <c r="L16" s="10">
        <f t="shared" si="7"/>
        <v>990</v>
      </c>
      <c r="M16" s="10">
        <f t="shared" si="7"/>
        <v>343</v>
      </c>
      <c r="N16" s="10">
        <f t="shared" si="7"/>
        <v>183</v>
      </c>
      <c r="O16" s="10">
        <f t="shared" si="7"/>
        <v>23</v>
      </c>
    </row>
    <row r="17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>
      <c r="B18" s="6"/>
      <c r="C18" s="20">
        <f t="shared" ref="C18:O18" si="8">C14/C16</f>
        <v>-0.02611940299</v>
      </c>
      <c r="D18" s="20">
        <f t="shared" si="8"/>
        <v>-0.02551020408</v>
      </c>
      <c r="E18" s="20">
        <f t="shared" si="8"/>
        <v>-0.04557640751</v>
      </c>
      <c r="F18" s="20">
        <f t="shared" si="8"/>
        <v>-0.05177993528</v>
      </c>
      <c r="G18" s="20">
        <f t="shared" si="8"/>
        <v>-0.06420716566</v>
      </c>
      <c r="H18" s="20">
        <f t="shared" si="8"/>
        <v>-0.07911001236</v>
      </c>
      <c r="I18" s="20">
        <f t="shared" si="8"/>
        <v>-0.03679931536</v>
      </c>
      <c r="J18" s="20">
        <f t="shared" si="8"/>
        <v>-0.05749880211</v>
      </c>
      <c r="K18" s="20">
        <f t="shared" si="8"/>
        <v>-0.07435412728</v>
      </c>
      <c r="L18" s="20">
        <f t="shared" si="8"/>
        <v>-0.1191919192</v>
      </c>
      <c r="M18" s="20">
        <f t="shared" si="8"/>
        <v>-0.2711370262</v>
      </c>
      <c r="N18" s="20">
        <f t="shared" si="8"/>
        <v>-0.5464480874</v>
      </c>
      <c r="O18" s="20">
        <f t="shared" si="8"/>
        <v>-0.7826086957</v>
      </c>
    </row>
    <row r="19">
      <c r="R19" s="1"/>
      <c r="S19" s="21" t="s">
        <v>6</v>
      </c>
      <c r="T19" s="21" t="s">
        <v>13</v>
      </c>
      <c r="U19" s="6"/>
      <c r="V19" s="6"/>
      <c r="W19" s="6"/>
    </row>
    <row r="20">
      <c r="R20" s="21" t="s">
        <v>0</v>
      </c>
      <c r="S20" s="56">
        <v>219.0</v>
      </c>
      <c r="T20" s="12"/>
      <c r="U20" s="12"/>
      <c r="V20" s="6"/>
      <c r="W20" s="6"/>
    </row>
    <row r="21">
      <c r="R21" s="23">
        <v>2021.0</v>
      </c>
      <c r="S21" s="56">
        <v>250.0</v>
      </c>
      <c r="T21" s="56">
        <v>250.0</v>
      </c>
      <c r="U21" s="12"/>
      <c r="V21" s="6"/>
      <c r="W21" s="6"/>
    </row>
    <row r="22">
      <c r="R22" s="23">
        <v>2022.0</v>
      </c>
      <c r="S22" s="56">
        <v>450.0</v>
      </c>
      <c r="T22" s="22">
        <f t="shared" ref="T22:T26" si="9">S22/(1.15^W22)</f>
        <v>391.3043478</v>
      </c>
      <c r="U22" s="12"/>
      <c r="V22" s="6"/>
      <c r="W22" s="24">
        <v>1.0</v>
      </c>
    </row>
    <row r="23">
      <c r="R23" s="23">
        <v>2023.0</v>
      </c>
      <c r="S23" s="56">
        <v>588.0</v>
      </c>
      <c r="T23" s="22">
        <f t="shared" si="9"/>
        <v>444.6124764</v>
      </c>
      <c r="U23" s="12"/>
      <c r="V23" s="6"/>
      <c r="W23" s="24">
        <v>2.0</v>
      </c>
    </row>
    <row r="24">
      <c r="R24" s="23">
        <v>2024.0</v>
      </c>
      <c r="S24" s="56">
        <v>506.0</v>
      </c>
      <c r="T24" s="22">
        <f t="shared" si="9"/>
        <v>332.7032136</v>
      </c>
      <c r="U24" s="12"/>
      <c r="V24" s="6"/>
      <c r="W24" s="24">
        <v>3.0</v>
      </c>
    </row>
    <row r="25">
      <c r="R25" s="23">
        <v>2025.0</v>
      </c>
      <c r="S25" s="56">
        <v>524.0</v>
      </c>
      <c r="T25" s="22">
        <f t="shared" si="9"/>
        <v>299.5987007</v>
      </c>
      <c r="U25" s="12"/>
      <c r="V25" s="6"/>
      <c r="W25" s="24">
        <v>4.0</v>
      </c>
    </row>
    <row r="26">
      <c r="R26" s="23">
        <v>2026.0</v>
      </c>
      <c r="S26" s="56">
        <v>543.0</v>
      </c>
      <c r="T26" s="22">
        <f t="shared" si="9"/>
        <v>269.9669673</v>
      </c>
      <c r="U26" s="12"/>
      <c r="V26" s="6"/>
      <c r="W26" s="24">
        <v>5.0</v>
      </c>
    </row>
    <row r="27">
      <c r="R27" s="21" t="s">
        <v>14</v>
      </c>
      <c r="S27" s="12"/>
      <c r="T27" s="56">
        <v>2076.0</v>
      </c>
      <c r="U27" s="12"/>
      <c r="V27" s="6"/>
      <c r="W27" s="6"/>
    </row>
    <row r="28">
      <c r="R28" s="25" t="s">
        <v>15</v>
      </c>
      <c r="S28" s="26"/>
      <c r="T28" s="27">
        <f>sum(T21:T27)</f>
        <v>4064.185706</v>
      </c>
      <c r="U28" s="6"/>
      <c r="V28" s="6"/>
      <c r="W28" s="6"/>
    </row>
    <row r="29">
      <c r="R29" s="25" t="s">
        <v>16</v>
      </c>
      <c r="S29" s="26"/>
      <c r="T29" s="28">
        <f>T28/60</f>
        <v>67.73642843</v>
      </c>
      <c r="U29" s="6"/>
      <c r="V29" s="6"/>
      <c r="W29" s="6"/>
    </row>
    <row r="36">
      <c r="R36" s="12"/>
      <c r="S36" s="6"/>
      <c r="T36" s="29" t="s">
        <v>17</v>
      </c>
    </row>
    <row r="37">
      <c r="R37" s="30" t="s">
        <v>18</v>
      </c>
      <c r="T37" s="55" t="s">
        <v>35</v>
      </c>
      <c r="U37" s="55" t="s">
        <v>36</v>
      </c>
      <c r="V37" s="55" t="s">
        <v>37</v>
      </c>
      <c r="W37" s="55" t="s">
        <v>22</v>
      </c>
      <c r="X37" s="55" t="s">
        <v>38</v>
      </c>
    </row>
    <row r="38">
      <c r="R38" s="31" t="s">
        <v>24</v>
      </c>
      <c r="S38" s="57">
        <v>6.97</v>
      </c>
      <c r="T38" s="33">
        <f t="shared" ref="T38:T40" si="10">S38*4</f>
        <v>27.88</v>
      </c>
      <c r="U38" s="34">
        <f t="shared" ref="U38:U40" si="11">S38*6</f>
        <v>41.82</v>
      </c>
      <c r="V38" s="34">
        <f t="shared" ref="V38:V40" si="12">S38*8</f>
        <v>55.76</v>
      </c>
      <c r="W38" s="34">
        <f t="shared" ref="W38:W40" si="13">S38*10</f>
        <v>69.7</v>
      </c>
      <c r="X38" s="34">
        <f t="shared" ref="X38:X40" si="14">S38*12</f>
        <v>83.64</v>
      </c>
    </row>
    <row r="39">
      <c r="R39" s="31" t="s">
        <v>25</v>
      </c>
      <c r="S39" s="57">
        <v>7.75</v>
      </c>
      <c r="T39" s="34">
        <f t="shared" si="10"/>
        <v>31</v>
      </c>
      <c r="U39" s="33">
        <f t="shared" si="11"/>
        <v>46.5</v>
      </c>
      <c r="V39" s="33">
        <f t="shared" si="12"/>
        <v>62</v>
      </c>
      <c r="W39" s="33">
        <f t="shared" si="13"/>
        <v>77.5</v>
      </c>
      <c r="X39" s="34">
        <f t="shared" si="14"/>
        <v>93</v>
      </c>
    </row>
    <row r="40">
      <c r="R40" s="31" t="s">
        <v>26</v>
      </c>
      <c r="S40" s="57">
        <v>8.52</v>
      </c>
      <c r="T40" s="34">
        <f t="shared" si="10"/>
        <v>34.08</v>
      </c>
      <c r="U40" s="34">
        <f t="shared" si="11"/>
        <v>51.12</v>
      </c>
      <c r="V40" s="34">
        <f t="shared" si="12"/>
        <v>68.16</v>
      </c>
      <c r="W40" s="34">
        <f t="shared" si="13"/>
        <v>85.2</v>
      </c>
      <c r="X40" s="33">
        <f t="shared" si="14"/>
        <v>102.24</v>
      </c>
    </row>
    <row r="41">
      <c r="R41" s="36" t="s">
        <v>27</v>
      </c>
      <c r="S41" s="37"/>
      <c r="T41" s="38">
        <f>(T38-36)/36</f>
        <v>-0.2255555556</v>
      </c>
      <c r="U41" s="38">
        <f t="shared" ref="U41:W41" si="15">(U39-36)/36</f>
        <v>0.2916666667</v>
      </c>
      <c r="V41" s="38">
        <f t="shared" si="15"/>
        <v>0.7222222222</v>
      </c>
      <c r="W41" s="38">
        <f t="shared" si="15"/>
        <v>1.152777778</v>
      </c>
      <c r="X41" s="38">
        <f>(X40-36)/36</f>
        <v>1.84</v>
      </c>
    </row>
    <row r="42">
      <c r="R42" s="36" t="s">
        <v>28</v>
      </c>
      <c r="S42" s="37"/>
      <c r="T42" s="40">
        <f t="shared" ref="T42:X42" si="16">(T41+1)^0.2-1</f>
        <v>-0.04983713336</v>
      </c>
      <c r="U42" s="40">
        <f t="shared" si="16"/>
        <v>0.05251935381</v>
      </c>
      <c r="V42" s="40">
        <f t="shared" si="16"/>
        <v>0.1148535927</v>
      </c>
      <c r="W42" s="40">
        <f t="shared" si="16"/>
        <v>0.1657350119</v>
      </c>
      <c r="X42" s="40">
        <f t="shared" si="16"/>
        <v>0.2321502458</v>
      </c>
    </row>
    <row r="43">
      <c r="R43" s="36" t="s">
        <v>29</v>
      </c>
      <c r="S43" s="37"/>
      <c r="T43" s="53">
        <v>0.05</v>
      </c>
      <c r="U43" s="53">
        <v>0.15</v>
      </c>
      <c r="V43" s="38">
        <v>0.4</v>
      </c>
      <c r="W43" s="53">
        <v>0.25</v>
      </c>
      <c r="X43" s="53">
        <v>0.15</v>
      </c>
    </row>
    <row r="44">
      <c r="R44" s="25" t="s">
        <v>30</v>
      </c>
      <c r="S44" s="42">
        <f>sum(T44:X44)</f>
        <v>0.1275837733</v>
      </c>
      <c r="T44" s="43">
        <f t="shared" ref="T44:X44" si="17">T43*T42</f>
        <v>-0.002491856668</v>
      </c>
      <c r="U44" s="43">
        <f t="shared" si="17"/>
        <v>0.007877903072</v>
      </c>
      <c r="V44" s="43">
        <f t="shared" si="17"/>
        <v>0.04594143709</v>
      </c>
      <c r="W44" s="43">
        <f t="shared" si="17"/>
        <v>0.04143375298</v>
      </c>
      <c r="X44" s="43">
        <f t="shared" si="17"/>
        <v>0.03482253687</v>
      </c>
    </row>
  </sheetData>
  <mergeCells count="2">
    <mergeCell ref="T36:X36"/>
    <mergeCell ref="R37:S37"/>
  </mergeCells>
  <drawing r:id="rId1"/>
</worksheet>
</file>