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60" activeTab="0"/>
  </bookViews>
  <sheets>
    <sheet name="Two Way Slab" sheetId="1" r:id="rId1"/>
  </sheets>
  <definedNames>
    <definedName name="\p">'Two Way Slab'!$J$1</definedName>
    <definedName name="_Fill" hidden="1">'Two Way Slab'!$H$46:$H$54</definedName>
    <definedName name="_Regression_Int" localSheetId="0" hidden="1">1</definedName>
    <definedName name="_xlnm.Print_Area" localSheetId="0">'Two Way Slab'!$A$1:$H$32</definedName>
    <definedName name="Print_Area_MI" localSheetId="0">'Two Way Slab'!$A$1:$H$38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นายเอนก พ่วงสุด</author>
  </authors>
  <commentList>
    <comment ref="C2" authorId="0">
      <text>
        <r>
          <rPr>
            <b/>
            <sz val="8"/>
            <rFont val="Tahoma"/>
            <family val="0"/>
          </rPr>
          <t>นายเอนก พ่วงสุด:</t>
        </r>
        <r>
          <rPr>
            <sz val="8"/>
            <rFont val="Tahoma"/>
            <family val="0"/>
          </rPr>
          <t xml:space="preserve">
วิศวกรโยธา สย.7354
กองช่างเทศบาลเมือง
    บางบัวทอง</t>
        </r>
      </text>
    </comment>
    <comment ref="C4" authorId="0">
      <text>
        <r>
          <rPr>
            <b/>
            <sz val="8"/>
            <rFont val="Tahoma"/>
            <family val="0"/>
          </rPr>
          <t>นายเอนก พ่วงสุด:</t>
        </r>
        <r>
          <rPr>
            <sz val="8"/>
            <rFont val="Tahoma"/>
            <family val="0"/>
          </rPr>
          <t xml:space="preserve">
0=ช่วงพื้นภายใน
1=ไม่ต่อเนื่องกันด้านเดียว
2=ไม่ต่อเนื่องกันสองด้าน
3=ไม่ต่อเนื่องกันสามด้าน
4=ไม่ต่อเนื่องกันสี่ด้าน
</t>
        </r>
      </text>
    </comment>
  </commentList>
</comments>
</file>

<file path=xl/sharedStrings.xml><?xml version="1.0" encoding="utf-8"?>
<sst xmlns="http://schemas.openxmlformats.org/spreadsheetml/2006/main" count="92" uniqueCount="59">
  <si>
    <t>SHORT SPAN</t>
  </si>
  <si>
    <t>Short Span</t>
  </si>
  <si>
    <t>m.</t>
  </si>
  <si>
    <t>Thick =</t>
  </si>
  <si>
    <t xml:space="preserve">Case 1 : Interior Span          </t>
  </si>
  <si>
    <t>Long  Span</t>
  </si>
  <si>
    <t>Conc. fc'</t>
  </si>
  <si>
    <t>ksc.</t>
  </si>
  <si>
    <t>m</t>
  </si>
  <si>
    <t>-M cont.</t>
  </si>
  <si>
    <t>-M dis.</t>
  </si>
  <si>
    <t>+M</t>
  </si>
  <si>
    <t>Live Load</t>
  </si>
  <si>
    <t>kg/m^2</t>
  </si>
  <si>
    <t>Steel fs</t>
  </si>
  <si>
    <t>Finish</t>
  </si>
  <si>
    <t>Covering</t>
  </si>
  <si>
    <t>m = Short/Long</t>
  </si>
  <si>
    <t>Bars dia.</t>
  </si>
  <si>
    <t>mm.</t>
  </si>
  <si>
    <t>W (DL+Finish)</t>
  </si>
  <si>
    <t>N     =</t>
  </si>
  <si>
    <t>j    =</t>
  </si>
  <si>
    <t>W (DL+Finish+LL)</t>
  </si>
  <si>
    <t>k     =</t>
  </si>
  <si>
    <t>R    =</t>
  </si>
  <si>
    <t>d     =</t>
  </si>
  <si>
    <t>Max. Moment      =</t>
  </si>
  <si>
    <t>kg-m.</t>
  </si>
  <si>
    <t>d'    =</t>
  </si>
  <si>
    <t>(Main Reinf.)</t>
  </si>
  <si>
    <t>Resisting Moment =</t>
  </si>
  <si>
    <t>(Second. Reinf.)</t>
  </si>
  <si>
    <t xml:space="preserve">   REINFORCEMENT</t>
  </si>
  <si>
    <t>LOCATION</t>
  </si>
  <si>
    <t>COEFF.</t>
  </si>
  <si>
    <t>MOMENT</t>
  </si>
  <si>
    <t>REINF.</t>
  </si>
  <si>
    <t>mm.@</t>
  </si>
  <si>
    <t>-M Cont.</t>
  </si>
  <si>
    <t>-M Disc.</t>
  </si>
  <si>
    <t>LONG SPAN</t>
  </si>
  <si>
    <t>Min. As</t>
  </si>
  <si>
    <t>LOAD OF SLAB ON SUPPORTED BEAMS</t>
  </si>
  <si>
    <t>Short Span (kg/m.)</t>
  </si>
  <si>
    <t>Long Span (kg/m.)</t>
  </si>
  <si>
    <t>-M dis</t>
  </si>
  <si>
    <t>วิศวกรผู้ออกแบบ :</t>
  </si>
  <si>
    <t>นายเอนก พ่วงสุด ทะเบียน สย.7354</t>
  </si>
  <si>
    <t>วันที่   :</t>
  </si>
  <si>
    <t>ชื่อพื้น :</t>
  </si>
  <si>
    <t>S-1</t>
  </si>
  <si>
    <t>m. Req'd=</t>
  </si>
  <si>
    <t>กรณีที่ :</t>
  </si>
  <si>
    <t>CASE SLAB</t>
  </si>
  <si>
    <t>จำนวนด้านที่ต่อเนื่อง</t>
  </si>
  <si>
    <t xml:space="preserve"> Two Way Slab</t>
  </si>
  <si>
    <t>ออกแบบพื้นคอนกรีตเสริมเหล็กสองทาง</t>
  </si>
  <si>
    <t>Remark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</si>
</sst>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d\-mmm\-yy_)"/>
    <numFmt numFmtId="188" formatCode="0.00_)"/>
    <numFmt numFmtId="189" formatCode="0.000_)"/>
    <numFmt numFmtId="190" formatCode="#,##0_);\(#,##0\)"/>
    <numFmt numFmtId="191" formatCode="0_)"/>
  </numFmts>
  <fonts count="12">
    <font>
      <sz val="10"/>
      <name val="Courier"/>
      <family val="0"/>
    </font>
    <font>
      <sz val="14"/>
      <name val="Cordia New"/>
      <family val="0"/>
    </font>
    <font>
      <sz val="10"/>
      <color indexed="12"/>
      <name val="Courier"/>
      <family val="0"/>
    </font>
    <font>
      <sz val="14"/>
      <name val="CordiaUPC"/>
      <family val="2"/>
    </font>
    <font>
      <b/>
      <sz val="14"/>
      <name val="CordiaUPC"/>
      <family val="2"/>
    </font>
    <font>
      <b/>
      <sz val="14"/>
      <color indexed="12"/>
      <name val="CordiaUPC"/>
      <family val="2"/>
    </font>
    <font>
      <sz val="14"/>
      <color indexed="12"/>
      <name val="CordiaUPC"/>
      <family val="2"/>
    </font>
    <font>
      <b/>
      <sz val="8"/>
      <name val="Tahoma"/>
      <family val="0"/>
    </font>
    <font>
      <sz val="8"/>
      <name val="Tahoma"/>
      <family val="0"/>
    </font>
    <font>
      <sz val="14"/>
      <color indexed="10"/>
      <name val="CordiaUPC"/>
      <family val="2"/>
    </font>
    <font>
      <b/>
      <sz val="14"/>
      <color indexed="10"/>
      <name val="CordiaUPC"/>
      <family val="2"/>
    </font>
    <font>
      <b/>
      <sz val="8"/>
      <name val="Courie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left"/>
      <protection locked="0"/>
    </xf>
    <xf numFmtId="189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88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187" fontId="6" fillId="0" borderId="0" xfId="0" applyNumberFormat="1" applyFont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190" fontId="3" fillId="0" borderId="0" xfId="0" applyNumberFormat="1" applyFont="1" applyAlignment="1" applyProtection="1">
      <alignment/>
      <protection/>
    </xf>
    <xf numFmtId="0" fontId="4" fillId="0" borderId="1" xfId="0" applyFont="1" applyBorder="1" applyAlignment="1" applyProtection="1">
      <alignment horizontal="left"/>
      <protection/>
    </xf>
    <xf numFmtId="189" fontId="3" fillId="0" borderId="0" xfId="0" applyNumberFormat="1" applyFont="1" applyAlignment="1" applyProtection="1">
      <alignment horizontal="left"/>
      <protection/>
    </xf>
    <xf numFmtId="188" fontId="3" fillId="0" borderId="0" xfId="0" applyNumberFormat="1" applyFont="1" applyAlignment="1" applyProtection="1">
      <alignment horizontal="left"/>
      <protection/>
    </xf>
    <xf numFmtId="0" fontId="6" fillId="0" borderId="1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188" fontId="4" fillId="0" borderId="0" xfId="0" applyNumberFormat="1" applyFont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189" fontId="3" fillId="0" borderId="0" xfId="0" applyNumberFormat="1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0" fontId="6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190" fontId="3" fillId="0" borderId="1" xfId="0" applyNumberFormat="1" applyFont="1" applyBorder="1" applyAlignment="1" applyProtection="1">
      <alignment/>
      <protection/>
    </xf>
    <xf numFmtId="189" fontId="3" fillId="0" borderId="3" xfId="0" applyNumberFormat="1" applyFont="1" applyBorder="1" applyAlignment="1" applyProtection="1">
      <alignment horizontal="center"/>
      <protection/>
    </xf>
    <xf numFmtId="190" fontId="3" fillId="0" borderId="3" xfId="0" applyNumberFormat="1" applyFont="1" applyBorder="1" applyAlignment="1" applyProtection="1">
      <alignment horizontal="center"/>
      <protection/>
    </xf>
    <xf numFmtId="188" fontId="3" fillId="0" borderId="3" xfId="0" applyNumberFormat="1" applyFont="1" applyBorder="1" applyAlignment="1" applyProtection="1">
      <alignment horizontal="center"/>
      <protection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188" fontId="10" fillId="0" borderId="0" xfId="0" applyNumberFormat="1" applyFont="1" applyAlignment="1" applyProtection="1">
      <alignment/>
      <protection locked="0"/>
    </xf>
    <xf numFmtId="190" fontId="10" fillId="0" borderId="0" xfId="0" applyNumberFormat="1" applyFont="1" applyAlignment="1" applyProtection="1">
      <alignment/>
      <protection locked="0"/>
    </xf>
    <xf numFmtId="189" fontId="10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4" fillId="0" borderId="2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10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191" fontId="3" fillId="0" borderId="0" xfId="0" applyNumberFormat="1" applyFont="1" applyAlignment="1" applyProtection="1">
      <alignment horizontal="center"/>
      <protection/>
    </xf>
    <xf numFmtId="189" fontId="3" fillId="0" borderId="0" xfId="0" applyNumberFormat="1" applyFont="1" applyAlignment="1" applyProtection="1">
      <alignment horizontal="center"/>
      <protection/>
    </xf>
    <xf numFmtId="190" fontId="10" fillId="0" borderId="1" xfId="0" applyNumberFormat="1" applyFont="1" applyBorder="1" applyAlignment="1" applyProtection="1">
      <alignment/>
      <protection locked="0"/>
    </xf>
    <xf numFmtId="189" fontId="10" fillId="0" borderId="1" xfId="0" applyNumberFormat="1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1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center" vertical="center"/>
      <protection/>
    </xf>
    <xf numFmtId="189" fontId="3" fillId="0" borderId="11" xfId="0" applyNumberFormat="1" applyFont="1" applyBorder="1" applyAlignment="1" applyProtection="1">
      <alignment horizontal="center"/>
      <protection/>
    </xf>
    <xf numFmtId="189" fontId="3" fillId="0" borderId="2" xfId="0" applyNumberFormat="1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190" fontId="3" fillId="0" borderId="3" xfId="0" applyNumberFormat="1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157"/>
  <sheetViews>
    <sheetView showGridLines="0" tabSelected="1" workbookViewId="0" topLeftCell="A4">
      <selection activeCell="H3" sqref="H3"/>
    </sheetView>
  </sheetViews>
  <sheetFormatPr defaultColWidth="9.625" defaultRowHeight="12.75"/>
  <cols>
    <col min="7" max="7" width="8.625" style="0" customWidth="1"/>
    <col min="8" max="8" width="10.625" style="0" customWidth="1"/>
  </cols>
  <sheetData>
    <row r="1" spans="1:10" ht="22.5" thickBot="1">
      <c r="A1" s="73"/>
      <c r="B1" s="73"/>
      <c r="C1" s="73"/>
      <c r="D1" s="73"/>
      <c r="E1" s="73"/>
      <c r="F1" s="73"/>
      <c r="G1" s="73"/>
      <c r="H1" s="73"/>
      <c r="I1" s="1"/>
      <c r="J1" s="1"/>
    </row>
    <row r="2" spans="1:8" ht="21.75">
      <c r="A2" s="74" t="s">
        <v>47</v>
      </c>
      <c r="B2" s="74"/>
      <c r="C2" s="75" t="s">
        <v>48</v>
      </c>
      <c r="D2" s="75"/>
      <c r="E2" s="75"/>
      <c r="F2" s="8"/>
      <c r="G2" s="8" t="s">
        <v>49</v>
      </c>
      <c r="H2" s="9">
        <f ca="1">NOW()</f>
        <v>38334.4463443287</v>
      </c>
    </row>
    <row r="3" spans="1:8" ht="21.75">
      <c r="A3" s="76" t="s">
        <v>57</v>
      </c>
      <c r="B3" s="76"/>
      <c r="C3" s="76"/>
      <c r="D3" s="76"/>
      <c r="E3" s="77" t="s">
        <v>56</v>
      </c>
      <c r="F3" s="77"/>
      <c r="G3" s="10" t="s">
        <v>50</v>
      </c>
      <c r="H3" s="86" t="s">
        <v>51</v>
      </c>
    </row>
    <row r="4" spans="1:8" ht="21.75">
      <c r="A4" s="72" t="s">
        <v>55</v>
      </c>
      <c r="B4" s="72"/>
      <c r="C4" s="53">
        <v>1</v>
      </c>
      <c r="D4" s="13">
        <f>IF(C4&gt;4," Try again !","")</f>
      </c>
      <c r="E4" s="11"/>
      <c r="F4" s="11"/>
      <c r="G4" s="8"/>
      <c r="H4" s="14"/>
    </row>
    <row r="5" spans="1:8" ht="21.75">
      <c r="A5" s="17" t="s">
        <v>54</v>
      </c>
      <c r="B5" s="20"/>
      <c r="C5" s="21" t="s">
        <v>53</v>
      </c>
      <c r="D5" s="22"/>
      <c r="E5" s="21">
        <f>IF(C4=0,1,IF(C4=1,2,IF(C4=2,3,IF(C4=3,4,IF(C4=4,5,"")))))</f>
        <v>2</v>
      </c>
      <c r="F5" s="52" t="str">
        <f>IF(E5=1,"  Interoir Panel",IF(E5=2,"  One edge discontinuous",IF(E5=3,"  Two edges discontinuous",IF(E5=4,"  Three edges discontinuous",IF(E5=5,"  Four edges discontinuous","  Try again !")))))</f>
        <v>  One edge discontinuous</v>
      </c>
      <c r="G5" s="22"/>
      <c r="H5" s="22"/>
    </row>
    <row r="6" spans="1:14" ht="21.75">
      <c r="A6" s="8" t="s">
        <v>1</v>
      </c>
      <c r="B6" s="11"/>
      <c r="C6" s="41">
        <v>4</v>
      </c>
      <c r="D6" s="8" t="s">
        <v>2</v>
      </c>
      <c r="E6" s="40" t="s">
        <v>3</v>
      </c>
      <c r="F6" s="43">
        <v>0.1</v>
      </c>
      <c r="G6" s="8" t="s">
        <v>52</v>
      </c>
      <c r="H6" s="18">
        <f>IF((+F13+F14)&gt;(C6+C7)*2/180,+F13+F14,(C6+C7)*2/180)</f>
        <v>0.08888888888888889</v>
      </c>
      <c r="N6" s="1" t="s">
        <v>0</v>
      </c>
    </row>
    <row r="7" spans="1:13" ht="21.75">
      <c r="A7" s="8" t="s">
        <v>5</v>
      </c>
      <c r="B7" s="11"/>
      <c r="C7" s="41">
        <v>4</v>
      </c>
      <c r="D7" s="8" t="s">
        <v>2</v>
      </c>
      <c r="E7" s="40" t="s">
        <v>6</v>
      </c>
      <c r="F7" s="50">
        <v>173</v>
      </c>
      <c r="G7" s="8" t="s">
        <v>7</v>
      </c>
      <c r="H7" s="15">
        <f>IF(H6&gt;F6," ! Try !","")</f>
      </c>
      <c r="M7" s="1" t="s">
        <v>4</v>
      </c>
    </row>
    <row r="8" spans="1:16" ht="21.75">
      <c r="A8" s="8" t="s">
        <v>12</v>
      </c>
      <c r="B8" s="11"/>
      <c r="C8" s="42">
        <v>250</v>
      </c>
      <c r="D8" s="8" t="s">
        <v>13</v>
      </c>
      <c r="E8" s="40" t="s">
        <v>14</v>
      </c>
      <c r="F8" s="42">
        <v>1200</v>
      </c>
      <c r="G8" s="8" t="s">
        <v>7</v>
      </c>
      <c r="H8" s="15">
        <f>IF(H6&gt;F6,"&lt;&lt;again&gt;&gt;","")</f>
      </c>
      <c r="M8" s="6" t="s">
        <v>8</v>
      </c>
      <c r="N8" s="1" t="s">
        <v>9</v>
      </c>
      <c r="O8" s="2" t="s">
        <v>10</v>
      </c>
      <c r="P8" s="2" t="s">
        <v>11</v>
      </c>
    </row>
    <row r="9" spans="1:27" ht="21.75">
      <c r="A9" s="10" t="s">
        <v>15</v>
      </c>
      <c r="B9" s="22"/>
      <c r="C9" s="57">
        <v>50</v>
      </c>
      <c r="D9" s="10" t="s">
        <v>13</v>
      </c>
      <c r="E9" s="38" t="s">
        <v>16</v>
      </c>
      <c r="F9" s="58">
        <v>0.025</v>
      </c>
      <c r="G9" s="10" t="s">
        <v>2</v>
      </c>
      <c r="H9" s="22"/>
      <c r="M9" s="7">
        <v>0.1</v>
      </c>
      <c r="N9" s="5">
        <f>N10</f>
        <v>0.085</v>
      </c>
      <c r="O9" s="5">
        <f>O10</f>
        <v>0.042</v>
      </c>
      <c r="P9" s="3">
        <f>P10</f>
        <v>0.064</v>
      </c>
      <c r="R9" s="5"/>
      <c r="S9" s="5"/>
      <c r="V9" s="5"/>
      <c r="W9" s="5"/>
      <c r="Z9" s="5"/>
      <c r="AA9" s="5"/>
    </row>
    <row r="10" spans="1:31" ht="21.75">
      <c r="A10" s="8" t="s">
        <v>17</v>
      </c>
      <c r="B10" s="11"/>
      <c r="C10" s="24">
        <f>C6/C7</f>
        <v>1</v>
      </c>
      <c r="D10" s="11"/>
      <c r="E10" s="8" t="s">
        <v>18</v>
      </c>
      <c r="F10" s="54">
        <f>IF(F8=1200,9,12)</f>
        <v>9</v>
      </c>
      <c r="G10" s="8" t="s">
        <v>19</v>
      </c>
      <c r="H10" s="11"/>
      <c r="M10" s="7">
        <v>0.5</v>
      </c>
      <c r="N10" s="5">
        <f>IF($E$5=1,0.083,IF($E$5=2,0.085,IF($E$5=3,0.09,IF($E$5=4,0.098,IF($E$5=5,0,"")))))</f>
        <v>0.085</v>
      </c>
      <c r="O10" s="5">
        <f>IF($E$5=1,0,IF($E$5=2,0.042,IF($E$5=3,0.045,IF($E$5=4,0.049,IF($E$5=5,0.055,"")))))</f>
        <v>0.042</v>
      </c>
      <c r="P10" s="5">
        <f>IF($E$5=1,0.062,IF($E$5=2,0.064,IF($E$5=3,0.068,IF($E$5=4,0.074,IF($E$5=5,0.083,"")))))</f>
        <v>0.064</v>
      </c>
      <c r="R10" s="5"/>
      <c r="S10" s="5"/>
      <c r="V10" s="5"/>
      <c r="W10" s="5"/>
      <c r="Z10" s="5"/>
      <c r="AA10" s="5"/>
      <c r="AE10" s="5"/>
    </row>
    <row r="11" spans="1:31" ht="21.75">
      <c r="A11" s="8" t="s">
        <v>20</v>
      </c>
      <c r="B11" s="11"/>
      <c r="C11" s="16">
        <f>F6*2400+C9</f>
        <v>290</v>
      </c>
      <c r="D11" s="8" t="s">
        <v>13</v>
      </c>
      <c r="E11" s="8" t="s">
        <v>21</v>
      </c>
      <c r="F11" s="55">
        <f>ROUND(2040000/(15210*F7^0.5),0)</f>
        <v>10</v>
      </c>
      <c r="G11" s="8" t="s">
        <v>22</v>
      </c>
      <c r="H11" s="18">
        <f>1-F12/3</f>
        <v>0.8688400303260045</v>
      </c>
      <c r="I11" s="5"/>
      <c r="M11" s="7">
        <v>0.51</v>
      </c>
      <c r="N11" s="5">
        <f>$N$10-($N$10-$N$20)/10*1</f>
        <v>0.0834</v>
      </c>
      <c r="O11" s="5">
        <f>O10-(O10-O20)/10*1</f>
        <v>0.0413</v>
      </c>
      <c r="P11" s="5">
        <f>P10-(P10-P20)/10*1</f>
        <v>0.0628</v>
      </c>
      <c r="R11" s="5"/>
      <c r="S11" s="5"/>
      <c r="T11" s="5"/>
      <c r="V11" s="5"/>
      <c r="W11" s="5"/>
      <c r="X11" s="5"/>
      <c r="Z11" s="5"/>
      <c r="AA11" s="5"/>
      <c r="AB11" s="5"/>
      <c r="AE11" s="5"/>
    </row>
    <row r="12" spans="1:32" ht="21.75">
      <c r="A12" s="8" t="s">
        <v>23</v>
      </c>
      <c r="B12" s="11"/>
      <c r="C12" s="16">
        <f>2400*F6+C8+C9</f>
        <v>540</v>
      </c>
      <c r="D12" s="8" t="s">
        <v>13</v>
      </c>
      <c r="E12" s="8" t="s">
        <v>24</v>
      </c>
      <c r="F12" s="56">
        <f>1/(1+F8/(F11*0.45*F7))</f>
        <v>0.3934799090219864</v>
      </c>
      <c r="G12" s="8" t="s">
        <v>25</v>
      </c>
      <c r="H12" s="19">
        <f>0.5*0.375*F7*F12*H11</f>
        <v>11.089443679332966</v>
      </c>
      <c r="I12" s="5"/>
      <c r="J12" s="5"/>
      <c r="M12" s="7">
        <v>0.52</v>
      </c>
      <c r="N12" s="5">
        <f>$N$10-($N$10-$N$20)/10*2</f>
        <v>0.08180000000000001</v>
      </c>
      <c r="O12" s="5">
        <f>O10-(O10-O20)/10*2</f>
        <v>0.040600000000000004</v>
      </c>
      <c r="P12" s="5">
        <f>P10-(P10-P20)/10*2</f>
        <v>0.0616</v>
      </c>
      <c r="R12" s="5"/>
      <c r="S12" s="5"/>
      <c r="T12" s="5"/>
      <c r="V12" s="5"/>
      <c r="W12" s="5"/>
      <c r="X12" s="5"/>
      <c r="Z12" s="5"/>
      <c r="AA12" s="5"/>
      <c r="AB12" s="5"/>
      <c r="AE12" s="5"/>
      <c r="AF12" s="5"/>
    </row>
    <row r="13" spans="1:32" ht="21.75">
      <c r="A13" s="11"/>
      <c r="B13" s="11"/>
      <c r="C13" s="12"/>
      <c r="D13" s="11"/>
      <c r="E13" s="8" t="s">
        <v>26</v>
      </c>
      <c r="F13" s="56">
        <f>(C14/(H12*1))^0.5/100</f>
        <v>0.05651892850240456</v>
      </c>
      <c r="G13" s="11"/>
      <c r="H13" s="11"/>
      <c r="I13" s="5"/>
      <c r="J13" s="5"/>
      <c r="M13" s="7">
        <v>0.53</v>
      </c>
      <c r="N13" s="5">
        <f>$N$10-($N$10-$N$20)/10*3</f>
        <v>0.08020000000000001</v>
      </c>
      <c r="O13" s="5">
        <f>O10-(O10-O20)/10*3</f>
        <v>0.039900000000000005</v>
      </c>
      <c r="P13" s="5">
        <f>P10-(P10-P20)/10*3</f>
        <v>0.0604</v>
      </c>
      <c r="R13" s="5"/>
      <c r="S13" s="5"/>
      <c r="T13" s="5"/>
      <c r="V13" s="5"/>
      <c r="W13" s="5"/>
      <c r="X13" s="5"/>
      <c r="Z13" s="5"/>
      <c r="AA13" s="5"/>
      <c r="AB13" s="5"/>
      <c r="AE13" s="5"/>
      <c r="AF13" s="5"/>
    </row>
    <row r="14" spans="1:32" ht="21.75">
      <c r="A14" s="8" t="s">
        <v>27</v>
      </c>
      <c r="B14" s="11"/>
      <c r="C14" s="16">
        <f>MAX(C19:C27)</f>
        <v>354.24</v>
      </c>
      <c r="D14" s="8" t="s">
        <v>28</v>
      </c>
      <c r="E14" s="8" t="s">
        <v>29</v>
      </c>
      <c r="F14" s="56">
        <f>F9+F10/2/1000</f>
        <v>0.029500000000000002</v>
      </c>
      <c r="G14" s="68" t="s">
        <v>30</v>
      </c>
      <c r="H14" s="68"/>
      <c r="I14" s="5"/>
      <c r="J14" s="5"/>
      <c r="M14" s="7">
        <v>0.54</v>
      </c>
      <c r="N14" s="5">
        <f>$N$10-($N$10-$N$20)/10*4</f>
        <v>0.0786</v>
      </c>
      <c r="O14" s="5">
        <f>O10-(O10-O20)/10*4</f>
        <v>0.039200000000000006</v>
      </c>
      <c r="P14" s="5">
        <f>P10-(P10-P20)/10*4</f>
        <v>0.0592</v>
      </c>
      <c r="R14" s="5"/>
      <c r="S14" s="5"/>
      <c r="T14" s="5"/>
      <c r="V14" s="5"/>
      <c r="W14" s="5"/>
      <c r="X14" s="5"/>
      <c r="Z14" s="5"/>
      <c r="AA14" s="5"/>
      <c r="AB14" s="5"/>
      <c r="AE14" s="5"/>
      <c r="AF14" s="5"/>
    </row>
    <row r="15" spans="1:32" ht="21.75">
      <c r="A15" s="8" t="s">
        <v>31</v>
      </c>
      <c r="B15" s="11"/>
      <c r="C15" s="16">
        <f>H12*(F6-F14)^2*10000</f>
        <v>551.1730744720468</v>
      </c>
      <c r="D15" s="8" t="s">
        <v>28</v>
      </c>
      <c r="E15" s="8" t="s">
        <v>29</v>
      </c>
      <c r="F15" s="56">
        <f>F14+F10/2/1000</f>
        <v>0.034</v>
      </c>
      <c r="G15" s="69" t="s">
        <v>32</v>
      </c>
      <c r="H15" s="69"/>
      <c r="I15" s="5"/>
      <c r="J15" s="5"/>
      <c r="M15" s="7">
        <v>0.55</v>
      </c>
      <c r="N15" s="5">
        <f>$N$10-($N$10-$N$20)/10*5</f>
        <v>0.07700000000000001</v>
      </c>
      <c r="O15" s="5">
        <f>O10-(O10-O20)/10*5</f>
        <v>0.038500000000000006</v>
      </c>
      <c r="P15" s="5">
        <f>P10-(P10-P20)/10*5</f>
        <v>0.057999999999999996</v>
      </c>
      <c r="R15" s="5"/>
      <c r="S15" s="5"/>
      <c r="T15" s="5"/>
      <c r="V15" s="5"/>
      <c r="W15" s="5"/>
      <c r="X15" s="5"/>
      <c r="Z15" s="5"/>
      <c r="AA15" s="5"/>
      <c r="AB15" s="5"/>
      <c r="AE15" s="5"/>
      <c r="AF15" s="5"/>
    </row>
    <row r="16" spans="1:32" ht="21">
      <c r="A16" s="60" t="s">
        <v>0</v>
      </c>
      <c r="B16" s="60"/>
      <c r="C16" s="70"/>
      <c r="D16" s="71" t="s">
        <v>33</v>
      </c>
      <c r="E16" s="60"/>
      <c r="F16" s="60"/>
      <c r="G16" s="51"/>
      <c r="H16" s="51"/>
      <c r="I16" s="5"/>
      <c r="J16" s="5"/>
      <c r="M16" s="7">
        <v>0.56</v>
      </c>
      <c r="N16" s="5">
        <f>$N$10-($N$10-$N$20)/10*6</f>
        <v>0.07540000000000001</v>
      </c>
      <c r="O16" s="5">
        <f>O10-(O10-O20)/10*6</f>
        <v>0.0378</v>
      </c>
      <c r="P16" s="5">
        <f>P10-(P10-P20)/10*6</f>
        <v>0.0568</v>
      </c>
      <c r="R16" s="5"/>
      <c r="S16" s="5"/>
      <c r="T16" s="5"/>
      <c r="V16" s="5"/>
      <c r="W16" s="5"/>
      <c r="X16" s="5"/>
      <c r="Z16" s="5"/>
      <c r="AA16" s="5"/>
      <c r="AB16" s="5"/>
      <c r="AE16" s="5"/>
      <c r="AF16" s="5"/>
    </row>
    <row r="17" spans="1:32" ht="21.75">
      <c r="A17" s="65" t="s">
        <v>34</v>
      </c>
      <c r="B17" s="67" t="s">
        <v>35</v>
      </c>
      <c r="C17" s="78" t="s">
        <v>36</v>
      </c>
      <c r="D17" s="80" t="s">
        <v>37</v>
      </c>
      <c r="E17" s="39">
        <v>9</v>
      </c>
      <c r="F17" s="39">
        <f>IF(E17=9,6,IF(E17=12,16,""))</f>
        <v>6</v>
      </c>
      <c r="G17" s="30"/>
      <c r="H17" s="30"/>
      <c r="I17" s="5"/>
      <c r="J17" s="5"/>
      <c r="M17" s="7">
        <v>0.57</v>
      </c>
      <c r="N17" s="5">
        <f>$N$10-($N$10-$N$20)/10*7</f>
        <v>0.0738</v>
      </c>
      <c r="O17" s="5">
        <f>O10-(O10-O20)/10*7</f>
        <v>0.0371</v>
      </c>
      <c r="P17" s="5">
        <f>P10-(P10-P20)/10*7</f>
        <v>0.0556</v>
      </c>
      <c r="R17" s="5"/>
      <c r="S17" s="5"/>
      <c r="T17" s="5"/>
      <c r="V17" s="5"/>
      <c r="W17" s="5"/>
      <c r="X17" s="5"/>
      <c r="Z17" s="5"/>
      <c r="AA17" s="5"/>
      <c r="AB17" s="5"/>
      <c r="AE17" s="5"/>
      <c r="AF17" s="5"/>
    </row>
    <row r="18" spans="1:32" ht="21.75">
      <c r="A18" s="66"/>
      <c r="B18" s="67"/>
      <c r="C18" s="79"/>
      <c r="D18" s="80"/>
      <c r="E18" s="28" t="s">
        <v>38</v>
      </c>
      <c r="F18" s="28" t="s">
        <v>38</v>
      </c>
      <c r="G18" s="31"/>
      <c r="H18" s="31"/>
      <c r="I18" s="5"/>
      <c r="J18" s="5"/>
      <c r="M18" s="7">
        <v>0.58</v>
      </c>
      <c r="N18" s="5">
        <f>$N$10-($N$10-$N$20)/10*8</f>
        <v>0.0722</v>
      </c>
      <c r="O18" s="5">
        <f>O10-(O10-O20)/10*8</f>
        <v>0.0364</v>
      </c>
      <c r="P18" s="5">
        <f>P10-(P10-P20)/10*8</f>
        <v>0.0544</v>
      </c>
      <c r="R18" s="5"/>
      <c r="S18" s="5"/>
      <c r="T18" s="5"/>
      <c r="V18" s="5"/>
      <c r="W18" s="5"/>
      <c r="X18" s="5"/>
      <c r="Z18" s="5"/>
      <c r="AA18" s="5"/>
      <c r="AB18" s="5"/>
      <c r="AE18" s="5"/>
      <c r="AF18" s="5"/>
    </row>
    <row r="19" spans="1:32" ht="21.75">
      <c r="A19" s="25" t="s">
        <v>39</v>
      </c>
      <c r="B19" s="33">
        <f>VLOOKUP(C10,M9:P60,2)</f>
        <v>0.041</v>
      </c>
      <c r="C19" s="34">
        <f>B19*$C$12*($C$6)^2</f>
        <v>354.24</v>
      </c>
      <c r="D19" s="35">
        <f>C19/(F8*H11*(F6-F14))</f>
        <v>4.819338309011919</v>
      </c>
      <c r="E19" s="33">
        <f>IF(B19=0,"   -----",PI()*E$17^2/400/$D$19)</f>
        <v>0.13200411997686956</v>
      </c>
      <c r="F19" s="33">
        <f>IF(B19=0,"   -----",PI()*F$17^2/400/$D$19)</f>
        <v>0.058668497767497586</v>
      </c>
      <c r="G19" s="81" t="s">
        <v>58</v>
      </c>
      <c r="H19" s="82"/>
      <c r="I19" s="5"/>
      <c r="J19" s="5"/>
      <c r="M19" s="7">
        <v>0.59</v>
      </c>
      <c r="N19" s="5">
        <f>$N$10-($N$10-$N$20)/10*9</f>
        <v>0.07060000000000001</v>
      </c>
      <c r="O19" s="5">
        <f>O10-(O10-O20)/10*9</f>
        <v>0.0357</v>
      </c>
      <c r="P19" s="5">
        <f>P10-(P10-P20)/10*9</f>
        <v>0.0532</v>
      </c>
      <c r="R19" s="5"/>
      <c r="S19" s="5"/>
      <c r="T19" s="5"/>
      <c r="V19" s="5"/>
      <c r="W19" s="5"/>
      <c r="X19" s="5"/>
      <c r="Z19" s="5"/>
      <c r="AA19" s="5"/>
      <c r="AB19" s="5"/>
      <c r="AE19" s="5"/>
      <c r="AF19" s="5"/>
    </row>
    <row r="20" spans="1:32" ht="21.75">
      <c r="A20" s="25" t="s">
        <v>40</v>
      </c>
      <c r="B20" s="33">
        <f>VLOOKUP(C10,M9:P60,3)</f>
        <v>0.021</v>
      </c>
      <c r="C20" s="34">
        <f>IF(B20=0,"  ------",+B20*$C$12*($C$6)^2)</f>
        <v>181.44</v>
      </c>
      <c r="D20" s="35">
        <f>IF(B20=0,"  ------",+C20/(F8*H11*(F6-F14)))</f>
        <v>2.468441572908544</v>
      </c>
      <c r="E20" s="33">
        <f>IF(B20=0,"   -----",PI()*E$17^2/400/$D$20)</f>
        <v>0.2577223294786501</v>
      </c>
      <c r="F20" s="33">
        <f>IF(B20=0,"    -----",PI()*F$17^2/400/$D$20)</f>
        <v>0.11454325754606672</v>
      </c>
      <c r="G20" s="27"/>
      <c r="H20" s="27"/>
      <c r="M20" s="7">
        <v>0.6</v>
      </c>
      <c r="N20" s="5">
        <f>IF($E$5=1,0.063,IF($E$5=2,0.069,IF($E$5=3,0.078,IF($E$5=4,0.09,IF($E$5=5,0,"")))))</f>
        <v>0.069</v>
      </c>
      <c r="O20" s="5">
        <f>IF($E$5=1,0,IF($E$5=2,0.035,IF($E$5=3,0.039,IF($E$5=4,0.045,IF($E$5=5,0.053,"")))))</f>
        <v>0.035</v>
      </c>
      <c r="P20" s="5">
        <f>IF($E$5=1,0.047,IF($E$5=2,0.052,IF($E$5=3,0.059,IF($E$5=4,0.068,IF($E$5=5,0.08,"")))))</f>
        <v>0.052</v>
      </c>
      <c r="R20" s="5"/>
      <c r="S20" s="5"/>
      <c r="T20" s="5"/>
      <c r="V20" s="5"/>
      <c r="W20" s="5"/>
      <c r="X20" s="5"/>
      <c r="Z20" s="5"/>
      <c r="AA20" s="5"/>
      <c r="AB20" s="5"/>
      <c r="AE20" s="5"/>
      <c r="AF20" s="5"/>
    </row>
    <row r="21" spans="1:32" ht="21.75">
      <c r="A21" s="25" t="s">
        <v>11</v>
      </c>
      <c r="B21" s="33">
        <f>VLOOKUP(C10,M9:P60,4)</f>
        <v>0.031</v>
      </c>
      <c r="C21" s="34">
        <f>B21*$C$12*($C$6)^2</f>
        <v>267.84</v>
      </c>
      <c r="D21" s="35">
        <f>C21/(F8*H11*(F6-F14))</f>
        <v>3.643889940960231</v>
      </c>
      <c r="E21" s="33">
        <f>PI()*E$17^2/400/$D$21</f>
        <v>0.17458609416295653</v>
      </c>
      <c r="F21" s="33">
        <f>PI()*F$17^2/400/$D$21</f>
        <v>0.07759381962798069</v>
      </c>
      <c r="G21" s="27"/>
      <c r="H21" s="27"/>
      <c r="I21" s="5"/>
      <c r="J21" s="5"/>
      <c r="M21" s="7">
        <v>0.61</v>
      </c>
      <c r="N21" s="5">
        <f>$N$20-($N$20-$N$30)/10*1</f>
        <v>0.0683</v>
      </c>
      <c r="O21" s="5">
        <f>O20-(O20-O30)/10*1</f>
        <v>0.034600000000000006</v>
      </c>
      <c r="P21" s="5">
        <f>P20-(P20-P30)/10*1</f>
        <v>0.0515</v>
      </c>
      <c r="R21" s="5"/>
      <c r="S21" s="5"/>
      <c r="T21" s="5"/>
      <c r="V21" s="5"/>
      <c r="W21" s="5"/>
      <c r="X21" s="5"/>
      <c r="Z21" s="5"/>
      <c r="AA21" s="5"/>
      <c r="AB21" s="5"/>
      <c r="AE21" s="5"/>
      <c r="AF21" s="5"/>
    </row>
    <row r="22" spans="1:32" ht="21">
      <c r="A22" s="60" t="s">
        <v>41</v>
      </c>
      <c r="B22" s="60"/>
      <c r="C22" s="60"/>
      <c r="D22" s="71" t="s">
        <v>33</v>
      </c>
      <c r="E22" s="60"/>
      <c r="F22" s="70"/>
      <c r="G22" s="23"/>
      <c r="H22" s="23"/>
      <c r="I22" s="5"/>
      <c r="J22" s="5"/>
      <c r="M22" s="7">
        <v>0.62</v>
      </c>
      <c r="N22" s="5">
        <f>$N$20-($N$20-$N$30)/10*2</f>
        <v>0.06760000000000001</v>
      </c>
      <c r="O22" s="5">
        <f>O20-(O20-O30)/10*2</f>
        <v>0.0342</v>
      </c>
      <c r="P22" s="5">
        <f>P20-(P20-P30)/10*2</f>
        <v>0.051</v>
      </c>
      <c r="R22" s="5"/>
      <c r="S22" s="5"/>
      <c r="T22" s="5"/>
      <c r="V22" s="5"/>
      <c r="W22" s="5"/>
      <c r="X22" s="5"/>
      <c r="Z22" s="5"/>
      <c r="AA22" s="5"/>
      <c r="AB22" s="5"/>
      <c r="AE22" s="5"/>
      <c r="AF22" s="5"/>
    </row>
    <row r="23" spans="1:32" ht="21.75">
      <c r="A23" s="65" t="s">
        <v>34</v>
      </c>
      <c r="B23" s="67" t="s">
        <v>35</v>
      </c>
      <c r="C23" s="61" t="s">
        <v>36</v>
      </c>
      <c r="D23" s="61" t="s">
        <v>37</v>
      </c>
      <c r="E23" s="37">
        <f>E17</f>
        <v>9</v>
      </c>
      <c r="F23" s="37">
        <f>F17</f>
        <v>6</v>
      </c>
      <c r="G23" s="46" t="s">
        <v>58</v>
      </c>
      <c r="H23" s="47"/>
      <c r="I23" s="5"/>
      <c r="J23" s="5"/>
      <c r="M23" s="7">
        <v>0.63</v>
      </c>
      <c r="N23" s="5">
        <f>$N$20-($N$20-$N$30)/10*3</f>
        <v>0.0669</v>
      </c>
      <c r="O23" s="5">
        <f>O20-(O20-O30)/10*3</f>
        <v>0.033800000000000004</v>
      </c>
      <c r="P23" s="5">
        <f>P20-(P20-P30)/10*3</f>
        <v>0.050499999999999996</v>
      </c>
      <c r="R23" s="5"/>
      <c r="S23" s="5"/>
      <c r="T23" s="5"/>
      <c r="V23" s="5"/>
      <c r="W23" s="5"/>
      <c r="X23" s="5"/>
      <c r="Z23" s="5"/>
      <c r="AA23" s="5"/>
      <c r="AB23" s="5"/>
      <c r="AE23" s="5"/>
      <c r="AF23" s="5"/>
    </row>
    <row r="24" spans="1:32" ht="21.75">
      <c r="A24" s="66"/>
      <c r="B24" s="67"/>
      <c r="C24" s="62"/>
      <c r="D24" s="62"/>
      <c r="E24" s="28" t="s">
        <v>38</v>
      </c>
      <c r="F24" s="28" t="s">
        <v>38</v>
      </c>
      <c r="G24" s="48"/>
      <c r="H24" s="49"/>
      <c r="I24" s="5"/>
      <c r="J24" s="5"/>
      <c r="M24" s="7">
        <v>0.64</v>
      </c>
      <c r="N24" s="5">
        <f>$N$20-($N$20-$N$30)/10*4</f>
        <v>0.06620000000000001</v>
      </c>
      <c r="O24" s="5">
        <f>O20-(O20-O30)/10*4</f>
        <v>0.0334</v>
      </c>
      <c r="P24" s="5">
        <f>P20-(P20-P30)/10*4</f>
        <v>0.049999999999999996</v>
      </c>
      <c r="R24" s="5"/>
      <c r="S24" s="5"/>
      <c r="T24" s="5"/>
      <c r="V24" s="5"/>
      <c r="W24" s="5"/>
      <c r="X24" s="5"/>
      <c r="Z24" s="5"/>
      <c r="AA24" s="5"/>
      <c r="AB24" s="5"/>
      <c r="AE24" s="5"/>
      <c r="AF24" s="5"/>
    </row>
    <row r="25" spans="1:32" ht="21.75">
      <c r="A25" s="25" t="s">
        <v>39</v>
      </c>
      <c r="B25" s="33">
        <f>IF(E5=1,0.033,IF(E5=2,0.041,IF(E5=3,0.049,IF(E5=4,0.058,IF(E5=5,0,"")))))</f>
        <v>0.041</v>
      </c>
      <c r="C25" s="34">
        <f>B25*$C$12*($C$6)^2</f>
        <v>354.24</v>
      </c>
      <c r="D25" s="35">
        <f>C25/($F$8*$H$11*($F$6-$F$14))</f>
        <v>4.819338309011919</v>
      </c>
      <c r="E25" s="33">
        <f>IF(B25=0,"   -----",PI()*E$23^2/400/$D$25)</f>
        <v>0.13200411997686956</v>
      </c>
      <c r="F25" s="33">
        <f>IF(B25=0,"   -----",PI()*F$23^2/400/$D$25)</f>
        <v>0.058668497767497586</v>
      </c>
      <c r="G25" s="27"/>
      <c r="H25" s="27"/>
      <c r="I25" s="5"/>
      <c r="J25" s="5"/>
      <c r="M25" s="7">
        <v>0.65</v>
      </c>
      <c r="N25" s="5">
        <f>$N$20-($N$20-$N$30)/10*5</f>
        <v>0.0655</v>
      </c>
      <c r="O25" s="5">
        <f>O20-(O20-O30)/10*5</f>
        <v>0.033</v>
      </c>
      <c r="P25" s="5">
        <f>P20-(P20-P30)/10*5</f>
        <v>0.0495</v>
      </c>
      <c r="R25" s="5"/>
      <c r="S25" s="5"/>
      <c r="T25" s="5"/>
      <c r="V25" s="5"/>
      <c r="W25" s="5"/>
      <c r="X25" s="5"/>
      <c r="Z25" s="5"/>
      <c r="AA25" s="5"/>
      <c r="AB25" s="5"/>
      <c r="AE25" s="5"/>
      <c r="AF25" s="5"/>
    </row>
    <row r="26" spans="1:32" ht="21.75">
      <c r="A26" s="25" t="s">
        <v>40</v>
      </c>
      <c r="B26" s="33">
        <f>IF(E5=1,0,IF(E5=2,0.021,IF(E5=3,0.025,IF(E5=4,0.029,IF(E5=5,0.033,"")))))</f>
        <v>0.021</v>
      </c>
      <c r="C26" s="34">
        <f>IF(B26=0,"  ------",+B26*$C$12*($C$6)^2)</f>
        <v>181.44</v>
      </c>
      <c r="D26" s="35">
        <f>IF(B26=0,"  ------",+C26/($F$8*$H$11*($F$6-$F$14)))</f>
        <v>2.468441572908544</v>
      </c>
      <c r="E26" s="33">
        <f>IF(B26=0,"   -----",PI()*E$23^2/400/$D$26)</f>
        <v>0.2577223294786501</v>
      </c>
      <c r="F26" s="33">
        <f>IF(B26=0,"    -----",PI()*F$23^2/400/$D$26)</f>
        <v>0.11454325754606672</v>
      </c>
      <c r="G26" s="27"/>
      <c r="H26" s="27"/>
      <c r="I26" s="5"/>
      <c r="J26" s="5"/>
      <c r="M26" s="7">
        <v>0.66</v>
      </c>
      <c r="N26" s="5">
        <f>$N$20-($N$20-$N$30)/10*6</f>
        <v>0.0648</v>
      </c>
      <c r="O26" s="5">
        <f>O20-(O20-O30)/10*6</f>
        <v>0.032600000000000004</v>
      </c>
      <c r="P26" s="5">
        <f>P20-(P20-P30)/10*6</f>
        <v>0.049</v>
      </c>
      <c r="R26" s="5"/>
      <c r="S26" s="5"/>
      <c r="T26" s="5"/>
      <c r="V26" s="5"/>
      <c r="W26" s="5"/>
      <c r="X26" s="5"/>
      <c r="Z26" s="5"/>
      <c r="AA26" s="5"/>
      <c r="AB26" s="5"/>
      <c r="AE26" s="5"/>
      <c r="AF26" s="5"/>
    </row>
    <row r="27" spans="1:32" ht="21.75">
      <c r="A27" s="25" t="s">
        <v>11</v>
      </c>
      <c r="B27" s="33">
        <f>IF(E5=1,0.025,IF(E5=2,0.031,IF(E5=3,0.037,IF(E5=4,0.044,IF(E5=5,0.05,"")))))</f>
        <v>0.031</v>
      </c>
      <c r="C27" s="34">
        <f>B27*$C$12*($C$6)^2</f>
        <v>267.84</v>
      </c>
      <c r="D27" s="35">
        <f>C27/($F$8*$H$11*($F$6-$F$15))</f>
        <v>3.892336982389338</v>
      </c>
      <c r="E27" s="33">
        <f>PI()*E$23^2/400/$D$27</f>
        <v>0.1634423009185125</v>
      </c>
      <c r="F27" s="33">
        <f>PI()*F$23^2/400/$D$27</f>
        <v>0.07264102263045001</v>
      </c>
      <c r="G27" s="27"/>
      <c r="H27" s="27"/>
      <c r="I27" s="5"/>
      <c r="J27" s="5"/>
      <c r="M27" s="7">
        <v>0.67</v>
      </c>
      <c r="N27" s="5">
        <f>$N$20-($N$20-$N$30)/10*7</f>
        <v>0.0641</v>
      </c>
      <c r="O27" s="5">
        <f>O20-(O20-O30)/10*7</f>
        <v>0.0322</v>
      </c>
      <c r="P27" s="5">
        <f>P20-(P20-P30)/10*7</f>
        <v>0.0485</v>
      </c>
      <c r="R27" s="5"/>
      <c r="S27" s="5"/>
      <c r="T27" s="5"/>
      <c r="V27" s="5"/>
      <c r="W27" s="5"/>
      <c r="X27" s="5"/>
      <c r="Z27" s="5"/>
      <c r="AA27" s="5"/>
      <c r="AB27" s="5"/>
      <c r="AE27" s="5"/>
      <c r="AF27" s="5"/>
    </row>
    <row r="28" spans="1:32" ht="21.75">
      <c r="A28" s="26"/>
      <c r="B28" s="36"/>
      <c r="C28" s="28" t="s">
        <v>42</v>
      </c>
      <c r="D28" s="35">
        <f>IF(F8=1200,0.0025*100*F6*100,0.002*100*F6*100)</f>
        <v>2.5</v>
      </c>
      <c r="E28" s="33">
        <f>PI()*E$17^2/400/$D$28</f>
        <v>0.25446900494077324</v>
      </c>
      <c r="F28" s="33">
        <f>PI()*F$17^2/400/$D$28</f>
        <v>0.11309733552923255</v>
      </c>
      <c r="G28" s="26"/>
      <c r="H28" s="26"/>
      <c r="I28" s="5"/>
      <c r="J28" s="5"/>
      <c r="M28" s="7">
        <v>0.68</v>
      </c>
      <c r="N28" s="5">
        <f>$N$20-($N$20-$N$30)/10*8</f>
        <v>0.0634</v>
      </c>
      <c r="O28" s="5">
        <f>O20-(O20-O30)/10*8</f>
        <v>0.0318</v>
      </c>
      <c r="P28" s="5">
        <f>P20-(P20-P30)/10*8</f>
        <v>0.048</v>
      </c>
      <c r="R28" s="5"/>
      <c r="S28" s="5"/>
      <c r="T28" s="5"/>
      <c r="V28" s="5"/>
      <c r="W28" s="5"/>
      <c r="X28" s="5"/>
      <c r="Z28" s="5"/>
      <c r="AA28" s="5"/>
      <c r="AB28" s="5"/>
      <c r="AE28" s="5"/>
      <c r="AF28" s="5"/>
    </row>
    <row r="29" spans="1:32" ht="21">
      <c r="A29" s="60" t="s">
        <v>43</v>
      </c>
      <c r="B29" s="60"/>
      <c r="C29" s="60"/>
      <c r="D29" s="60"/>
      <c r="E29" s="60"/>
      <c r="F29" s="60"/>
      <c r="G29" s="60"/>
      <c r="H29" s="60"/>
      <c r="I29" s="5"/>
      <c r="J29" s="5"/>
      <c r="M29" s="7">
        <v>0.69</v>
      </c>
      <c r="N29" s="5">
        <f>$N$20-($N$20-$N$30)/10*9</f>
        <v>0.0627</v>
      </c>
      <c r="O29" s="5">
        <f>O20-(O20-O30)/10*9</f>
        <v>0.0314</v>
      </c>
      <c r="P29" s="5">
        <f>P20-(P20-P30)/10*9</f>
        <v>0.0475</v>
      </c>
      <c r="R29" s="5"/>
      <c r="S29" s="5"/>
      <c r="T29" s="5"/>
      <c r="V29" s="5"/>
      <c r="W29" s="5"/>
      <c r="X29" s="5"/>
      <c r="Z29" s="5"/>
      <c r="AA29" s="5"/>
      <c r="AB29" s="5"/>
      <c r="AE29" s="5"/>
      <c r="AF29" s="5"/>
    </row>
    <row r="30" spans="1:32" ht="21.75">
      <c r="A30" s="63" t="s">
        <v>44</v>
      </c>
      <c r="B30" s="64"/>
      <c r="C30" s="59" t="s">
        <v>44</v>
      </c>
      <c r="D30" s="59"/>
      <c r="E30" s="59" t="s">
        <v>45</v>
      </c>
      <c r="F30" s="59"/>
      <c r="G30" s="83" t="s">
        <v>58</v>
      </c>
      <c r="H30" s="84"/>
      <c r="I30" s="5"/>
      <c r="J30" s="5"/>
      <c r="M30" s="7">
        <v>0.7</v>
      </c>
      <c r="N30" s="5">
        <f>IF($E$5=1,0.055,IF($E$5=2,0.062,IF($E$5=3,0.071,IF($E$5=4,0.082,IF($E$5=5,0,"")))))</f>
        <v>0.062</v>
      </c>
      <c r="O30" s="5">
        <f>IF($E$5=1,0,IF($E$5=2,0.031,IF($E$5=3,0.036,IF($E$5=4,0.041,IF($E$5=5,0.047,"")))))</f>
        <v>0.031</v>
      </c>
      <c r="P30" s="5">
        <f>IF($E$5=1,0.041,IF($E$5=2,0.047,IF($E$5=3,0.054,IF($E$5=4,0.062,IF($E$5=5,0.072,"")))))</f>
        <v>0.047</v>
      </c>
      <c r="R30" s="5"/>
      <c r="S30" s="5"/>
      <c r="T30" s="5"/>
      <c r="V30" s="5"/>
      <c r="W30" s="5"/>
      <c r="X30" s="5"/>
      <c r="Z30" s="5"/>
      <c r="AA30" s="5"/>
      <c r="AB30" s="5"/>
      <c r="AE30" s="5"/>
      <c r="AF30" s="5"/>
    </row>
    <row r="31" spans="1:32" ht="21.75">
      <c r="A31" s="44" t="s">
        <v>23</v>
      </c>
      <c r="B31" s="45"/>
      <c r="C31" s="85">
        <f>ROUND(+C12*C6/3,-1)</f>
        <v>720</v>
      </c>
      <c r="D31" s="85"/>
      <c r="E31" s="85">
        <f>ROUND(+C31*(3-C10^2)/2,-1)</f>
        <v>720</v>
      </c>
      <c r="F31" s="85"/>
      <c r="G31" s="32"/>
      <c r="H31" s="32"/>
      <c r="I31" s="5"/>
      <c r="J31" s="5"/>
      <c r="M31" s="7">
        <v>0.71</v>
      </c>
      <c r="N31" s="5">
        <f>$N$30-($N$30-$N$40)/10*1</f>
        <v>0.0613</v>
      </c>
      <c r="O31" s="5">
        <f>O30-(O30-O40)/10*1</f>
        <v>0.0306</v>
      </c>
      <c r="P31" s="5">
        <f>P30-(P30-P40)/10*1</f>
        <v>0.0464</v>
      </c>
      <c r="R31" s="5"/>
      <c r="S31" s="5"/>
      <c r="T31" s="5"/>
      <c r="V31" s="5"/>
      <c r="W31" s="5"/>
      <c r="X31" s="5"/>
      <c r="Z31" s="5"/>
      <c r="AA31" s="5"/>
      <c r="AB31" s="5"/>
      <c r="AE31" s="5"/>
      <c r="AF31" s="5"/>
    </row>
    <row r="32" spans="1:32" ht="21.75">
      <c r="A32" s="29"/>
      <c r="B32" s="29"/>
      <c r="C32" s="29"/>
      <c r="D32" s="29"/>
      <c r="E32" s="29"/>
      <c r="F32" s="29"/>
      <c r="G32" s="29"/>
      <c r="H32" s="29"/>
      <c r="I32" s="5"/>
      <c r="J32" s="5"/>
      <c r="M32" s="7">
        <v>0.72</v>
      </c>
      <c r="N32" s="5">
        <f>$N$30-($N$30-$N$40)/10*2</f>
        <v>0.0606</v>
      </c>
      <c r="O32" s="5">
        <f>O30-(O30-O40)/10*2</f>
        <v>0.0302</v>
      </c>
      <c r="P32" s="5">
        <f>P30-(P30-P40)/10*2</f>
        <v>0.0458</v>
      </c>
      <c r="R32" s="5"/>
      <c r="S32" s="5"/>
      <c r="T32" s="5"/>
      <c r="V32" s="5"/>
      <c r="W32" s="5"/>
      <c r="X32" s="5"/>
      <c r="Z32" s="5"/>
      <c r="AA32" s="5"/>
      <c r="AB32" s="5"/>
      <c r="AE32" s="5"/>
      <c r="AF32" s="5"/>
    </row>
    <row r="33" spans="1:32" ht="21.75">
      <c r="A33" s="11"/>
      <c r="B33" s="11"/>
      <c r="C33" s="11"/>
      <c r="D33" s="11"/>
      <c r="E33" s="11"/>
      <c r="F33" s="11"/>
      <c r="G33" s="11"/>
      <c r="H33" s="11"/>
      <c r="I33" s="5"/>
      <c r="J33" s="5"/>
      <c r="M33" s="7">
        <v>0.73</v>
      </c>
      <c r="N33" s="5">
        <f>$N$30-($N$30-$N$40)/10*3</f>
        <v>0.0599</v>
      </c>
      <c r="O33" s="5">
        <f>O30-(O30-O40)/10*3</f>
        <v>0.0298</v>
      </c>
      <c r="P33" s="5">
        <f>P30-(P30-P40)/10*3</f>
        <v>0.045200000000000004</v>
      </c>
      <c r="R33" s="5"/>
      <c r="S33" s="5"/>
      <c r="T33" s="5"/>
      <c r="V33" s="5"/>
      <c r="W33" s="5"/>
      <c r="X33" s="5"/>
      <c r="Z33" s="5"/>
      <c r="AA33" s="5"/>
      <c r="AB33" s="5"/>
      <c r="AE33" s="5"/>
      <c r="AF33" s="5"/>
    </row>
    <row r="34" spans="1:32" ht="21.75">
      <c r="A34" s="11"/>
      <c r="B34" s="11"/>
      <c r="C34" s="11"/>
      <c r="D34" s="11"/>
      <c r="E34" s="11"/>
      <c r="F34" s="11"/>
      <c r="G34" s="11"/>
      <c r="H34" s="11"/>
      <c r="I34" s="5"/>
      <c r="J34" s="5"/>
      <c r="M34" s="7">
        <v>0.74</v>
      </c>
      <c r="N34" s="5">
        <f>$N$30-($N$30-$N$40)/10*4</f>
        <v>0.0592</v>
      </c>
      <c r="O34" s="5">
        <f>O30-(O30-O40)/10*4</f>
        <v>0.0294</v>
      </c>
      <c r="P34" s="5">
        <f>P30-(P30-P40)/10*4</f>
        <v>0.0446</v>
      </c>
      <c r="R34" s="5"/>
      <c r="S34" s="5"/>
      <c r="T34" s="5"/>
      <c r="V34" s="5"/>
      <c r="W34" s="5"/>
      <c r="X34" s="5"/>
      <c r="Z34" s="5"/>
      <c r="AA34" s="5"/>
      <c r="AB34" s="5"/>
      <c r="AE34" s="5"/>
      <c r="AF34" s="5"/>
    </row>
    <row r="35" spans="1:32" ht="21.75">
      <c r="A35" s="11"/>
      <c r="B35" s="11"/>
      <c r="C35" s="11"/>
      <c r="D35" s="11"/>
      <c r="E35" s="11"/>
      <c r="F35" s="11"/>
      <c r="G35" s="11"/>
      <c r="H35" s="11"/>
      <c r="M35" s="7">
        <v>0.75</v>
      </c>
      <c r="N35" s="5">
        <f>$N$30-($N$30-$N$40)/10*5</f>
        <v>0.058499999999999996</v>
      </c>
      <c r="O35" s="5">
        <f>O30-(O30-O40)/10*5</f>
        <v>0.028999999999999998</v>
      </c>
      <c r="P35" s="5">
        <f>P30-(P30-P40)/10*5</f>
        <v>0.044</v>
      </c>
      <c r="R35" s="5"/>
      <c r="S35" s="5"/>
      <c r="T35" s="5"/>
      <c r="V35" s="5"/>
      <c r="W35" s="5"/>
      <c r="X35" s="5"/>
      <c r="Z35" s="5"/>
      <c r="AA35" s="5"/>
      <c r="AB35" s="5"/>
      <c r="AE35" s="5"/>
      <c r="AF35" s="5"/>
    </row>
    <row r="36" spans="9:32" ht="12">
      <c r="I36" s="5"/>
      <c r="J36" s="5"/>
      <c r="M36" s="7">
        <v>0.76</v>
      </c>
      <c r="N36" s="5">
        <f>$N$30-($N$30-$N$40)/10*6</f>
        <v>0.057800000000000004</v>
      </c>
      <c r="O36" s="5">
        <f>O30-(O30-O40)/10*6</f>
        <v>0.0286</v>
      </c>
      <c r="P36" s="5">
        <f>P30-(P30-P40)/10*6</f>
        <v>0.0434</v>
      </c>
      <c r="R36" s="5"/>
      <c r="S36" s="5"/>
      <c r="T36" s="5"/>
      <c r="V36" s="5"/>
      <c r="W36" s="5"/>
      <c r="X36" s="5"/>
      <c r="Z36" s="5"/>
      <c r="AA36" s="5"/>
      <c r="AB36" s="5"/>
      <c r="AE36" s="5"/>
      <c r="AF36" s="5"/>
    </row>
    <row r="37" spans="1:32" ht="12">
      <c r="A37" s="4"/>
      <c r="I37" s="5"/>
      <c r="J37" s="5"/>
      <c r="M37" s="7">
        <v>0.77</v>
      </c>
      <c r="N37" s="5">
        <f>$N$30-($N$30-$N$40)/10*7</f>
        <v>0.0571</v>
      </c>
      <c r="O37" s="5">
        <f>O30-(O30-O40)/10*7</f>
        <v>0.0282</v>
      </c>
      <c r="P37" s="5">
        <f>P30-(P30-P40)/10*7</f>
        <v>0.042800000000000005</v>
      </c>
      <c r="R37" s="5"/>
      <c r="S37" s="5"/>
      <c r="T37" s="5"/>
      <c r="V37" s="5"/>
      <c r="W37" s="5"/>
      <c r="X37" s="5"/>
      <c r="Z37" s="5"/>
      <c r="AA37" s="5"/>
      <c r="AB37" s="5"/>
      <c r="AE37" s="5"/>
      <c r="AF37" s="5"/>
    </row>
    <row r="38" spans="1:32" ht="12">
      <c r="A38" s="1"/>
      <c r="I38" s="5"/>
      <c r="J38" s="5"/>
      <c r="M38" s="7">
        <v>0.78</v>
      </c>
      <c r="N38" s="5">
        <f>$N$30-($N$30-$N$40)/10*8</f>
        <v>0.0564</v>
      </c>
      <c r="O38" s="5">
        <f>O30-(O30-O40)/10*8</f>
        <v>0.0278</v>
      </c>
      <c r="P38" s="5">
        <f>P30-(P30-P40)/10*8</f>
        <v>0.0422</v>
      </c>
      <c r="R38" s="5"/>
      <c r="S38" s="5"/>
      <c r="T38" s="5"/>
      <c r="V38" s="5"/>
      <c r="W38" s="5"/>
      <c r="X38" s="5"/>
      <c r="Z38" s="5"/>
      <c r="AA38" s="5"/>
      <c r="AB38" s="5"/>
      <c r="AE38" s="5"/>
      <c r="AF38" s="5"/>
    </row>
    <row r="39" spans="9:32" ht="12">
      <c r="I39" s="5"/>
      <c r="J39" s="5"/>
      <c r="M39" s="7">
        <v>0.79</v>
      </c>
      <c r="N39" s="5">
        <f>$N$30-($N$30-$N$40)/10*9</f>
        <v>0.0557</v>
      </c>
      <c r="O39" s="5">
        <f>O30-(O30-O40)/10*9</f>
        <v>0.0274</v>
      </c>
      <c r="P39" s="5">
        <f>P30-(P30-P40)/10*9</f>
        <v>0.0416</v>
      </c>
      <c r="R39" s="5"/>
      <c r="S39" s="5"/>
      <c r="T39" s="5"/>
      <c r="V39" s="5"/>
      <c r="W39" s="5"/>
      <c r="X39" s="5"/>
      <c r="Z39" s="5"/>
      <c r="AA39" s="5"/>
      <c r="AB39" s="5"/>
      <c r="AE39" s="5"/>
      <c r="AF39" s="5"/>
    </row>
    <row r="40" spans="9:32" ht="12">
      <c r="I40" s="5"/>
      <c r="J40" s="5"/>
      <c r="M40" s="7">
        <v>0.8</v>
      </c>
      <c r="N40" s="5">
        <f>IF($E$5=1,0.048,IF($E$5=2,0.055,IF($E$5=3,0.064,IF($E$5=4,0.074,IF($E$5=5,0,"")))))</f>
        <v>0.055</v>
      </c>
      <c r="O40" s="5">
        <f>IF($E$5=1,0,IF($E$5=2,0.027,IF($E$5=3,0.032,IF($E$5=4,0.037,IF($E$5=5,0.043,"")))))</f>
        <v>0.027</v>
      </c>
      <c r="P40" s="5">
        <f>IF($E$5=1,0.036,IF($E$5=2,0.041,IF($E$5=3,0.048,IF($E$5=4,0.056,IF($E$5=5,0.064,"")))))</f>
        <v>0.041</v>
      </c>
      <c r="R40" s="5"/>
      <c r="S40" s="5"/>
      <c r="T40" s="5"/>
      <c r="V40" s="5"/>
      <c r="W40" s="5"/>
      <c r="X40" s="5"/>
      <c r="Z40" s="5"/>
      <c r="AA40" s="5"/>
      <c r="AB40" s="5"/>
      <c r="AE40" s="5"/>
      <c r="AF40" s="5"/>
    </row>
    <row r="41" spans="9:32" ht="12">
      <c r="I41" s="5"/>
      <c r="J41" s="5"/>
      <c r="M41" s="7">
        <v>0.81</v>
      </c>
      <c r="N41" s="5">
        <f>$N$40-($N$40-$N$50)/10*1</f>
        <v>0.0543</v>
      </c>
      <c r="O41" s="5">
        <f>O40-(O40-O50)/10*1</f>
        <v>0.0267</v>
      </c>
      <c r="P41" s="5">
        <f>P40-(P40-P50)/10*1</f>
        <v>0.0405</v>
      </c>
      <c r="R41" s="5"/>
      <c r="S41" s="5"/>
      <c r="T41" s="5"/>
      <c r="V41" s="5"/>
      <c r="W41" s="5"/>
      <c r="X41" s="5"/>
      <c r="Z41" s="5"/>
      <c r="AA41" s="5"/>
      <c r="AB41" s="5"/>
      <c r="AE41" s="5"/>
      <c r="AF41" s="5"/>
    </row>
    <row r="42" spans="9:32" ht="12">
      <c r="I42" s="5"/>
      <c r="J42" s="5"/>
      <c r="M42" s="7">
        <v>0.82</v>
      </c>
      <c r="N42" s="5">
        <f>$N$40-($N$40-$N$50)/10*2</f>
        <v>0.0536</v>
      </c>
      <c r="O42" s="5">
        <f>O40-(O40-O50)/10*2</f>
        <v>0.0264</v>
      </c>
      <c r="P42" s="5">
        <f>P40-(P40-P50)/10*2</f>
        <v>0.04</v>
      </c>
      <c r="R42" s="5"/>
      <c r="S42" s="5"/>
      <c r="T42" s="5"/>
      <c r="V42" s="5"/>
      <c r="W42" s="5"/>
      <c r="X42" s="5"/>
      <c r="Z42" s="5"/>
      <c r="AA42" s="5"/>
      <c r="AB42" s="5"/>
      <c r="AE42" s="5"/>
      <c r="AF42" s="5"/>
    </row>
    <row r="43" spans="9:32" ht="12">
      <c r="I43" s="5"/>
      <c r="J43" s="5"/>
      <c r="M43" s="7">
        <v>0.83</v>
      </c>
      <c r="N43" s="5">
        <f>$N$40-($N$40-$N$50)/10*3</f>
        <v>0.0529</v>
      </c>
      <c r="O43" s="5">
        <f>O40-(O40-O50)/10*3</f>
        <v>0.026099999999999998</v>
      </c>
      <c r="P43" s="5">
        <f>P40-(P40-P50)/10*3</f>
        <v>0.0395</v>
      </c>
      <c r="R43" s="5"/>
      <c r="S43" s="5"/>
      <c r="T43" s="5"/>
      <c r="V43" s="5"/>
      <c r="W43" s="5"/>
      <c r="X43" s="5"/>
      <c r="Z43" s="5"/>
      <c r="AA43" s="5"/>
      <c r="AB43" s="5"/>
      <c r="AE43" s="5"/>
      <c r="AF43" s="5"/>
    </row>
    <row r="44" spans="9:32" ht="12">
      <c r="I44" s="5"/>
      <c r="J44" s="5"/>
      <c r="M44" s="7">
        <v>0.84</v>
      </c>
      <c r="N44" s="5">
        <f>$N$40-($N$40-$N$50)/10*4</f>
        <v>0.0522</v>
      </c>
      <c r="O44" s="5">
        <f>O40-(O40-O50)/10*4</f>
        <v>0.0258</v>
      </c>
      <c r="P44" s="5">
        <f>P40-(P40-P50)/10*4</f>
        <v>0.039</v>
      </c>
      <c r="R44" s="5"/>
      <c r="S44" s="5"/>
      <c r="T44" s="5"/>
      <c r="V44" s="5"/>
      <c r="W44" s="5"/>
      <c r="X44" s="5"/>
      <c r="Z44" s="5"/>
      <c r="AA44" s="5"/>
      <c r="AB44" s="5"/>
      <c r="AE44" s="5"/>
      <c r="AF44" s="5"/>
    </row>
    <row r="45" spans="9:32" ht="12">
      <c r="I45" s="5"/>
      <c r="J45" s="5"/>
      <c r="M45" s="7">
        <v>0.85</v>
      </c>
      <c r="N45" s="5">
        <f>$N$40-($N$40-$N$50)/10*5</f>
        <v>0.051500000000000004</v>
      </c>
      <c r="O45" s="5">
        <f>O40-(O40-O50)/10*5</f>
        <v>0.025500000000000002</v>
      </c>
      <c r="P45" s="5">
        <f>P40-(P40-P50)/10*5</f>
        <v>0.0385</v>
      </c>
      <c r="R45" s="5"/>
      <c r="S45" s="5"/>
      <c r="T45" s="5"/>
      <c r="V45" s="5"/>
      <c r="W45" s="5"/>
      <c r="X45" s="5"/>
      <c r="Z45" s="5"/>
      <c r="AA45" s="5"/>
      <c r="AB45" s="5"/>
      <c r="AE45" s="5"/>
      <c r="AF45" s="5"/>
    </row>
    <row r="46" spans="9:32" ht="12">
      <c r="I46" s="5"/>
      <c r="J46" s="5"/>
      <c r="M46" s="7">
        <v>0.86</v>
      </c>
      <c r="N46" s="5">
        <f>$N$40-($N$40-$N$50)/10*6</f>
        <v>0.0508</v>
      </c>
      <c r="O46" s="5">
        <f>O40-(O40-O50)/10*6</f>
        <v>0.0252</v>
      </c>
      <c r="P46" s="5">
        <f>P40-(P40-P50)/10*6</f>
        <v>0.038</v>
      </c>
      <c r="R46" s="5"/>
      <c r="S46" s="5"/>
      <c r="T46" s="5"/>
      <c r="V46" s="5"/>
      <c r="W46" s="5"/>
      <c r="X46" s="5"/>
      <c r="Z46" s="5"/>
      <c r="AA46" s="5"/>
      <c r="AB46" s="5"/>
      <c r="AE46" s="5"/>
      <c r="AF46" s="5"/>
    </row>
    <row r="47" spans="9:32" ht="12">
      <c r="I47" s="5"/>
      <c r="J47" s="5"/>
      <c r="M47" s="7">
        <v>0.87</v>
      </c>
      <c r="N47" s="5">
        <f>$N$40-($N$40-$N$50)/10*7</f>
        <v>0.0501</v>
      </c>
      <c r="O47" s="5">
        <f>O40-(O40-O50)/10*7</f>
        <v>0.0249</v>
      </c>
      <c r="P47" s="5">
        <f>P40-(P40-P50)/10*7</f>
        <v>0.0375</v>
      </c>
      <c r="R47" s="5"/>
      <c r="S47" s="5"/>
      <c r="T47" s="5"/>
      <c r="V47" s="5"/>
      <c r="W47" s="5"/>
      <c r="X47" s="5"/>
      <c r="Z47" s="5"/>
      <c r="AA47" s="5"/>
      <c r="AB47" s="5"/>
      <c r="AE47" s="5"/>
      <c r="AF47" s="5"/>
    </row>
    <row r="48" spans="9:32" ht="12">
      <c r="I48" s="5"/>
      <c r="J48" s="5"/>
      <c r="M48" s="7">
        <v>0.88</v>
      </c>
      <c r="N48" s="5">
        <f>$N$40-($N$40-$N$50)/10*8</f>
        <v>0.0494</v>
      </c>
      <c r="O48" s="5">
        <f>O40-(O40-O50)/10*8</f>
        <v>0.0246</v>
      </c>
      <c r="P48" s="5">
        <f>P40-(P40-P50)/10*8</f>
        <v>0.037</v>
      </c>
      <c r="R48" s="5"/>
      <c r="S48" s="5"/>
      <c r="T48" s="5"/>
      <c r="V48" s="5"/>
      <c r="W48" s="5"/>
      <c r="X48" s="5"/>
      <c r="Z48" s="5"/>
      <c r="AA48" s="5"/>
      <c r="AB48" s="5"/>
      <c r="AE48" s="5"/>
      <c r="AF48" s="5"/>
    </row>
    <row r="49" spans="9:32" ht="12">
      <c r="I49" s="5"/>
      <c r="J49" s="5"/>
      <c r="M49" s="7">
        <v>0.89</v>
      </c>
      <c r="N49" s="5">
        <f>$N$40-($N$40-$N$50)/10*9</f>
        <v>0.0487</v>
      </c>
      <c r="O49" s="5">
        <f>O40-(O40-O50)/10*9</f>
        <v>0.024300000000000002</v>
      </c>
      <c r="P49" s="5">
        <f>P40-(P40-P50)/10*9</f>
        <v>0.0365</v>
      </c>
      <c r="R49" s="5"/>
      <c r="S49" s="5"/>
      <c r="T49" s="5"/>
      <c r="V49" s="5"/>
      <c r="W49" s="5"/>
      <c r="X49" s="5"/>
      <c r="Z49" s="5"/>
      <c r="AA49" s="5"/>
      <c r="AB49" s="5"/>
      <c r="AE49" s="5"/>
      <c r="AF49" s="5"/>
    </row>
    <row r="50" spans="9:32" ht="12">
      <c r="I50" s="5"/>
      <c r="J50" s="5"/>
      <c r="M50" s="7">
        <v>0.9</v>
      </c>
      <c r="N50" s="5">
        <f>IF($E$5=1,0.04,IF($E$5=2,0.048,IF($E$5=3,0.057,IF($E$5=4,0.066,IF($E$5=5,0,"")))))</f>
        <v>0.048</v>
      </c>
      <c r="O50" s="5">
        <f>IF($E$5=1,0,IF($E$5=2,0.024,IF($E$5=3,0.028,IF($E$5=4,0.033,IF($E$5=5,0.038,"")))))</f>
        <v>0.024</v>
      </c>
      <c r="P50" s="5">
        <f>IF($E$5=1,0.03,IF($E$5=2,0.036,IF($E$5=3,0.043,IF($E$5=4,0.05,IF($E$5=5,0.057,"")))))</f>
        <v>0.036</v>
      </c>
      <c r="R50" s="5"/>
      <c r="S50" s="5"/>
      <c r="T50" s="5"/>
      <c r="V50" s="5"/>
      <c r="W50" s="5"/>
      <c r="X50" s="5"/>
      <c r="Z50" s="5"/>
      <c r="AA50" s="5"/>
      <c r="AB50" s="5"/>
      <c r="AE50" s="5"/>
      <c r="AF50" s="5"/>
    </row>
    <row r="51" spans="9:32" ht="12">
      <c r="I51" s="5"/>
      <c r="J51" s="5"/>
      <c r="M51" s="7">
        <v>0.91</v>
      </c>
      <c r="N51" s="5">
        <f>$N$50-($N$50-$N$60)/10*1</f>
        <v>0.0473</v>
      </c>
      <c r="O51" s="5">
        <f>O50-(O50-O60)/10*1</f>
        <v>0.0237</v>
      </c>
      <c r="P51" s="5">
        <f>P50-(P50-P60)/10*1</f>
        <v>0.0355</v>
      </c>
      <c r="R51" s="5"/>
      <c r="S51" s="5"/>
      <c r="T51" s="5"/>
      <c r="V51" s="5"/>
      <c r="W51" s="5"/>
      <c r="X51" s="5"/>
      <c r="Z51" s="5"/>
      <c r="AA51" s="5"/>
      <c r="AB51" s="5"/>
      <c r="AE51" s="5"/>
      <c r="AF51" s="5"/>
    </row>
    <row r="52" spans="9:32" ht="12">
      <c r="I52" s="5"/>
      <c r="J52" s="5"/>
      <c r="M52" s="7">
        <v>0.92</v>
      </c>
      <c r="N52" s="5">
        <f>$N$50-($N$50-$N$60)/10*2</f>
        <v>0.0466</v>
      </c>
      <c r="O52" s="5">
        <f>O50-(O50-O60)/10*2</f>
        <v>0.0234</v>
      </c>
      <c r="P52" s="5">
        <f>P50-(P50-P60)/10*2</f>
        <v>0.034999999999999996</v>
      </c>
      <c r="R52" s="5"/>
      <c r="S52" s="5"/>
      <c r="T52" s="5"/>
      <c r="V52" s="5"/>
      <c r="W52" s="5"/>
      <c r="X52" s="5"/>
      <c r="Z52" s="5"/>
      <c r="AA52" s="5"/>
      <c r="AB52" s="5"/>
      <c r="AE52" s="5"/>
      <c r="AF52" s="5"/>
    </row>
    <row r="53" spans="9:32" ht="12">
      <c r="I53" s="5"/>
      <c r="J53" s="5"/>
      <c r="M53" s="7">
        <v>0.93</v>
      </c>
      <c r="N53" s="5">
        <f>$N$50-($N$50-$N$60)/10*3</f>
        <v>0.0459</v>
      </c>
      <c r="O53" s="5">
        <f>O50-(O50-O60)/10*3</f>
        <v>0.023100000000000002</v>
      </c>
      <c r="P53" s="5">
        <f>P50-(P50-P60)/10*3</f>
        <v>0.034499999999999996</v>
      </c>
      <c r="R53" s="5"/>
      <c r="S53" s="5"/>
      <c r="T53" s="5"/>
      <c r="V53" s="5"/>
      <c r="W53" s="5"/>
      <c r="X53" s="5"/>
      <c r="Z53" s="5"/>
      <c r="AA53" s="5"/>
      <c r="AB53" s="5"/>
      <c r="AE53" s="5"/>
      <c r="AF53" s="5"/>
    </row>
    <row r="54" spans="9:32" ht="12">
      <c r="I54" s="5"/>
      <c r="J54" s="5"/>
      <c r="M54" s="7">
        <v>0.94</v>
      </c>
      <c r="N54" s="5">
        <f>$N$50-($N$50-$N$60)/10*4</f>
        <v>0.045200000000000004</v>
      </c>
      <c r="O54" s="5">
        <f>O50-(O50-O60)/10*4</f>
        <v>0.0228</v>
      </c>
      <c r="P54" s="5">
        <f>P50-(P50-P60)/10*4</f>
        <v>0.033999999999999996</v>
      </c>
      <c r="R54" s="5"/>
      <c r="S54" s="5"/>
      <c r="T54" s="5"/>
      <c r="V54" s="5"/>
      <c r="W54" s="5"/>
      <c r="X54" s="5"/>
      <c r="Z54" s="5"/>
      <c r="AA54" s="5"/>
      <c r="AB54" s="5"/>
      <c r="AE54" s="5"/>
      <c r="AF54" s="5"/>
    </row>
    <row r="55" spans="9:32" ht="12">
      <c r="I55" s="5"/>
      <c r="J55" s="5"/>
      <c r="M55" s="7">
        <v>0.95</v>
      </c>
      <c r="N55" s="5">
        <f>$N$50-($N$50-$N$60)/10*5</f>
        <v>0.0445</v>
      </c>
      <c r="O55" s="5">
        <f>O50-(O50-O60)/10*5</f>
        <v>0.0225</v>
      </c>
      <c r="P55" s="5">
        <f>P50-(P50-P60)/10*5</f>
        <v>0.0335</v>
      </c>
      <c r="R55" s="5"/>
      <c r="S55" s="5"/>
      <c r="T55" s="5"/>
      <c r="V55" s="5"/>
      <c r="W55" s="5"/>
      <c r="X55" s="5"/>
      <c r="Z55" s="5"/>
      <c r="AA55" s="5"/>
      <c r="AB55" s="5"/>
      <c r="AE55" s="5"/>
      <c r="AF55" s="5"/>
    </row>
    <row r="56" spans="9:32" ht="12">
      <c r="I56" s="5"/>
      <c r="J56" s="5"/>
      <c r="M56" s="7">
        <v>0.96</v>
      </c>
      <c r="N56" s="5">
        <f>$N$50-($N$50-$N$60)/10*6</f>
        <v>0.043800000000000006</v>
      </c>
      <c r="O56" s="5">
        <f>O50-(O50-O60)/10*6</f>
        <v>0.0222</v>
      </c>
      <c r="P56" s="5">
        <f>P50-(P50-P60)/10*6</f>
        <v>0.033</v>
      </c>
      <c r="R56" s="5"/>
      <c r="S56" s="5"/>
      <c r="T56" s="5"/>
      <c r="V56" s="5"/>
      <c r="W56" s="5"/>
      <c r="X56" s="5"/>
      <c r="Z56" s="5"/>
      <c r="AA56" s="5"/>
      <c r="AB56" s="5"/>
      <c r="AE56" s="5"/>
      <c r="AF56" s="5"/>
    </row>
    <row r="57" spans="9:32" ht="12">
      <c r="I57" s="5"/>
      <c r="J57" s="5"/>
      <c r="M57" s="7">
        <v>0.97</v>
      </c>
      <c r="N57" s="5">
        <f>$N$50-($N$50-$N$60)/10*7</f>
        <v>0.0431</v>
      </c>
      <c r="O57" s="5">
        <f>O50-(O50-O60)/10*7</f>
        <v>0.021900000000000003</v>
      </c>
      <c r="P57" s="5">
        <f>P50-(P50-P60)/10*7</f>
        <v>0.0325</v>
      </c>
      <c r="R57" s="5"/>
      <c r="S57" s="5"/>
      <c r="T57" s="5"/>
      <c r="V57" s="5"/>
      <c r="W57" s="5"/>
      <c r="X57" s="5"/>
      <c r="Z57" s="5"/>
      <c r="AA57" s="5"/>
      <c r="AB57" s="5"/>
      <c r="AE57" s="5"/>
      <c r="AF57" s="5"/>
    </row>
    <row r="58" spans="9:32" ht="12">
      <c r="I58" s="5"/>
      <c r="J58" s="5"/>
      <c r="M58" s="7">
        <v>0.98</v>
      </c>
      <c r="N58" s="5">
        <f>$N$50-($N$50-$N$60)/10*8</f>
        <v>0.0424</v>
      </c>
      <c r="O58" s="5">
        <f>O50-(O50-O60)/10*8</f>
        <v>0.0216</v>
      </c>
      <c r="P58" s="5">
        <f>P50-(P50-P60)/10*8</f>
        <v>0.032</v>
      </c>
      <c r="R58" s="5"/>
      <c r="S58" s="5"/>
      <c r="T58" s="5"/>
      <c r="V58" s="5"/>
      <c r="W58" s="5"/>
      <c r="X58" s="5"/>
      <c r="Z58" s="5"/>
      <c r="AA58" s="5"/>
      <c r="AB58" s="5"/>
      <c r="AE58" s="5"/>
      <c r="AF58" s="5"/>
    </row>
    <row r="59" spans="9:32" ht="12">
      <c r="I59" s="5"/>
      <c r="J59" s="5"/>
      <c r="M59" s="7">
        <v>0.99</v>
      </c>
      <c r="N59" s="5">
        <f>$N$50-($N$50-$N$60)/10*9</f>
        <v>0.0417</v>
      </c>
      <c r="O59" s="5">
        <f>O50-(O50-O60)/10*9</f>
        <v>0.0213</v>
      </c>
      <c r="P59" s="5">
        <f>P50-(P50-P60)/10*9</f>
        <v>0.0315</v>
      </c>
      <c r="R59" s="5"/>
      <c r="S59" s="5"/>
      <c r="T59" s="5"/>
      <c r="V59" s="5"/>
      <c r="W59" s="5"/>
      <c r="X59" s="5"/>
      <c r="Z59" s="5"/>
      <c r="AA59" s="5"/>
      <c r="AB59" s="5"/>
      <c r="AE59" s="5"/>
      <c r="AF59" s="5"/>
    </row>
    <row r="60" spans="9:32" ht="12">
      <c r="I60" s="5"/>
      <c r="J60" s="5"/>
      <c r="M60" s="7">
        <v>1</v>
      </c>
      <c r="N60" s="5">
        <f>IF($E$5=1,0.033,IF($E$5=2,0.041,IF($E$5=3,0.049,IF($E$5=4,0.058,IF($E$5=5,0,"")))))</f>
        <v>0.041</v>
      </c>
      <c r="O60" s="5">
        <f>IF($E$5=1,0,IF($E$5=2,0.021,IF($E$5=3,0.025,IF($E$5=4,0.029,IF($E$5=5,0.033,"")))))</f>
        <v>0.021</v>
      </c>
      <c r="P60" s="5">
        <f>IF($E$5=1,0.025,IF($E$5=2,0.031,IF($E$5=3,0.037,IF($E$5=4,0.044,IF($E$5=5,0.05,"")))))</f>
        <v>0.031</v>
      </c>
      <c r="R60" s="5"/>
      <c r="S60" s="5"/>
      <c r="T60" s="5"/>
      <c r="V60" s="5"/>
      <c r="W60" s="5"/>
      <c r="X60" s="5"/>
      <c r="Z60" s="5"/>
      <c r="AA60" s="5"/>
      <c r="AB60" s="5"/>
      <c r="AE60" s="5"/>
      <c r="AF60" s="5"/>
    </row>
    <row r="62" spans="9:10" ht="12">
      <c r="I62" s="5"/>
      <c r="J62" s="5"/>
    </row>
    <row r="63" spans="9:10" ht="12">
      <c r="I63" s="5"/>
      <c r="J63" s="5"/>
    </row>
    <row r="64" spans="9:10" ht="12">
      <c r="I64" s="5"/>
      <c r="J64" s="5"/>
    </row>
    <row r="80" ht="12">
      <c r="H80" s="6" t="s">
        <v>8</v>
      </c>
    </row>
    <row r="81" ht="12">
      <c r="H81" s="3">
        <v>0.5</v>
      </c>
    </row>
    <row r="82" ht="12">
      <c r="H82" s="3">
        <v>0.6</v>
      </c>
    </row>
    <row r="83" ht="12">
      <c r="H83" s="3">
        <v>0.7</v>
      </c>
    </row>
    <row r="84" ht="12">
      <c r="H84" s="3">
        <v>0.8</v>
      </c>
    </row>
    <row r="85" ht="12">
      <c r="H85" s="3">
        <v>0.9</v>
      </c>
    </row>
    <row r="86" ht="12">
      <c r="H86" s="3">
        <v>1</v>
      </c>
    </row>
    <row r="93" spans="9:10" ht="12">
      <c r="I93" s="6" t="s">
        <v>46</v>
      </c>
      <c r="J93" s="6" t="s">
        <v>11</v>
      </c>
    </row>
    <row r="94" spans="9:11" ht="12">
      <c r="I94" s="3">
        <v>0.055</v>
      </c>
      <c r="J94" s="3">
        <v>0.083</v>
      </c>
      <c r="K94" s="3">
        <f>5/6.5</f>
        <v>0.7692307692307693</v>
      </c>
    </row>
    <row r="95" spans="9:10" ht="12">
      <c r="I95" s="3">
        <v>0.053</v>
      </c>
      <c r="J95" s="3">
        <v>0.08</v>
      </c>
    </row>
    <row r="96" spans="9:10" ht="12">
      <c r="I96" s="3">
        <v>0.047</v>
      </c>
      <c r="J96" s="3">
        <v>0.072</v>
      </c>
    </row>
    <row r="97" spans="9:10" ht="12">
      <c r="I97" s="3">
        <v>0.043</v>
      </c>
      <c r="J97" s="3">
        <v>0.064</v>
      </c>
    </row>
    <row r="98" spans="9:10" ht="12">
      <c r="I98" s="3">
        <v>0.038</v>
      </c>
      <c r="J98" s="3">
        <v>0.057</v>
      </c>
    </row>
    <row r="99" spans="9:10" ht="12">
      <c r="I99" s="3">
        <v>0.033</v>
      </c>
      <c r="J99" s="3">
        <v>0.05</v>
      </c>
    </row>
    <row r="102" ht="12">
      <c r="I102" s="3">
        <f>VLOOKUP(0.8,H94:J99,2)</f>
        <v>0.033</v>
      </c>
    </row>
    <row r="103" ht="12">
      <c r="N103" s="1" t="s">
        <v>0</v>
      </c>
    </row>
    <row r="104" spans="9:13" ht="12">
      <c r="I104" s="3">
        <f>VLOOKUP(K94,H94:J99,2)</f>
        <v>0.033</v>
      </c>
      <c r="M104" s="1" t="s">
        <v>4</v>
      </c>
    </row>
    <row r="105" spans="9:16" ht="12">
      <c r="I105" s="3">
        <f>VLOOKUP((4/5),H94:J99,2)</f>
        <v>0.033</v>
      </c>
      <c r="M105" s="6" t="s">
        <v>8</v>
      </c>
      <c r="N105" s="1" t="s">
        <v>9</v>
      </c>
      <c r="O105" s="2" t="s">
        <v>10</v>
      </c>
      <c r="P105" s="2" t="s">
        <v>11</v>
      </c>
    </row>
    <row r="106" spans="9:16" ht="12">
      <c r="I106" s="3">
        <f>VLOOKUP(0.9,H94:J99,3)</f>
        <v>0.05</v>
      </c>
      <c r="M106" s="7">
        <v>0.1</v>
      </c>
      <c r="N106" s="5">
        <f>N107</f>
        <v>0.085</v>
      </c>
      <c r="O106" s="5">
        <f>O107</f>
        <v>0.042</v>
      </c>
      <c r="P106" s="3">
        <f>P107</f>
        <v>0.064</v>
      </c>
    </row>
    <row r="107" spans="13:16" ht="12">
      <c r="M107" s="7">
        <v>0.5</v>
      </c>
      <c r="N107" s="5">
        <f>IF($E$5=1,0.083,IF($E$5=2,0.085,IF($E$5=3,0.09,IF($E$5=4,0.098,IF($E$5=5,0,"")))))</f>
        <v>0.085</v>
      </c>
      <c r="O107" s="5">
        <f>IF($E$5=1,0,IF($E$5=2,0.042,IF($E$5=3,0.045,IF($E$5=4,0.049,IF($E$5=5,0.055,"")))))</f>
        <v>0.042</v>
      </c>
      <c r="P107" s="5">
        <f>IF($E$5=1,0.062,IF($E$5=2,0.064,IF($E$5=3,0.068,IF($E$5=4,0.074,IF($E$5=5,0.083,"")))))</f>
        <v>0.064</v>
      </c>
    </row>
    <row r="108" spans="13:16" ht="12">
      <c r="M108" s="7">
        <v>0.51</v>
      </c>
      <c r="N108" s="5">
        <f>$N$10-($N$10-$N$20)/10*1</f>
        <v>0.0834</v>
      </c>
      <c r="O108" s="5">
        <f>O107-(O107-O117)/10*1</f>
        <v>0.0413</v>
      </c>
      <c r="P108" s="5">
        <f>P107-(P107-P117)/10*1</f>
        <v>0.0628</v>
      </c>
    </row>
    <row r="109" spans="13:16" ht="12">
      <c r="M109" s="7">
        <v>0.52</v>
      </c>
      <c r="N109" s="5">
        <f>$N$10-($N$10-$N$20)/10*2</f>
        <v>0.08180000000000001</v>
      </c>
      <c r="O109" s="5">
        <f>O107-(O107-O117)/10*2</f>
        <v>0.040600000000000004</v>
      </c>
      <c r="P109" s="5">
        <f>P107-(P107-P117)/10*2</f>
        <v>0.0616</v>
      </c>
    </row>
    <row r="110" spans="13:16" ht="12">
      <c r="M110" s="7">
        <v>0.53</v>
      </c>
      <c r="N110" s="5">
        <f>$N$10-($N$10-$N$20)/10*3</f>
        <v>0.08020000000000001</v>
      </c>
      <c r="O110" s="5">
        <f>O107-(O107-O117)/10*3</f>
        <v>0.039900000000000005</v>
      </c>
      <c r="P110" s="5">
        <f>P107-(P107-P117)/10*3</f>
        <v>0.0604</v>
      </c>
    </row>
    <row r="111" spans="13:16" ht="12">
      <c r="M111" s="7">
        <v>0.54</v>
      </c>
      <c r="N111" s="5">
        <f>$N$10-($N$10-$N$20)/10*4</f>
        <v>0.0786</v>
      </c>
      <c r="O111" s="5">
        <f>O107-(O107-O117)/10*4</f>
        <v>0.039200000000000006</v>
      </c>
      <c r="P111" s="5">
        <f>P107-(P107-P117)/10*4</f>
        <v>0.0592</v>
      </c>
    </row>
    <row r="112" spans="13:16" ht="12">
      <c r="M112" s="7">
        <v>0.55</v>
      </c>
      <c r="N112" s="5">
        <f>$N$10-($N$10-$N$20)/10*5</f>
        <v>0.07700000000000001</v>
      </c>
      <c r="O112" s="5">
        <f>O107-(O107-O117)/10*5</f>
        <v>0.038500000000000006</v>
      </c>
      <c r="P112" s="5">
        <f>P107-(P107-P117)/10*5</f>
        <v>0.057999999999999996</v>
      </c>
    </row>
    <row r="113" spans="13:16" ht="12">
      <c r="M113" s="7">
        <v>0.56</v>
      </c>
      <c r="N113" s="5">
        <f>$N$10-($N$10-$N$20)/10*6</f>
        <v>0.07540000000000001</v>
      </c>
      <c r="O113" s="5">
        <f>O107-(O107-O117)/10*6</f>
        <v>0.0378</v>
      </c>
      <c r="P113" s="5">
        <f>P107-(P107-P117)/10*6</f>
        <v>0.0568</v>
      </c>
    </row>
    <row r="114" spans="13:16" ht="12">
      <c r="M114" s="7">
        <v>0.57</v>
      </c>
      <c r="N114" s="5">
        <f>$N$10-($N$10-$N$20)/10*7</f>
        <v>0.0738</v>
      </c>
      <c r="O114" s="5">
        <f>O107-(O107-O117)/10*7</f>
        <v>0.0371</v>
      </c>
      <c r="P114" s="5">
        <f>P107-(P107-P117)/10*7</f>
        <v>0.0556</v>
      </c>
    </row>
    <row r="115" spans="13:16" ht="12">
      <c r="M115" s="7">
        <v>0.58</v>
      </c>
      <c r="N115" s="5">
        <f>$N$10-($N$10-$N$20)/10*8</f>
        <v>0.0722</v>
      </c>
      <c r="O115" s="5">
        <f>O107-(O107-O117)/10*8</f>
        <v>0.0364</v>
      </c>
      <c r="P115" s="5">
        <f>P107-(P107-P117)/10*8</f>
        <v>0.0544</v>
      </c>
    </row>
    <row r="116" spans="13:16" ht="12">
      <c r="M116" s="7">
        <v>0.59</v>
      </c>
      <c r="N116" s="5">
        <f>$N$10-($N$10-$N$20)/10*9</f>
        <v>0.07060000000000001</v>
      </c>
      <c r="O116" s="5">
        <f>O107-(O107-O117)/10*9</f>
        <v>0.0357</v>
      </c>
      <c r="P116" s="5">
        <f>P107-(P107-P117)/10*9</f>
        <v>0.0532</v>
      </c>
    </row>
    <row r="117" spans="13:16" ht="12">
      <c r="M117" s="7">
        <v>0.6</v>
      </c>
      <c r="N117" s="5">
        <f>IF($E$5=1,0.063,IF($E$5=2,0.069,IF($E$5=3,0.078,IF($E$5=4,0.09,IF($E$5=5,0,"")))))</f>
        <v>0.069</v>
      </c>
      <c r="O117" s="5">
        <f>IF($E$5=1,0,IF($E$5=2,0.035,IF($E$5=3,0.039,IF($E$5=4,0.045,IF($E$5=5,0.053,"")))))</f>
        <v>0.035</v>
      </c>
      <c r="P117" s="5">
        <f>IF($E$5=1,0.047,IF($E$5=2,0.052,IF($E$5=3,0.059,IF($E$5=4,0.068,IF($E$5=5,0.08,"")))))</f>
        <v>0.052</v>
      </c>
    </row>
    <row r="118" spans="13:16" ht="12">
      <c r="M118" s="7">
        <v>0.61</v>
      </c>
      <c r="N118" s="5">
        <f>$N$20-($N$20-$N$30)/10*1</f>
        <v>0.0683</v>
      </c>
      <c r="O118" s="5">
        <f>O117-(O117-O127)/10*1</f>
        <v>0.034600000000000006</v>
      </c>
      <c r="P118" s="5">
        <f>P117-(P117-P127)/10*1</f>
        <v>0.0515</v>
      </c>
    </row>
    <row r="119" spans="13:16" ht="12">
      <c r="M119" s="7">
        <v>0.62</v>
      </c>
      <c r="N119" s="5">
        <f>$N$20-($N$20-$N$30)/10*2</f>
        <v>0.06760000000000001</v>
      </c>
      <c r="O119" s="5">
        <f>O117-(O117-O127)/10*2</f>
        <v>0.0342</v>
      </c>
      <c r="P119" s="5">
        <f>P117-(P117-P127)/10*2</f>
        <v>0.051</v>
      </c>
    </row>
    <row r="120" spans="13:16" ht="12">
      <c r="M120" s="7">
        <v>0.63</v>
      </c>
      <c r="N120" s="5">
        <f>$N$20-($N$20-$N$30)/10*3</f>
        <v>0.0669</v>
      </c>
      <c r="O120" s="5">
        <f>O117-(O117-O127)/10*3</f>
        <v>0.033800000000000004</v>
      </c>
      <c r="P120" s="5">
        <f>P117-(P117-P127)/10*3</f>
        <v>0.050499999999999996</v>
      </c>
    </row>
    <row r="121" spans="13:16" ht="12">
      <c r="M121" s="7">
        <v>0.64</v>
      </c>
      <c r="N121" s="5">
        <f>$N$20-($N$20-$N$30)/10*4</f>
        <v>0.06620000000000001</v>
      </c>
      <c r="O121" s="5">
        <f>O117-(O117-O127)/10*4</f>
        <v>0.0334</v>
      </c>
      <c r="P121" s="5">
        <f>P117-(P117-P127)/10*4</f>
        <v>0.049999999999999996</v>
      </c>
    </row>
    <row r="122" spans="13:16" ht="12">
      <c r="M122" s="7">
        <v>0.65</v>
      </c>
      <c r="N122" s="5">
        <f>$N$20-($N$20-$N$30)/10*5</f>
        <v>0.0655</v>
      </c>
      <c r="O122" s="5">
        <f>O117-(O117-O127)/10*5</f>
        <v>0.033</v>
      </c>
      <c r="P122" s="5">
        <f>P117-(P117-P127)/10*5</f>
        <v>0.0495</v>
      </c>
    </row>
    <row r="123" spans="13:16" ht="12">
      <c r="M123" s="7">
        <v>0.66</v>
      </c>
      <c r="N123" s="5">
        <f>$N$20-($N$20-$N$30)/10*6</f>
        <v>0.0648</v>
      </c>
      <c r="O123" s="5">
        <f>O117-(O117-O127)/10*6</f>
        <v>0.032600000000000004</v>
      </c>
      <c r="P123" s="5">
        <f>P117-(P117-P127)/10*6</f>
        <v>0.049</v>
      </c>
    </row>
    <row r="124" spans="13:16" ht="12">
      <c r="M124" s="7">
        <v>0.67</v>
      </c>
      <c r="N124" s="5">
        <f>$N$20-($N$20-$N$30)/10*7</f>
        <v>0.0641</v>
      </c>
      <c r="O124" s="5">
        <f>O117-(O117-O127)/10*7</f>
        <v>0.0322</v>
      </c>
      <c r="P124" s="5">
        <f>P117-(P117-P127)/10*7</f>
        <v>0.0485</v>
      </c>
    </row>
    <row r="125" spans="13:16" ht="12">
      <c r="M125" s="7">
        <v>0.68</v>
      </c>
      <c r="N125" s="5">
        <f>$N$20-($N$20-$N$30)/10*8</f>
        <v>0.0634</v>
      </c>
      <c r="O125" s="5">
        <f>O117-(O117-O127)/10*8</f>
        <v>0.0318</v>
      </c>
      <c r="P125" s="5">
        <f>P117-(P117-P127)/10*8</f>
        <v>0.048</v>
      </c>
    </row>
    <row r="126" spans="13:16" ht="12">
      <c r="M126" s="7">
        <v>0.69</v>
      </c>
      <c r="N126" s="5">
        <f>$N$20-($N$20-$N$30)/10*9</f>
        <v>0.0627</v>
      </c>
      <c r="O126" s="5">
        <f>O117-(O117-O127)/10*9</f>
        <v>0.0314</v>
      </c>
      <c r="P126" s="5">
        <f>P117-(P117-P127)/10*9</f>
        <v>0.0475</v>
      </c>
    </row>
    <row r="127" spans="13:16" ht="12">
      <c r="M127" s="7">
        <v>0.7</v>
      </c>
      <c r="N127" s="5">
        <f>IF($E$5=1,0.055,IF($E$5=2,0.062,IF($E$5=3,0.071,IF($E$5=4,0.082,IF($E$5=5,0,"")))))</f>
        <v>0.062</v>
      </c>
      <c r="O127" s="5">
        <f>IF($E$5=1,0,IF($E$5=2,0.031,IF($E$5=3,0.036,IF($E$5=4,0.041,IF($E$5=5,0.047,"")))))</f>
        <v>0.031</v>
      </c>
      <c r="P127" s="5">
        <f>IF($E$5=1,0.041,IF($E$5=2,0.047,IF($E$5=3,0.054,IF($E$5=4,0.062,IF($E$5=5,0.072,"")))))</f>
        <v>0.047</v>
      </c>
    </row>
    <row r="128" spans="13:16" ht="12">
      <c r="M128" s="7">
        <v>0.71</v>
      </c>
      <c r="N128" s="5">
        <f>$N$30-($N$30-$N$40)/10*1</f>
        <v>0.0613</v>
      </c>
      <c r="O128" s="5">
        <f>O127-(O127-O137)/10*1</f>
        <v>0.0306</v>
      </c>
      <c r="P128" s="5">
        <f>P127-(P127-P137)/10*1</f>
        <v>0.0464</v>
      </c>
    </row>
    <row r="129" spans="13:16" ht="12">
      <c r="M129" s="7">
        <v>0.72</v>
      </c>
      <c r="N129" s="5">
        <f>$N$30-($N$30-$N$40)/10*2</f>
        <v>0.0606</v>
      </c>
      <c r="O129" s="5">
        <f>O127-(O127-O137)/10*2</f>
        <v>0.0302</v>
      </c>
      <c r="P129" s="5">
        <f>P127-(P127-P137)/10*2</f>
        <v>0.0458</v>
      </c>
    </row>
    <row r="130" spans="13:16" ht="12">
      <c r="M130" s="7">
        <v>0.73</v>
      </c>
      <c r="N130" s="5">
        <f>$N$30-($N$30-$N$40)/10*3</f>
        <v>0.0599</v>
      </c>
      <c r="O130" s="5">
        <f>O127-(O127-O137)/10*3</f>
        <v>0.0298</v>
      </c>
      <c r="P130" s="5">
        <f>P127-(P127-P137)/10*3</f>
        <v>0.045200000000000004</v>
      </c>
    </row>
    <row r="131" spans="13:16" ht="12">
      <c r="M131" s="7">
        <v>0.74</v>
      </c>
      <c r="N131" s="5">
        <f>$N$30-($N$30-$N$40)/10*4</f>
        <v>0.0592</v>
      </c>
      <c r="O131" s="5">
        <f>O127-(O127-O137)/10*4</f>
        <v>0.0294</v>
      </c>
      <c r="P131" s="5">
        <f>P127-(P127-P137)/10*4</f>
        <v>0.0446</v>
      </c>
    </row>
    <row r="132" spans="13:16" ht="12">
      <c r="M132" s="7">
        <v>0.75</v>
      </c>
      <c r="N132" s="5">
        <f>$N$30-($N$30-$N$40)/10*5</f>
        <v>0.058499999999999996</v>
      </c>
      <c r="O132" s="5">
        <f>O127-(O127-O137)/10*5</f>
        <v>0.028999999999999998</v>
      </c>
      <c r="P132" s="5">
        <f>P127-(P127-P137)/10*5</f>
        <v>0.044</v>
      </c>
    </row>
    <row r="133" spans="13:16" ht="12">
      <c r="M133" s="7">
        <v>0.76</v>
      </c>
      <c r="N133" s="5">
        <f>$N$30-($N$30-$N$40)/10*6</f>
        <v>0.057800000000000004</v>
      </c>
      <c r="O133" s="5">
        <f>O127-(O127-O137)/10*6</f>
        <v>0.0286</v>
      </c>
      <c r="P133" s="5">
        <f>P127-(P127-P137)/10*6</f>
        <v>0.0434</v>
      </c>
    </row>
    <row r="134" spans="13:16" ht="12">
      <c r="M134" s="7">
        <v>0.77</v>
      </c>
      <c r="N134" s="5">
        <f>$N$30-($N$30-$N$40)/10*7</f>
        <v>0.0571</v>
      </c>
      <c r="O134" s="5">
        <f>O127-(O127-O137)/10*7</f>
        <v>0.0282</v>
      </c>
      <c r="P134" s="5">
        <f>P127-(P127-P137)/10*7</f>
        <v>0.042800000000000005</v>
      </c>
    </row>
    <row r="135" spans="13:16" ht="12">
      <c r="M135" s="7">
        <v>0.78</v>
      </c>
      <c r="N135" s="5">
        <f>$N$30-($N$30-$N$40)/10*8</f>
        <v>0.0564</v>
      </c>
      <c r="O135" s="5">
        <f>O127-(O127-O137)/10*8</f>
        <v>0.0278</v>
      </c>
      <c r="P135" s="5">
        <f>P127-(P127-P137)/10*8</f>
        <v>0.0422</v>
      </c>
    </row>
    <row r="136" spans="13:16" ht="12">
      <c r="M136" s="7">
        <v>0.79</v>
      </c>
      <c r="N136" s="5">
        <f>$N$30-($N$30-$N$40)/10*9</f>
        <v>0.0557</v>
      </c>
      <c r="O136" s="5">
        <f>O127-(O127-O137)/10*9</f>
        <v>0.0274</v>
      </c>
      <c r="P136" s="5">
        <f>P127-(P127-P137)/10*9</f>
        <v>0.0416</v>
      </c>
    </row>
    <row r="137" spans="13:16" ht="12">
      <c r="M137" s="7">
        <v>0.8</v>
      </c>
      <c r="N137" s="5">
        <f>IF($E$5=1,0.048,IF($E$5=2,0.055,IF($E$5=3,0.064,IF($E$5=4,0.074,IF($E$5=5,0,"")))))</f>
        <v>0.055</v>
      </c>
      <c r="O137" s="5">
        <f>IF($E$5=1,0,IF($E$5=2,0.027,IF($E$5=3,0.032,IF($E$5=4,0.037,IF($E$5=5,0.043,"")))))</f>
        <v>0.027</v>
      </c>
      <c r="P137" s="5">
        <f>IF($E$5=1,0.036,IF($E$5=2,0.041,IF($E$5=3,0.048,IF($E$5=4,0.056,IF($E$5=5,0.064,"")))))</f>
        <v>0.041</v>
      </c>
    </row>
    <row r="138" spans="13:16" ht="12">
      <c r="M138" s="7">
        <v>0.81</v>
      </c>
      <c r="N138" s="5">
        <f>$N$40-($N$40-$N$50)/10*1</f>
        <v>0.0543</v>
      </c>
      <c r="O138" s="5">
        <f>O137-(O137-O147)/10*1</f>
        <v>0.0267</v>
      </c>
      <c r="P138" s="5">
        <f>P137-(P137-P147)/10*1</f>
        <v>0.0405</v>
      </c>
    </row>
    <row r="139" spans="13:16" ht="12">
      <c r="M139" s="7">
        <v>0.82</v>
      </c>
      <c r="N139" s="5">
        <f>$N$40-($N$40-$N$50)/10*2</f>
        <v>0.0536</v>
      </c>
      <c r="O139" s="5">
        <f>O137-(O137-O147)/10*2</f>
        <v>0.0264</v>
      </c>
      <c r="P139" s="5">
        <f>P137-(P137-P147)/10*2</f>
        <v>0.04</v>
      </c>
    </row>
    <row r="140" spans="13:16" ht="12">
      <c r="M140" s="7">
        <v>0.83</v>
      </c>
      <c r="N140" s="5">
        <f>$N$40-($N$40-$N$50)/10*3</f>
        <v>0.0529</v>
      </c>
      <c r="O140" s="5">
        <f>O137-(O137-O147)/10*3</f>
        <v>0.026099999999999998</v>
      </c>
      <c r="P140" s="5">
        <f>P137-(P137-P147)/10*3</f>
        <v>0.0395</v>
      </c>
    </row>
    <row r="141" spans="13:16" ht="12">
      <c r="M141" s="7">
        <v>0.84</v>
      </c>
      <c r="N141" s="5">
        <f>$N$40-($N$40-$N$50)/10*4</f>
        <v>0.0522</v>
      </c>
      <c r="O141" s="5">
        <f>O137-(O137-O147)/10*4</f>
        <v>0.0258</v>
      </c>
      <c r="P141" s="5">
        <f>P137-(P137-P147)/10*4</f>
        <v>0.039</v>
      </c>
    </row>
    <row r="142" spans="13:16" ht="12">
      <c r="M142" s="7">
        <v>0.85</v>
      </c>
      <c r="N142" s="5">
        <f>$N$40-($N$40-$N$50)/10*5</f>
        <v>0.051500000000000004</v>
      </c>
      <c r="O142" s="5">
        <f>O137-(O137-O147)/10*5</f>
        <v>0.025500000000000002</v>
      </c>
      <c r="P142" s="5">
        <f>P137-(P137-P147)/10*5</f>
        <v>0.0385</v>
      </c>
    </row>
    <row r="143" spans="13:16" ht="12">
      <c r="M143" s="7">
        <v>0.86</v>
      </c>
      <c r="N143" s="5">
        <f>$N$40-($N$40-$N$50)/10*6</f>
        <v>0.0508</v>
      </c>
      <c r="O143" s="5">
        <f>O137-(O137-O147)/10*6</f>
        <v>0.0252</v>
      </c>
      <c r="P143" s="5">
        <f>P137-(P137-P147)/10*6</f>
        <v>0.038</v>
      </c>
    </row>
    <row r="144" spans="13:16" ht="12">
      <c r="M144" s="7">
        <v>0.87</v>
      </c>
      <c r="N144" s="5">
        <f>$N$40-($N$40-$N$50)/10*7</f>
        <v>0.0501</v>
      </c>
      <c r="O144" s="5">
        <f>O137-(O137-O147)/10*7</f>
        <v>0.0249</v>
      </c>
      <c r="P144" s="5">
        <f>P137-(P137-P147)/10*7</f>
        <v>0.0375</v>
      </c>
    </row>
    <row r="145" spans="13:16" ht="12">
      <c r="M145" s="7">
        <v>0.88</v>
      </c>
      <c r="N145" s="5">
        <f>$N$40-($N$40-$N$50)/10*8</f>
        <v>0.0494</v>
      </c>
      <c r="O145" s="5">
        <f>O137-(O137-O147)/10*8</f>
        <v>0.0246</v>
      </c>
      <c r="P145" s="5">
        <f>P137-(P137-P147)/10*8</f>
        <v>0.037</v>
      </c>
    </row>
    <row r="146" spans="13:16" ht="12">
      <c r="M146" s="7">
        <v>0.89</v>
      </c>
      <c r="N146" s="5">
        <f>$N$40-($N$40-$N$50)/10*9</f>
        <v>0.0487</v>
      </c>
      <c r="O146" s="5">
        <f>O137-(O137-O147)/10*9</f>
        <v>0.024300000000000002</v>
      </c>
      <c r="P146" s="5">
        <f>P137-(P137-P147)/10*9</f>
        <v>0.0365</v>
      </c>
    </row>
    <row r="147" spans="13:16" ht="12">
      <c r="M147" s="7">
        <v>0.9</v>
      </c>
      <c r="N147" s="5">
        <f>IF($E$5=1,0.04,IF($E$5=2,0.048,IF($E$5=3,0.057,IF($E$5=4,0.066,IF($E$5=5,0,"")))))</f>
        <v>0.048</v>
      </c>
      <c r="O147" s="5">
        <f>IF($E$5=1,0,IF($E$5=2,0.024,IF($E$5=3,0.028,IF($E$5=4,0.033,IF($E$5=5,0.038,"")))))</f>
        <v>0.024</v>
      </c>
      <c r="P147" s="5">
        <f>IF($E$5=1,0.03,IF($E$5=2,0.036,IF($E$5=3,0.043,IF($E$5=4,0.05,IF($E$5=5,0.057,"")))))</f>
        <v>0.036</v>
      </c>
    </row>
    <row r="148" spans="13:16" ht="12">
      <c r="M148" s="7">
        <v>0.91</v>
      </c>
      <c r="N148" s="5">
        <f>$N$50-($N$50-$N$60)/10*1</f>
        <v>0.0473</v>
      </c>
      <c r="O148" s="5">
        <f>O147-(O147-O157)/10*1</f>
        <v>0.0237</v>
      </c>
      <c r="P148" s="5">
        <f>P147-(P147-P157)/10*1</f>
        <v>0.0355</v>
      </c>
    </row>
    <row r="149" spans="13:16" ht="12">
      <c r="M149" s="7">
        <v>0.92</v>
      </c>
      <c r="N149" s="5">
        <f>$N$50-($N$50-$N$60)/10*2</f>
        <v>0.0466</v>
      </c>
      <c r="O149" s="5">
        <f>O147-(O147-O157)/10*2</f>
        <v>0.0234</v>
      </c>
      <c r="P149" s="5">
        <f>P147-(P147-P157)/10*2</f>
        <v>0.034999999999999996</v>
      </c>
    </row>
    <row r="150" spans="13:16" ht="12">
      <c r="M150" s="7">
        <v>0.93</v>
      </c>
      <c r="N150" s="5">
        <f>$N$50-($N$50-$N$60)/10*3</f>
        <v>0.0459</v>
      </c>
      <c r="O150" s="5">
        <f>O147-(O147-O157)/10*3</f>
        <v>0.023100000000000002</v>
      </c>
      <c r="P150" s="5">
        <f>P147-(P147-P157)/10*3</f>
        <v>0.034499999999999996</v>
      </c>
    </row>
    <row r="151" spans="13:16" ht="12">
      <c r="M151" s="7">
        <v>0.94</v>
      </c>
      <c r="N151" s="5">
        <f>$N$50-($N$50-$N$60)/10*4</f>
        <v>0.045200000000000004</v>
      </c>
      <c r="O151" s="5">
        <f>O147-(O147-O157)/10*4</f>
        <v>0.0228</v>
      </c>
      <c r="P151" s="5">
        <f>P147-(P147-P157)/10*4</f>
        <v>0.033999999999999996</v>
      </c>
    </row>
    <row r="152" spans="13:16" ht="12">
      <c r="M152" s="7">
        <v>0.95</v>
      </c>
      <c r="N152" s="5">
        <f>$N$50-($N$50-$N$60)/10*5</f>
        <v>0.0445</v>
      </c>
      <c r="O152" s="5">
        <f>O147-(O147-O157)/10*5</f>
        <v>0.0225</v>
      </c>
      <c r="P152" s="5">
        <f>P147-(P147-P157)/10*5</f>
        <v>0.0335</v>
      </c>
    </row>
    <row r="153" spans="13:16" ht="12">
      <c r="M153" s="7">
        <v>0.96</v>
      </c>
      <c r="N153" s="5">
        <f>$N$50-($N$50-$N$60)/10*6</f>
        <v>0.043800000000000006</v>
      </c>
      <c r="O153" s="5">
        <f>O147-(O147-O157)/10*6</f>
        <v>0.0222</v>
      </c>
      <c r="P153" s="5">
        <f>P147-(P147-P157)/10*6</f>
        <v>0.033</v>
      </c>
    </row>
    <row r="154" spans="13:16" ht="12">
      <c r="M154" s="7">
        <v>0.97</v>
      </c>
      <c r="N154" s="5">
        <f>$N$50-($N$50-$N$60)/10*7</f>
        <v>0.0431</v>
      </c>
      <c r="O154" s="5">
        <f>O147-(O147-O157)/10*7</f>
        <v>0.021900000000000003</v>
      </c>
      <c r="P154" s="5">
        <f>P147-(P147-P157)/10*7</f>
        <v>0.0325</v>
      </c>
    </row>
    <row r="155" spans="13:16" ht="12">
      <c r="M155" s="7">
        <v>0.98</v>
      </c>
      <c r="N155" s="5">
        <f>$N$50-($N$50-$N$60)/10*8</f>
        <v>0.0424</v>
      </c>
      <c r="O155" s="5">
        <f>O147-(O147-O157)/10*8</f>
        <v>0.0216</v>
      </c>
      <c r="P155" s="5">
        <f>P147-(P147-P157)/10*8</f>
        <v>0.032</v>
      </c>
    </row>
    <row r="156" spans="13:16" ht="12">
      <c r="M156" s="7">
        <v>0.99</v>
      </c>
      <c r="N156" s="5">
        <f>$N$50-($N$50-$N$60)/10*9</f>
        <v>0.0417</v>
      </c>
      <c r="O156" s="5">
        <f>O147-(O147-O157)/10*9</f>
        <v>0.0213</v>
      </c>
      <c r="P156" s="5">
        <f>P147-(P147-P157)/10*9</f>
        <v>0.0315</v>
      </c>
    </row>
    <row r="157" spans="13:16" ht="12">
      <c r="M157" s="7">
        <v>1</v>
      </c>
      <c r="N157" s="5">
        <f>IF($E$5=1,0.033,IF($E$5=2,0.041,IF($E$5=3,0.049,IF($E$5=4,0.058,IF($E$5=5,0,"")))))</f>
        <v>0.041</v>
      </c>
      <c r="O157" s="5">
        <f>IF($E$5=1,0,IF($E$5=2,0.021,IF($E$5=3,0.025,IF($E$5=4,0.029,IF($E$5=5,0.033,"")))))</f>
        <v>0.021</v>
      </c>
      <c r="P157" s="5">
        <f>IF($E$5=1,0.025,IF($E$5=2,0.031,IF($E$5=3,0.037,IF($E$5=4,0.044,IF($E$5=5,0.05,"")))))</f>
        <v>0.031</v>
      </c>
    </row>
  </sheetData>
  <sheetProtection formatCells="0" formatColumns="0" formatRows="0" insertColumns="0" insertRows="0" insertHyperlinks="0" deleteColumns="0" deleteRows="0" sort="0" autoFilter="0" pivotTables="0"/>
  <mergeCells count="30">
    <mergeCell ref="C17:C18"/>
    <mergeCell ref="D17:D18"/>
    <mergeCell ref="A31:B31"/>
    <mergeCell ref="G23:H24"/>
    <mergeCell ref="G19:H19"/>
    <mergeCell ref="G30:H30"/>
    <mergeCell ref="C31:D31"/>
    <mergeCell ref="E31:F31"/>
    <mergeCell ref="D22:F22"/>
    <mergeCell ref="A22:C22"/>
    <mergeCell ref="A4:B4"/>
    <mergeCell ref="A1:H1"/>
    <mergeCell ref="A2:B2"/>
    <mergeCell ref="C2:E2"/>
    <mergeCell ref="A3:D3"/>
    <mergeCell ref="E3:F3"/>
    <mergeCell ref="G14:H14"/>
    <mergeCell ref="G15:H15"/>
    <mergeCell ref="A16:C16"/>
    <mergeCell ref="D16:F16"/>
    <mergeCell ref="A17:A18"/>
    <mergeCell ref="B17:B18"/>
    <mergeCell ref="A23:A24"/>
    <mergeCell ref="B23:B24"/>
    <mergeCell ref="C30:D30"/>
    <mergeCell ref="E30:F30"/>
    <mergeCell ref="A29:H29"/>
    <mergeCell ref="C23:C24"/>
    <mergeCell ref="D23:D24"/>
    <mergeCell ref="A30:B30"/>
  </mergeCells>
  <printOptions horizontalCentered="1"/>
  <pageMargins left="1.1023622047244095" right="0.7874015748031497" top="0.7874015748031497" bottom="0.7874015748031497" header="0.7874015748031497" footer="0.7874015748031497"/>
  <pageSetup blackAndWhite="1" horizontalDpi="300" verticalDpi="300" orientation="portrait" paperSize="9" r:id="rId3"/>
  <rowBreaks count="1" manualBreakCount="1">
    <brk id="3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นายเอนก พ่วงสุด</dc:creator>
  <cp:keywords/>
  <dc:description/>
  <cp:lastModifiedBy>นายเอนก พ่วงสุด</cp:lastModifiedBy>
  <cp:lastPrinted>2004-12-13T03:42:58Z</cp:lastPrinted>
  <dcterms:created xsi:type="dcterms:W3CDTF">2001-09-25T07:17:52Z</dcterms:created>
  <dcterms:modified xsi:type="dcterms:W3CDTF">2004-12-13T03:43:02Z</dcterms:modified>
  <cp:category/>
  <cp:version/>
  <cp:contentType/>
  <cp:contentStatus/>
</cp:coreProperties>
</file>