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885" windowHeight="9465" activeTab="3"/>
  </bookViews>
  <sheets>
    <sheet name="1 pile" sheetId="1" r:id="rId1"/>
    <sheet name="2 pile" sheetId="2" r:id="rId2"/>
    <sheet name="3 pile" sheetId="3" r:id="rId3"/>
    <sheet name="4 pile" sheetId="4" r:id="rId4"/>
    <sheet name="ชื่อโครงการ" sheetId="5" r:id="rId5"/>
    <sheet name="DATA" sheetId="6" r:id="rId6"/>
  </sheets>
  <definedNames>
    <definedName name="bar">'DATA'!$C$6:$C$17</definedName>
    <definedName name="factor">'DATA'!$D$6:$D$7</definedName>
    <definedName name="_xlnm.Print_Area" localSheetId="0">'1 pile'!$A$1:$M$57</definedName>
    <definedName name="_xlnm.Print_Area" localSheetId="1">'2 pile'!$A$1:$M$49</definedName>
    <definedName name="_xlnm.Print_Area" localSheetId="3">'4 pile'!$A$1:$M$48</definedName>
    <definedName name="type">'DATA'!$B$6:$B$7</definedName>
  </definedNames>
  <calcPr fullCalcOnLoad="1"/>
</workbook>
</file>

<file path=xl/comments1.xml><?xml version="1.0" encoding="utf-8"?>
<comments xmlns="http://schemas.openxmlformats.org/spreadsheetml/2006/main">
  <authors>
    <author>AOY</author>
  </authors>
  <commentList>
    <comment ref="D20" authorId="0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ไม่น้อยกว่า 1.5 Dp
</t>
        </r>
      </text>
    </comment>
    <comment ref="D24" authorId="0">
      <text>
        <r>
          <rPr>
            <b/>
            <sz val="8"/>
            <rFont val="Tahoma"/>
            <family val="0"/>
          </rPr>
          <t>ไม่ควรเกิน 10 %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AOY</author>
    <author>ACER</author>
    <author>ideapad</author>
  </authors>
  <commentList>
    <comment ref="D18" authorId="0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ไม่น้อยกว่า 3Dp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>ไม่ควรเกิน 0.75</t>
        </r>
        <r>
          <rPr>
            <sz val="8"/>
            <rFont val="Tahoma"/>
            <family val="0"/>
          </rPr>
          <t xml:space="preserve">
</t>
        </r>
      </text>
    </comment>
    <comment ref="B18" authorId="2">
      <text>
        <r>
          <rPr>
            <b/>
            <sz val="8"/>
            <rFont val="Tahoma"/>
            <family val="0"/>
          </rPr>
          <t>ระยะจากขอบฐานรากถึงกลางเสาเข็ม</t>
        </r>
        <r>
          <rPr>
            <sz val="8"/>
            <rFont val="Tahoma"/>
            <family val="0"/>
          </rPr>
          <t xml:space="preserve">
</t>
        </r>
      </text>
    </comment>
    <comment ref="B19" authorId="2">
      <text>
        <r>
          <rPr>
            <b/>
            <sz val="8"/>
            <rFont val="Tahoma"/>
            <family val="0"/>
          </rPr>
          <t>ระยะห่างระหว่างเสาเข็ม</t>
        </r>
      </text>
    </comment>
    <comment ref="B20" authorId="2">
      <text>
        <r>
          <rPr>
            <b/>
            <sz val="8"/>
            <rFont val="Tahoma"/>
            <family val="0"/>
          </rPr>
          <t>ความกว้างของฐานรากโดยทั่วไปจะกำหนดที่ 2D1</t>
        </r>
        <r>
          <rPr>
            <sz val="8"/>
            <rFont val="Tahoma"/>
            <family val="0"/>
          </rPr>
          <t xml:space="preserve">
หรือลดเพิ่มได้ตามเหมาะสม</t>
        </r>
      </text>
    </comment>
    <comment ref="B36" authorId="2">
      <text>
        <r>
          <rPr>
            <sz val="8"/>
            <rFont val="Tahoma"/>
            <family val="0"/>
          </rPr>
          <t>ระยะจากกลางเข็มถึงขอบตอม่อ</t>
        </r>
      </text>
    </comment>
  </commentList>
</comments>
</file>

<file path=xl/comments3.xml><?xml version="1.0" encoding="utf-8"?>
<comments xmlns="http://schemas.openxmlformats.org/spreadsheetml/2006/main">
  <authors>
    <author>AOY</author>
  </authors>
  <commentList>
    <comment ref="D17" authorId="0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ไม่น้อยกว่า 3Dp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ACER</author>
    <author>ideapad</author>
    <author>AOY</author>
  </authors>
  <commentList>
    <comment ref="K9" authorId="0">
      <text>
        <r>
          <rPr>
            <b/>
            <sz val="8"/>
            <rFont val="Tahoma"/>
            <family val="0"/>
          </rPr>
          <t>ไม่ควรเกิน 0.75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0"/>
          </rPr>
          <t>ระยะจากขอบฐานรากถึงกลางเสาเข็ม</t>
        </r>
        <r>
          <rPr>
            <sz val="8"/>
            <rFont val="Tahoma"/>
            <family val="0"/>
          </rPr>
          <t xml:space="preserve">
</t>
        </r>
      </text>
    </comment>
    <comment ref="D17" authorId="2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B18" authorId="1">
      <text>
        <r>
          <rPr>
            <b/>
            <sz val="8"/>
            <rFont val="Tahoma"/>
            <family val="0"/>
          </rPr>
          <t>ระยะห่างระหว่างเสาเข็ม</t>
        </r>
      </text>
    </comment>
    <comment ref="D18" authorId="2">
      <text>
        <r>
          <rPr>
            <b/>
            <sz val="8"/>
            <rFont val="Tahoma"/>
            <family val="0"/>
          </rPr>
          <t>ไม่น้อยกว่า 3Dp</t>
        </r>
        <r>
          <rPr>
            <sz val="8"/>
            <rFont val="Tahoma"/>
            <family val="0"/>
          </rPr>
          <t xml:space="preserve">
</t>
        </r>
      </text>
    </comment>
    <comment ref="D20" authorId="2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  <comment ref="B35" authorId="1">
      <text>
        <r>
          <rPr>
            <sz val="8"/>
            <rFont val="Tahoma"/>
            <family val="0"/>
          </rPr>
          <t>ระยะจากกลางเข็มถึงขอบตอม่อ</t>
        </r>
      </text>
    </comment>
  </commentList>
</comments>
</file>

<file path=xl/sharedStrings.xml><?xml version="1.0" encoding="utf-8"?>
<sst xmlns="http://schemas.openxmlformats.org/spreadsheetml/2006/main" count="503" uniqueCount="106">
  <si>
    <t>type</t>
  </si>
  <si>
    <t>RB</t>
  </si>
  <si>
    <t>DB</t>
  </si>
  <si>
    <t>bar</t>
  </si>
  <si>
    <t>Covering</t>
  </si>
  <si>
    <t xml:space="preserve">Fy </t>
  </si>
  <si>
    <t xml:space="preserve">Fc' </t>
  </si>
  <si>
    <t xml:space="preserve">factor </t>
  </si>
  <si>
    <t xml:space="preserve">Width </t>
  </si>
  <si>
    <t xml:space="preserve">Long </t>
  </si>
  <si>
    <t xml:space="preserve">Thickness </t>
  </si>
  <si>
    <t xml:space="preserve">Bottom of footing </t>
  </si>
  <si>
    <t>Pile safe load</t>
  </si>
  <si>
    <t>Axial load</t>
  </si>
  <si>
    <t>% weigth of footing</t>
  </si>
  <si>
    <t>=</t>
  </si>
  <si>
    <t>ksc</t>
  </si>
  <si>
    <t>m.</t>
  </si>
  <si>
    <t>kg.</t>
  </si>
  <si>
    <t>Design for main bar</t>
  </si>
  <si>
    <r>
      <t xml:space="preserve">As </t>
    </r>
    <r>
      <rPr>
        <vertAlign val="subscript"/>
        <sz val="10"/>
        <rFont val="Arial"/>
        <family val="2"/>
      </rPr>
      <t>req</t>
    </r>
  </si>
  <si>
    <t>Fs</t>
  </si>
  <si>
    <t>n</t>
  </si>
  <si>
    <t>k</t>
  </si>
  <si>
    <t>j</t>
  </si>
  <si>
    <t>R</t>
  </si>
  <si>
    <t>Ec</t>
  </si>
  <si>
    <t>factor</t>
  </si>
  <si>
    <r>
      <t xml:space="preserve">As </t>
    </r>
    <r>
      <rPr>
        <vertAlign val="subscript"/>
        <sz val="10"/>
        <rFont val="Arial"/>
        <family val="2"/>
      </rPr>
      <t>real</t>
    </r>
  </si>
  <si>
    <t>Total load ( Pn )</t>
  </si>
  <si>
    <t>Ps = Pn - Pc</t>
  </si>
  <si>
    <t>Ag</t>
  </si>
  <si>
    <t>Fc</t>
  </si>
  <si>
    <r>
      <t>cm.</t>
    </r>
    <r>
      <rPr>
        <vertAlign val="superscript"/>
        <sz val="10"/>
        <rFont val="Arial"/>
        <family val="2"/>
      </rPr>
      <t>2</t>
    </r>
  </si>
  <si>
    <t>USE BAR</t>
  </si>
  <si>
    <t>Paramiter</t>
  </si>
  <si>
    <t>Input Data</t>
  </si>
  <si>
    <t>Pc =( 0.2125xAgxFc' )</t>
  </si>
  <si>
    <t>%</t>
  </si>
  <si>
    <t>โครงการ :</t>
  </si>
  <si>
    <t>เจ้าของ :</t>
  </si>
  <si>
    <t>Dia. Of pile ( Dp )</t>
  </si>
  <si>
    <t>Constant</t>
  </si>
  <si>
    <t>D1</t>
  </si>
  <si>
    <t>D2</t>
  </si>
  <si>
    <t>D3</t>
  </si>
  <si>
    <t>cm.</t>
  </si>
  <si>
    <t>Load to pile</t>
  </si>
  <si>
    <t>Wide beam shear</t>
  </si>
  <si>
    <t>Vb</t>
  </si>
  <si>
    <t>Vp</t>
  </si>
  <si>
    <t>Moment ( Long )</t>
  </si>
  <si>
    <t>kg-m</t>
  </si>
  <si>
    <r>
      <t>As</t>
    </r>
    <r>
      <rPr>
        <vertAlign val="subscript"/>
        <sz val="10"/>
        <rFont val="Arial"/>
        <family val="2"/>
      </rPr>
      <t xml:space="preserve">Sreq </t>
    </r>
    <r>
      <rPr>
        <sz val="10"/>
        <rFont val="Arial"/>
        <family val="2"/>
      </rPr>
      <t>( เหล็กสั้น )</t>
    </r>
  </si>
  <si>
    <r>
      <t>As</t>
    </r>
    <r>
      <rPr>
        <vertAlign val="subscript"/>
        <sz val="10"/>
        <rFont val="Arial"/>
        <family val="2"/>
      </rPr>
      <t xml:space="preserve">Lreq </t>
    </r>
    <r>
      <rPr>
        <sz val="10"/>
        <rFont val="Arial"/>
        <family val="2"/>
      </rPr>
      <t>( เหล็กยาว )</t>
    </r>
  </si>
  <si>
    <r>
      <t>As</t>
    </r>
    <r>
      <rPr>
        <vertAlign val="subscript"/>
        <sz val="10"/>
        <rFont val="Arial"/>
        <family val="2"/>
      </rPr>
      <t xml:space="preserve">Lreal </t>
    </r>
    <r>
      <rPr>
        <sz val="10"/>
        <rFont val="Arial"/>
        <family val="2"/>
      </rPr>
      <t>( เหล็กยาว )</t>
    </r>
  </si>
  <si>
    <r>
      <t>As</t>
    </r>
    <r>
      <rPr>
        <vertAlign val="subscript"/>
        <sz val="10"/>
        <rFont val="Arial"/>
        <family val="2"/>
      </rPr>
      <t xml:space="preserve">Sreal </t>
    </r>
    <r>
      <rPr>
        <sz val="10"/>
        <rFont val="Arial"/>
        <family val="2"/>
      </rPr>
      <t>( เหล็กสั้น )</t>
    </r>
  </si>
  <si>
    <t>load footing design =</t>
  </si>
  <si>
    <t>load footing real =</t>
  </si>
  <si>
    <t>kg</t>
  </si>
  <si>
    <t xml:space="preserve">L </t>
  </si>
  <si>
    <t xml:space="preserve">S </t>
  </si>
  <si>
    <t xml:space="preserve">d </t>
  </si>
  <si>
    <t xml:space="preserve">L/S </t>
  </si>
  <si>
    <t xml:space="preserve">load footing design </t>
  </si>
  <si>
    <t xml:space="preserve">load footing real </t>
  </si>
  <si>
    <t>F-1</t>
  </si>
  <si>
    <t>F-2</t>
  </si>
  <si>
    <t>ที่ตั้ง :</t>
  </si>
  <si>
    <t xml:space="preserve">Punching shear </t>
  </si>
  <si>
    <t>Col. Section ( b x h )</t>
  </si>
  <si>
    <t>FOOTING</t>
  </si>
  <si>
    <r>
      <t>β</t>
    </r>
    <r>
      <rPr>
        <vertAlign val="subscript"/>
        <sz val="9"/>
        <rFont val="Arial"/>
        <family val="2"/>
      </rPr>
      <t>1</t>
    </r>
  </si>
  <si>
    <r>
      <t>ρ</t>
    </r>
    <r>
      <rPr>
        <vertAlign val="subscript"/>
        <sz val="10"/>
        <rFont val="Arial"/>
        <family val="2"/>
      </rPr>
      <t>b</t>
    </r>
  </si>
  <si>
    <t>Ru</t>
  </si>
  <si>
    <r>
      <t>ρ</t>
    </r>
    <r>
      <rPr>
        <vertAlign val="subscript"/>
        <sz val="10"/>
        <rFont val="Arial"/>
        <family val="2"/>
      </rPr>
      <t>max</t>
    </r>
  </si>
  <si>
    <r>
      <t>ρ</t>
    </r>
    <r>
      <rPr>
        <vertAlign val="subscript"/>
        <sz val="10"/>
        <rFont val="Arial"/>
        <family val="2"/>
      </rPr>
      <t>min</t>
    </r>
  </si>
  <si>
    <t>Total load ( P )</t>
  </si>
  <si>
    <t>Pu to pile</t>
  </si>
  <si>
    <t>Pile ultimate load</t>
  </si>
  <si>
    <t>Mu</t>
  </si>
  <si>
    <t>øVc</t>
  </si>
  <si>
    <t>Punching shear</t>
  </si>
  <si>
    <t>Vu</t>
  </si>
  <si>
    <r>
      <t>b</t>
    </r>
    <r>
      <rPr>
        <vertAlign val="subscript"/>
        <sz val="10"/>
        <rFont val="Arial"/>
        <family val="2"/>
      </rPr>
      <t>0</t>
    </r>
  </si>
  <si>
    <t>cm</t>
  </si>
  <si>
    <t>Pier</t>
  </si>
  <si>
    <t>Pile</t>
  </si>
  <si>
    <t>Check shear</t>
  </si>
  <si>
    <t>ρ</t>
  </si>
  <si>
    <t>1.33ρ</t>
  </si>
  <si>
    <r>
      <t>ρ</t>
    </r>
    <r>
      <rPr>
        <vertAlign val="subscript"/>
        <sz val="10"/>
        <rFont val="Arial"/>
        <family val="0"/>
      </rPr>
      <t>min</t>
    </r>
  </si>
  <si>
    <r>
      <t>As</t>
    </r>
    <r>
      <rPr>
        <vertAlign val="subscript"/>
        <sz val="10"/>
        <rFont val="Arial"/>
        <family val="2"/>
      </rPr>
      <t>req</t>
    </r>
    <r>
      <rPr>
        <sz val="10"/>
        <rFont val="Arial"/>
        <family val="0"/>
      </rPr>
      <t xml:space="preserve"> long</t>
    </r>
  </si>
  <si>
    <r>
      <t>As</t>
    </r>
    <r>
      <rPr>
        <vertAlign val="subscript"/>
        <sz val="10"/>
        <rFont val="Arial"/>
        <family val="2"/>
      </rPr>
      <t>req</t>
    </r>
    <r>
      <rPr>
        <sz val="10"/>
        <rFont val="Arial"/>
        <family val="0"/>
      </rPr>
      <t xml:space="preserve"> short</t>
    </r>
  </si>
  <si>
    <t>x</t>
  </si>
  <si>
    <r>
      <t>d</t>
    </r>
    <r>
      <rPr>
        <b/>
        <vertAlign val="subscript"/>
        <sz val="10"/>
        <rFont val="Arial"/>
        <family val="2"/>
      </rPr>
      <t>req</t>
    </r>
  </si>
  <si>
    <t>Pier Section ( b x h )</t>
  </si>
  <si>
    <r>
      <t>As</t>
    </r>
    <r>
      <rPr>
        <vertAlign val="subscript"/>
        <sz val="10"/>
        <rFont val="Arial"/>
        <family val="2"/>
      </rPr>
      <t>req</t>
    </r>
    <r>
      <rPr>
        <sz val="10"/>
        <rFont val="Arial"/>
        <family val="0"/>
      </rPr>
      <t xml:space="preserve"> </t>
    </r>
  </si>
  <si>
    <r>
      <t xml:space="preserve">As </t>
    </r>
    <r>
      <rPr>
        <vertAlign val="subscript"/>
        <sz val="10"/>
        <rFont val="Arial"/>
        <family val="2"/>
      </rPr>
      <t xml:space="preserve">real </t>
    </r>
  </si>
  <si>
    <t>Check ระยะฝัง</t>
  </si>
  <si>
    <r>
      <t>L</t>
    </r>
    <r>
      <rPr>
        <vertAlign val="subscript"/>
        <sz val="10"/>
        <rFont val="Arial"/>
        <family val="2"/>
      </rPr>
      <t>db</t>
    </r>
  </si>
  <si>
    <r>
      <t>l</t>
    </r>
    <r>
      <rPr>
        <vertAlign val="subscript"/>
        <sz val="10"/>
        <rFont val="Arial"/>
        <family val="2"/>
      </rPr>
      <t>real</t>
    </r>
  </si>
  <si>
    <t>#</t>
  </si>
  <si>
    <t>มหาวิทยาลัยราชมงคล ธัญบุรี</t>
  </si>
  <si>
    <t>ภาควิชาวิศวกรรมโยธา</t>
  </si>
  <si>
    <t>โรงงานพื้นที่ใช้สอย 720 ตร.ม.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</si>
</sst>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  <numFmt numFmtId="194" formatCode="#,##0.0"/>
  </numFmts>
  <fonts count="1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6"/>
      <name val="Arial"/>
      <family val="2"/>
    </font>
    <font>
      <b/>
      <sz val="10"/>
      <name val="AngsanaUPC"/>
      <family val="1"/>
    </font>
    <font>
      <sz val="10"/>
      <color indexed="16"/>
      <name val="Arial"/>
      <family val="0"/>
    </font>
    <font>
      <b/>
      <sz val="16"/>
      <name val="Arial"/>
      <family val="2"/>
    </font>
    <font>
      <vertAlign val="subscript"/>
      <sz val="9"/>
      <name val="Arial"/>
      <family val="2"/>
    </font>
    <font>
      <sz val="10"/>
      <color indexed="12"/>
      <name val="Arial"/>
      <family val="0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89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5" fillId="5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6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3" xfId="0" applyBorder="1" applyAlignment="1">
      <alignment/>
    </xf>
    <xf numFmtId="1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5" fillId="5" borderId="2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8" borderId="2" xfId="0" applyFont="1" applyFill="1" applyBorder="1" applyAlignment="1">
      <alignment horizontal="center" vertical="center"/>
    </xf>
    <xf numFmtId="189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89" fontId="1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189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2" fontId="1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89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93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/>
    </xf>
    <xf numFmtId="0" fontId="0" fillId="7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22</xdr:row>
      <xdr:rowOff>0</xdr:rowOff>
    </xdr:from>
    <xdr:to>
      <xdr:col>4</xdr:col>
      <xdr:colOff>142875</xdr:colOff>
      <xdr:row>22</xdr:row>
      <xdr:rowOff>142875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390775" y="4267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21</xdr:row>
      <xdr:rowOff>0</xdr:rowOff>
    </xdr:from>
    <xdr:to>
      <xdr:col>4</xdr:col>
      <xdr:colOff>76200</xdr:colOff>
      <xdr:row>21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295525" y="33242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20</xdr:row>
      <xdr:rowOff>0</xdr:rowOff>
    </xdr:from>
    <xdr:to>
      <xdr:col>4</xdr:col>
      <xdr:colOff>142875</xdr:colOff>
      <xdr:row>20</xdr:row>
      <xdr:rowOff>142875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390775" y="3886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J13" sqref="J13"/>
    </sheetView>
  </sheetViews>
  <sheetFormatPr defaultColWidth="9.140625" defaultRowHeight="12.75"/>
  <cols>
    <col min="1" max="1" width="9.00390625" style="0" customWidth="1"/>
    <col min="2" max="2" width="19.28125" style="0" customWidth="1"/>
    <col min="3" max="3" width="4.421875" style="0" customWidth="1"/>
    <col min="4" max="4" width="9.140625" style="48" customWidth="1"/>
    <col min="5" max="5" width="4.57421875" style="0" customWidth="1"/>
    <col min="6" max="6" width="4.7109375" style="0" customWidth="1"/>
    <col min="7" max="7" width="3.7109375" style="0" customWidth="1"/>
    <col min="8" max="8" width="5.8515625" style="0" customWidth="1"/>
    <col min="9" max="9" width="4.00390625" style="0" customWidth="1"/>
    <col min="10" max="10" width="4.28125" style="0" customWidth="1"/>
    <col min="11" max="11" width="6.421875" style="0" customWidth="1"/>
    <col min="12" max="12" width="3.28125" style="0" customWidth="1"/>
    <col min="13" max="13" width="9.00390625" style="0" customWidth="1"/>
  </cols>
  <sheetData>
    <row r="1" spans="1:13" ht="12.75">
      <c r="A1" s="59" t="s">
        <v>39</v>
      </c>
      <c r="B1" s="86" t="str">
        <f>(""&amp;ชื่อโครงการ!C5&amp;"")</f>
        <v>โรงงานพื้นที่ใช้สอย 720 ตร.ม.</v>
      </c>
      <c r="C1" s="86"/>
      <c r="D1" s="86"/>
      <c r="E1" s="58"/>
      <c r="F1" s="85" t="str">
        <f>(""&amp;ชื่อโครงการ!B7&amp;" "&amp;ชื่อโครงการ!C7&amp;"")</f>
        <v>เจ้าของ : ภาควิชาวิศวกรรมโยธา</v>
      </c>
      <c r="G1" s="85"/>
      <c r="H1" s="85"/>
      <c r="I1" s="85"/>
      <c r="J1" s="85"/>
      <c r="K1" s="85"/>
      <c r="L1" s="85"/>
      <c r="M1" s="85"/>
    </row>
    <row r="2" spans="1:14" ht="13.5" thickBot="1">
      <c r="A2" s="60" t="s">
        <v>68</v>
      </c>
      <c r="B2" s="87" t="str">
        <f>(""&amp;ชื่อโครงการ!C6&amp;"")</f>
        <v>มหาวิทยาลัยราชมงคล ธัญบุรี</v>
      </c>
      <c r="C2" s="87"/>
      <c r="D2" s="87"/>
      <c r="E2" s="39"/>
      <c r="F2" s="39"/>
      <c r="G2" s="56"/>
      <c r="H2" s="56"/>
      <c r="I2" s="56"/>
      <c r="J2" s="56"/>
      <c r="K2" s="56"/>
      <c r="L2" s="56"/>
      <c r="M2" s="56"/>
      <c r="N2" s="13"/>
    </row>
    <row r="3" spans="1:14" ht="7.5" customHeight="1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3" ht="20.25">
      <c r="B4" s="91" t="s">
        <v>66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38"/>
    </row>
    <row r="5" spans="2:13" ht="7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6" ht="12.75">
      <c r="B6" s="19" t="s">
        <v>42</v>
      </c>
      <c r="C6" s="15"/>
      <c r="E6" s="15"/>
      <c r="I6" s="89" t="s">
        <v>35</v>
      </c>
      <c r="J6" s="89"/>
      <c r="K6" s="89"/>
      <c r="L6" s="35"/>
      <c r="P6" s="6" t="s">
        <v>22</v>
      </c>
    </row>
    <row r="7" spans="2:16" ht="12.75">
      <c r="B7" t="s">
        <v>6</v>
      </c>
      <c r="C7" s="4" t="s">
        <v>15</v>
      </c>
      <c r="D7" s="49">
        <v>240</v>
      </c>
      <c r="E7" s="42" t="s">
        <v>16</v>
      </c>
      <c r="I7" s="8" t="s">
        <v>22</v>
      </c>
      <c r="J7" s="8" t="s">
        <v>15</v>
      </c>
      <c r="K7" s="7">
        <f>IF(P7&lt;6,6,P7)</f>
        <v>9</v>
      </c>
      <c r="L7" s="13"/>
      <c r="P7" s="6">
        <f>CEILING((2.04*10^6/D12),1)</f>
        <v>9</v>
      </c>
    </row>
    <row r="8" spans="2:12" ht="12.75">
      <c r="B8" t="s">
        <v>5</v>
      </c>
      <c r="C8" s="4" t="s">
        <v>15</v>
      </c>
      <c r="D8" s="50">
        <v>3000</v>
      </c>
      <c r="E8" s="42" t="s">
        <v>16</v>
      </c>
      <c r="I8" s="8" t="s">
        <v>23</v>
      </c>
      <c r="J8" s="8" t="s">
        <v>15</v>
      </c>
      <c r="K8" s="11">
        <f>1/(1+D10/(P7*D9))</f>
        <v>0.3932038834951457</v>
      </c>
      <c r="L8" s="31"/>
    </row>
    <row r="9" spans="2:12" ht="12.75">
      <c r="B9" t="s">
        <v>32</v>
      </c>
      <c r="C9" s="4" t="s">
        <v>15</v>
      </c>
      <c r="D9" s="48">
        <f>D11*D7</f>
        <v>108</v>
      </c>
      <c r="E9" s="42" t="s">
        <v>16</v>
      </c>
      <c r="I9" s="8" t="s">
        <v>24</v>
      </c>
      <c r="J9" s="8" t="s">
        <v>15</v>
      </c>
      <c r="K9" s="11">
        <f>1-(K8/3)</f>
        <v>0.8689320388349514</v>
      </c>
      <c r="L9" s="31"/>
    </row>
    <row r="10" spans="2:12" ht="12.75">
      <c r="B10" t="s">
        <v>21</v>
      </c>
      <c r="C10" s="4" t="s">
        <v>15</v>
      </c>
      <c r="D10" s="51">
        <f>0.5*D8</f>
        <v>1500</v>
      </c>
      <c r="E10" s="42" t="s">
        <v>16</v>
      </c>
      <c r="I10" s="8" t="s">
        <v>25</v>
      </c>
      <c r="J10" s="8" t="s">
        <v>15</v>
      </c>
      <c r="K10" s="12">
        <f>0.5*D7*K8*K9</f>
        <v>41.00009425959092</v>
      </c>
      <c r="L10" s="32"/>
    </row>
    <row r="11" spans="2:5" ht="12.75">
      <c r="B11" t="s">
        <v>7</v>
      </c>
      <c r="C11" s="4" t="s">
        <v>15</v>
      </c>
      <c r="D11" s="49">
        <v>0.45</v>
      </c>
      <c r="E11" s="42"/>
    </row>
    <row r="12" spans="2:5" ht="12.75">
      <c r="B12" t="s">
        <v>26</v>
      </c>
      <c r="C12" s="4" t="s">
        <v>15</v>
      </c>
      <c r="D12" s="51">
        <f>((4270*2.4^1.5)*(D7^0.5))</f>
        <v>245951.99999999997</v>
      </c>
      <c r="E12" s="42" t="s">
        <v>16</v>
      </c>
    </row>
    <row r="13" spans="3:5" ht="12.75">
      <c r="C13" s="4"/>
      <c r="E13" s="42"/>
    </row>
    <row r="14" spans="3:5" ht="12.75">
      <c r="C14" s="4"/>
      <c r="E14" s="42"/>
    </row>
    <row r="15" spans="2:5" ht="12.75">
      <c r="B15" s="10" t="s">
        <v>36</v>
      </c>
      <c r="C15" s="4"/>
      <c r="E15" s="42"/>
    </row>
    <row r="16" spans="2:5" ht="12.75">
      <c r="B16" t="s">
        <v>41</v>
      </c>
      <c r="C16" s="4" t="s">
        <v>15</v>
      </c>
      <c r="D16" s="52">
        <v>0.22</v>
      </c>
      <c r="E16" s="42" t="s">
        <v>17</v>
      </c>
    </row>
    <row r="17" spans="2:5" ht="12.75">
      <c r="B17" t="s">
        <v>12</v>
      </c>
      <c r="C17" s="4" t="s">
        <v>15</v>
      </c>
      <c r="D17" s="50">
        <v>22000</v>
      </c>
      <c r="E17" s="42" t="s">
        <v>18</v>
      </c>
    </row>
    <row r="18" spans="2:16" ht="12.75">
      <c r="B18" t="s">
        <v>8</v>
      </c>
      <c r="C18" s="4" t="s">
        <v>15</v>
      </c>
      <c r="D18" s="52">
        <v>0.35</v>
      </c>
      <c r="E18" s="42" t="s">
        <v>17</v>
      </c>
      <c r="F18" s="16" t="str">
        <f>IF(D18&gt;(1.5*D16),"OK","Check width")</f>
        <v>OK</v>
      </c>
      <c r="G18" s="16"/>
      <c r="H18" s="16"/>
      <c r="P18" s="4" t="s">
        <v>31</v>
      </c>
    </row>
    <row r="19" spans="2:16" ht="12.75">
      <c r="B19" t="s">
        <v>9</v>
      </c>
      <c r="C19" s="4" t="s">
        <v>15</v>
      </c>
      <c r="D19" s="52">
        <v>0.35</v>
      </c>
      <c r="E19" s="42" t="s">
        <v>17</v>
      </c>
      <c r="F19" s="16" t="str">
        <f>IF(D19&gt;(1.5*D16),"OK","Check long")</f>
        <v>OK</v>
      </c>
      <c r="G19" s="16"/>
      <c r="H19" s="16"/>
      <c r="P19" s="4">
        <f>D18*D19*10000</f>
        <v>1224.9999999999998</v>
      </c>
    </row>
    <row r="20" spans="2:13" ht="12.75">
      <c r="B20" t="s">
        <v>10</v>
      </c>
      <c r="C20" s="4" t="s">
        <v>15</v>
      </c>
      <c r="D20" s="52">
        <v>0.3</v>
      </c>
      <c r="E20" s="42" t="s">
        <v>17</v>
      </c>
      <c r="M20" s="17"/>
    </row>
    <row r="21" spans="2:5" ht="12.75">
      <c r="B21" t="s">
        <v>11</v>
      </c>
      <c r="C21" s="4" t="s">
        <v>15</v>
      </c>
      <c r="D21" s="52">
        <v>1.2</v>
      </c>
      <c r="E21" s="42" t="s">
        <v>17</v>
      </c>
    </row>
    <row r="22" spans="2:12" ht="12.75">
      <c r="B22" t="s">
        <v>4</v>
      </c>
      <c r="C22" s="4" t="s">
        <v>15</v>
      </c>
      <c r="D22" s="53">
        <v>0.075</v>
      </c>
      <c r="E22" s="42" t="s">
        <v>17</v>
      </c>
      <c r="G22" s="90" t="s">
        <v>57</v>
      </c>
      <c r="H22" s="90"/>
      <c r="I22" s="90"/>
      <c r="J22" s="90"/>
      <c r="K22" s="40">
        <f>CEILING(D23*D24/100,1)</f>
        <v>1244</v>
      </c>
      <c r="L22" t="s">
        <v>59</v>
      </c>
    </row>
    <row r="23" spans="2:13" ht="12.75">
      <c r="B23" t="s">
        <v>13</v>
      </c>
      <c r="C23" s="4" t="s">
        <v>15</v>
      </c>
      <c r="D23" s="50">
        <v>15543</v>
      </c>
      <c r="E23" s="42" t="s">
        <v>18</v>
      </c>
      <c r="G23" s="90" t="s">
        <v>58</v>
      </c>
      <c r="H23" s="90"/>
      <c r="I23" s="90"/>
      <c r="J23" s="90"/>
      <c r="K23" s="41">
        <f>CEILING(2400*D18*D19*D20,1)</f>
        <v>89</v>
      </c>
      <c r="L23" t="s">
        <v>59</v>
      </c>
      <c r="M23" s="16" t="str">
        <f>IF(K23&lt;K22,"OK","Fail")</f>
        <v>OK</v>
      </c>
    </row>
    <row r="24" spans="2:5" ht="14.25">
      <c r="B24" s="3" t="s">
        <v>14</v>
      </c>
      <c r="C24" s="4" t="s">
        <v>15</v>
      </c>
      <c r="D24" s="49">
        <v>8</v>
      </c>
      <c r="E24" s="43" t="s">
        <v>38</v>
      </c>
    </row>
    <row r="25" spans="2:8" ht="12.75">
      <c r="B25" t="s">
        <v>29</v>
      </c>
      <c r="C25" s="4" t="s">
        <v>15</v>
      </c>
      <c r="D25" s="54">
        <f>D23*(1+D24/100)</f>
        <v>16786.440000000002</v>
      </c>
      <c r="E25" s="42" t="s">
        <v>18</v>
      </c>
      <c r="F25" s="16" t="str">
        <f>IF(D25&lt;D17,"Can use Footing 1 Plie","Fail")</f>
        <v>Can use Footing 1 Plie</v>
      </c>
      <c r="G25" s="16"/>
      <c r="H25" s="16"/>
    </row>
    <row r="26" ht="12.75">
      <c r="E26" s="42"/>
    </row>
    <row r="27" spans="2:5" ht="12.75">
      <c r="B27" s="10" t="s">
        <v>19</v>
      </c>
      <c r="C27" s="4"/>
      <c r="E27" s="42"/>
    </row>
    <row r="28" spans="3:5" ht="12.75">
      <c r="C28" s="4"/>
      <c r="E28" s="42"/>
    </row>
    <row r="29" spans="2:12" ht="12.75">
      <c r="B29" t="s">
        <v>37</v>
      </c>
      <c r="C29" s="4" t="s">
        <v>15</v>
      </c>
      <c r="D29" s="54">
        <f>(0.85*P19*0.25*D7)</f>
        <v>62474.999999999985</v>
      </c>
      <c r="E29" s="42" t="s">
        <v>18</v>
      </c>
      <c r="I29" s="88" t="s">
        <v>34</v>
      </c>
      <c r="J29" s="88"/>
      <c r="K29" s="88"/>
      <c r="L29" s="36"/>
    </row>
    <row r="30" spans="2:16" ht="12.75">
      <c r="B30" t="s">
        <v>30</v>
      </c>
      <c r="C30" s="4" t="s">
        <v>15</v>
      </c>
      <c r="D30" s="54">
        <f>IF(P30&lt;0,0,P30)</f>
        <v>0</v>
      </c>
      <c r="E30" s="42" t="s">
        <v>18</v>
      </c>
      <c r="I30" s="88"/>
      <c r="J30" s="88"/>
      <c r="K30" s="88"/>
      <c r="L30" s="36"/>
      <c r="P30">
        <f>D25-D29</f>
        <v>-45688.55999999998</v>
      </c>
    </row>
    <row r="31" spans="2:12" ht="19.5" customHeight="1">
      <c r="B31" t="s">
        <v>20</v>
      </c>
      <c r="C31" s="4" t="s">
        <v>15</v>
      </c>
      <c r="D31" s="45">
        <f>IF(D30=0,((14/D8)*P19),(D30/(0.85*D10)))</f>
        <v>5.716666666666666</v>
      </c>
      <c r="E31" s="42" t="s">
        <v>33</v>
      </c>
      <c r="I31" s="44">
        <v>4</v>
      </c>
      <c r="J31" s="44" t="s">
        <v>2</v>
      </c>
      <c r="K31" s="44">
        <v>16</v>
      </c>
      <c r="L31" s="34"/>
    </row>
    <row r="32" spans="3:12" ht="11.25" customHeight="1">
      <c r="C32" s="4"/>
      <c r="D32" s="46"/>
      <c r="E32" s="42"/>
      <c r="I32" s="9"/>
      <c r="J32" s="9"/>
      <c r="K32" s="9"/>
      <c r="L32" s="9"/>
    </row>
    <row r="33" spans="2:8" ht="19.5" customHeight="1">
      <c r="B33" t="s">
        <v>28</v>
      </c>
      <c r="C33" s="4" t="s">
        <v>15</v>
      </c>
      <c r="D33" s="47">
        <f>(PI()*I31*(K31/10)^2)/4</f>
        <v>8.042477193189871</v>
      </c>
      <c r="E33" s="42" t="s">
        <v>33</v>
      </c>
      <c r="F33" s="16" t="str">
        <f>IF(D33&gt;D31,"OK","Fail")</f>
        <v>OK</v>
      </c>
      <c r="G33" s="16"/>
      <c r="H33" s="16"/>
    </row>
    <row r="35" spans="1:14" ht="12.75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</row>
  </sheetData>
  <mergeCells count="8">
    <mergeCell ref="F1:M1"/>
    <mergeCell ref="B1:D1"/>
    <mergeCell ref="B2:D2"/>
    <mergeCell ref="I29:K30"/>
    <mergeCell ref="I6:K6"/>
    <mergeCell ref="G22:J22"/>
    <mergeCell ref="G23:J23"/>
    <mergeCell ref="B4:L4"/>
  </mergeCells>
  <dataValidations count="3">
    <dataValidation type="list" allowBlank="1" showInputMessage="1" showErrorMessage="1" sqref="J31:J32">
      <formula1>type</formula1>
    </dataValidation>
    <dataValidation type="list" allowBlank="1" showInputMessage="1" showErrorMessage="1" sqref="K31:L32">
      <formula1>bar</formula1>
    </dataValidation>
    <dataValidation type="list" allowBlank="1" showInputMessage="1" showErrorMessage="1" sqref="D11">
      <formula1>factor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0">
      <selection activeCell="D18" sqref="D18:E18"/>
    </sheetView>
  </sheetViews>
  <sheetFormatPr defaultColWidth="9.140625" defaultRowHeight="12.75"/>
  <cols>
    <col min="1" max="1" width="9.421875" style="0" customWidth="1"/>
    <col min="2" max="2" width="18.7109375" style="0" customWidth="1"/>
    <col min="3" max="3" width="4.140625" style="4" customWidth="1"/>
    <col min="4" max="5" width="5.421875" style="0" customWidth="1"/>
    <col min="6" max="6" width="5.140625" style="0" customWidth="1"/>
    <col min="7" max="7" width="9.57421875" style="0" customWidth="1"/>
    <col min="8" max="8" width="7.140625" style="0" customWidth="1"/>
    <col min="9" max="9" width="2.140625" style="0" customWidth="1"/>
    <col min="10" max="10" width="4.00390625" style="0" customWidth="1"/>
    <col min="11" max="11" width="8.00390625" style="0" customWidth="1"/>
    <col min="12" max="12" width="5.421875" style="0" customWidth="1"/>
    <col min="13" max="13" width="5.7109375" style="0" customWidth="1"/>
    <col min="14" max="14" width="5.00390625" style="0" customWidth="1"/>
  </cols>
  <sheetData>
    <row r="1" spans="1:14" ht="15" customHeight="1">
      <c r="A1" s="59" t="s">
        <v>39</v>
      </c>
      <c r="B1" s="86" t="str">
        <f>(""&amp;ชื่อโครงการ!C5&amp;"")</f>
        <v>โรงงานพื้นที่ใช้สอย 720 ตร.ม.</v>
      </c>
      <c r="C1" s="86"/>
      <c r="D1" s="86"/>
      <c r="E1" s="58"/>
      <c r="F1" s="13"/>
      <c r="G1" s="85" t="str">
        <f>(""&amp;ชื่อโครงการ!B7&amp;" "&amp;ชื่อโครงการ!C7&amp;"")</f>
        <v>เจ้าของ : ภาควิชาวิศวกรรมโยธา</v>
      </c>
      <c r="H1" s="85"/>
      <c r="I1" s="85"/>
      <c r="J1" s="85"/>
      <c r="K1" s="85"/>
      <c r="L1" s="85"/>
      <c r="M1" s="85"/>
      <c r="N1" s="61"/>
    </row>
    <row r="2" spans="1:15" ht="15" customHeight="1" thickBot="1">
      <c r="A2" s="60" t="s">
        <v>68</v>
      </c>
      <c r="B2" s="87" t="str">
        <f>(""&amp;ชื่อโครงการ!C6&amp;"")</f>
        <v>มหาวิทยาลัยราชมงคล ธัญบุรี</v>
      </c>
      <c r="C2" s="87"/>
      <c r="D2" s="87"/>
      <c r="E2" s="39"/>
      <c r="F2" s="39"/>
      <c r="G2" s="56"/>
      <c r="H2" s="56"/>
      <c r="I2" s="56"/>
      <c r="J2" s="56"/>
      <c r="K2" s="56"/>
      <c r="L2" s="56"/>
      <c r="M2" s="56"/>
      <c r="N2" s="58"/>
      <c r="O2" s="13"/>
    </row>
    <row r="3" spans="1:15" ht="15" customHeight="1">
      <c r="A3" s="61"/>
      <c r="B3" s="57"/>
      <c r="C3" s="57"/>
      <c r="D3" s="57"/>
      <c r="E3" s="13"/>
      <c r="F3" s="13"/>
      <c r="G3" s="58"/>
      <c r="H3" s="58"/>
      <c r="I3" s="58"/>
      <c r="J3" s="58"/>
      <c r="K3" s="58"/>
      <c r="L3" s="58"/>
      <c r="M3" s="58"/>
      <c r="N3" s="58"/>
      <c r="O3" s="13"/>
    </row>
    <row r="4" spans="1:15" ht="21" customHeight="1">
      <c r="A4" s="13"/>
      <c r="B4" s="91" t="s">
        <v>67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3"/>
      <c r="N4" s="13"/>
      <c r="O4" s="13"/>
    </row>
    <row r="5" spans="8:12" ht="15" customHeight="1">
      <c r="H5" s="13"/>
      <c r="I5" s="13"/>
      <c r="J5" s="14"/>
      <c r="K5" s="14"/>
      <c r="L5" s="13"/>
    </row>
    <row r="6" spans="2:17" ht="15" customHeight="1">
      <c r="B6" s="19" t="s">
        <v>42</v>
      </c>
      <c r="D6" s="4"/>
      <c r="E6" s="15"/>
      <c r="F6" s="15"/>
      <c r="H6" s="89" t="s">
        <v>35</v>
      </c>
      <c r="I6" s="89"/>
      <c r="J6" s="89"/>
      <c r="K6" s="89"/>
      <c r="L6" s="89"/>
      <c r="M6" s="30"/>
      <c r="N6" s="30"/>
      <c r="Q6" s="6" t="s">
        <v>22</v>
      </c>
    </row>
    <row r="7" spans="2:17" ht="15" customHeight="1">
      <c r="B7" t="s">
        <v>6</v>
      </c>
      <c r="C7" s="4" t="s">
        <v>15</v>
      </c>
      <c r="D7" s="77">
        <v>240</v>
      </c>
      <c r="E7" s="77"/>
      <c r="F7" t="s">
        <v>16</v>
      </c>
      <c r="H7" s="95" t="s">
        <v>72</v>
      </c>
      <c r="I7" s="95"/>
      <c r="J7" s="8" t="s">
        <v>15</v>
      </c>
      <c r="K7" s="97">
        <f>IF(D7&lt;=280,0.85,IF(D7&gt;=650,0.65,0.85-0.05*(D7-280)/70))</f>
        <v>0.85</v>
      </c>
      <c r="L7" s="97"/>
      <c r="M7" s="13"/>
      <c r="N7" s="13"/>
      <c r="Q7" s="6">
        <f>CEILING((2.04*10^6/D9),1)</f>
        <v>9</v>
      </c>
    </row>
    <row r="8" spans="2:14" ht="15" customHeight="1">
      <c r="B8" t="s">
        <v>5</v>
      </c>
      <c r="C8" s="4" t="s">
        <v>15</v>
      </c>
      <c r="D8" s="94">
        <v>3000</v>
      </c>
      <c r="E8" s="94"/>
      <c r="F8" t="s">
        <v>16</v>
      </c>
      <c r="H8" s="95" t="s">
        <v>73</v>
      </c>
      <c r="I8" s="95"/>
      <c r="J8" s="8" t="s">
        <v>15</v>
      </c>
      <c r="K8" s="92">
        <f>(0.85*K7*D7/D8)*(6120/(6120+D8))</f>
        <v>0.03878684210526315</v>
      </c>
      <c r="L8" s="92"/>
      <c r="M8" s="31"/>
      <c r="N8" s="31"/>
    </row>
    <row r="9" spans="2:14" ht="15" customHeight="1">
      <c r="B9" t="s">
        <v>26</v>
      </c>
      <c r="C9" s="4" t="s">
        <v>15</v>
      </c>
      <c r="D9" s="98">
        <f>((4270*2.4^1.5)*(D7^0.5))</f>
        <v>245951.99999999997</v>
      </c>
      <c r="E9" s="98"/>
      <c r="F9" t="s">
        <v>16</v>
      </c>
      <c r="H9" s="99" t="s">
        <v>22</v>
      </c>
      <c r="I9" s="99"/>
      <c r="J9" s="8" t="s">
        <v>15</v>
      </c>
      <c r="K9" s="93">
        <v>0.7</v>
      </c>
      <c r="L9" s="93"/>
      <c r="M9" s="31"/>
      <c r="N9" s="31"/>
    </row>
    <row r="10" spans="2:14" ht="15" customHeight="1">
      <c r="B10" t="s">
        <v>74</v>
      </c>
      <c r="C10" s="4" t="s">
        <v>15</v>
      </c>
      <c r="D10" s="103">
        <f>K10*D8*(1-0.59*K10*D8/D7)</f>
        <v>65.142584630947</v>
      </c>
      <c r="E10" s="103"/>
      <c r="F10" t="s">
        <v>16</v>
      </c>
      <c r="H10" s="99" t="s">
        <v>75</v>
      </c>
      <c r="I10" s="99"/>
      <c r="J10" s="8" t="s">
        <v>15</v>
      </c>
      <c r="K10" s="92">
        <f>K9*K8</f>
        <v>0.0271507894736842</v>
      </c>
      <c r="L10" s="92"/>
      <c r="M10" s="32"/>
      <c r="N10" s="32"/>
    </row>
    <row r="11" spans="3:12" ht="15" customHeight="1">
      <c r="C11"/>
      <c r="D11" s="4"/>
      <c r="H11" s="99" t="s">
        <v>76</v>
      </c>
      <c r="I11" s="99"/>
      <c r="J11" s="8" t="s">
        <v>15</v>
      </c>
      <c r="K11" s="92">
        <f>14/D8</f>
        <v>0.004666666666666667</v>
      </c>
      <c r="L11" s="92"/>
    </row>
    <row r="12" ht="15" customHeight="1"/>
    <row r="13" ht="15" customHeight="1">
      <c r="D13" s="4"/>
    </row>
    <row r="14" spans="2:4" ht="15" customHeight="1">
      <c r="B14" s="10" t="s">
        <v>36</v>
      </c>
      <c r="D14" s="4"/>
    </row>
    <row r="15" spans="2:6" ht="15" customHeight="1">
      <c r="B15" t="s">
        <v>41</v>
      </c>
      <c r="C15" s="4" t="s">
        <v>15</v>
      </c>
      <c r="D15" s="96">
        <v>0.26</v>
      </c>
      <c r="E15" s="96"/>
      <c r="F15" t="s">
        <v>17</v>
      </c>
    </row>
    <row r="16" spans="2:6" ht="15" customHeight="1">
      <c r="B16" t="s">
        <v>12</v>
      </c>
      <c r="C16" s="4" t="s">
        <v>15</v>
      </c>
      <c r="D16" s="94">
        <v>35000</v>
      </c>
      <c r="E16" s="94"/>
      <c r="F16" t="s">
        <v>18</v>
      </c>
    </row>
    <row r="17" spans="2:6" ht="15" customHeight="1">
      <c r="B17" t="s">
        <v>79</v>
      </c>
      <c r="C17" s="4" t="s">
        <v>15</v>
      </c>
      <c r="D17" s="94">
        <v>45000</v>
      </c>
      <c r="E17" s="94"/>
      <c r="F17" t="s">
        <v>18</v>
      </c>
    </row>
    <row r="18" spans="2:17" ht="15" customHeight="1">
      <c r="B18" t="s">
        <v>43</v>
      </c>
      <c r="C18" s="4" t="s">
        <v>15</v>
      </c>
      <c r="D18" s="96">
        <v>0.55</v>
      </c>
      <c r="E18" s="96"/>
      <c r="F18" t="s">
        <v>17</v>
      </c>
      <c r="G18" s="16" t="str">
        <f>IF(D18&gt;=(1.5*D15),"OK","Fail")</f>
        <v>OK</v>
      </c>
      <c r="I18" s="65" t="s">
        <v>60</v>
      </c>
      <c r="J18" s="63" t="s">
        <v>15</v>
      </c>
      <c r="K18" s="47">
        <f>D18*2+D19</f>
        <v>2.2</v>
      </c>
      <c r="L18" s="48" t="s">
        <v>17</v>
      </c>
      <c r="Q18" s="4"/>
    </row>
    <row r="19" spans="2:17" ht="15" customHeight="1">
      <c r="B19" t="s">
        <v>44</v>
      </c>
      <c r="C19" s="4" t="s">
        <v>15</v>
      </c>
      <c r="D19" s="96">
        <v>1.1</v>
      </c>
      <c r="E19" s="96"/>
      <c r="F19" t="s">
        <v>17</v>
      </c>
      <c r="G19" s="16" t="str">
        <f>IF(D19&gt;(3*D15),"OK","Fail")</f>
        <v>OK</v>
      </c>
      <c r="H19" s="65"/>
      <c r="I19" s="24" t="s">
        <v>61</v>
      </c>
      <c r="J19" s="73" t="s">
        <v>15</v>
      </c>
      <c r="K19" s="25">
        <f>D20</f>
        <v>1</v>
      </c>
      <c r="L19" s="23" t="s">
        <v>17</v>
      </c>
      <c r="Q19" s="4"/>
    </row>
    <row r="20" spans="2:17" ht="15" customHeight="1">
      <c r="B20" t="s">
        <v>45</v>
      </c>
      <c r="C20" s="4" t="s">
        <v>15</v>
      </c>
      <c r="D20" s="108">
        <v>1</v>
      </c>
      <c r="E20" s="108"/>
      <c r="F20" t="s">
        <v>17</v>
      </c>
      <c r="G20" s="16"/>
      <c r="I20" s="24" t="s">
        <v>62</v>
      </c>
      <c r="J20" s="73" t="s">
        <v>15</v>
      </c>
      <c r="K20" s="64">
        <f>(D22-D24)*100</f>
        <v>42.5</v>
      </c>
      <c r="L20" s="23" t="s">
        <v>85</v>
      </c>
      <c r="Q20" s="4"/>
    </row>
    <row r="21" spans="2:12" ht="15" customHeight="1">
      <c r="B21" t="s">
        <v>11</v>
      </c>
      <c r="C21" s="4" t="s">
        <v>15</v>
      </c>
      <c r="D21" s="96">
        <v>1.5</v>
      </c>
      <c r="E21" s="96"/>
      <c r="F21" t="s">
        <v>17</v>
      </c>
      <c r="H21" s="106" t="s">
        <v>95</v>
      </c>
      <c r="I21" s="106"/>
      <c r="J21" s="4" t="s">
        <v>15</v>
      </c>
      <c r="K21" s="72">
        <f>((D37*100/(0.9*D10*K19*100))^0.5)</f>
        <v>22.00750499482679</v>
      </c>
      <c r="L21" s="23" t="s">
        <v>85</v>
      </c>
    </row>
    <row r="22" spans="2:6" ht="15" customHeight="1">
      <c r="B22" t="s">
        <v>10</v>
      </c>
      <c r="C22" s="4" t="s">
        <v>15</v>
      </c>
      <c r="D22" s="96">
        <v>0.5</v>
      </c>
      <c r="E22" s="96"/>
      <c r="F22" t="s">
        <v>17</v>
      </c>
    </row>
    <row r="23" spans="2:14" ht="15" customHeight="1">
      <c r="B23" t="s">
        <v>70</v>
      </c>
      <c r="C23" s="4" t="s">
        <v>15</v>
      </c>
      <c r="D23" s="21">
        <v>20</v>
      </c>
      <c r="E23" s="20">
        <v>20</v>
      </c>
      <c r="F23" t="s">
        <v>46</v>
      </c>
      <c r="I23" s="24" t="s">
        <v>63</v>
      </c>
      <c r="J23" s="73" t="s">
        <v>15</v>
      </c>
      <c r="K23" s="25">
        <f>K18/K19</f>
        <v>2.2</v>
      </c>
      <c r="M23" s="17"/>
      <c r="N23" s="17"/>
    </row>
    <row r="24" spans="2:12" ht="15" customHeight="1">
      <c r="B24" t="s">
        <v>4</v>
      </c>
      <c r="C24" s="4" t="s">
        <v>15</v>
      </c>
      <c r="D24" s="105">
        <v>0.075</v>
      </c>
      <c r="E24" s="105"/>
      <c r="F24" t="s">
        <v>17</v>
      </c>
      <c r="G24" s="90" t="s">
        <v>64</v>
      </c>
      <c r="H24" s="90"/>
      <c r="I24" s="90"/>
      <c r="J24" s="66" t="s">
        <v>15</v>
      </c>
      <c r="K24" s="28">
        <f>D25*D26/100</f>
        <v>6677.36</v>
      </c>
      <c r="L24" t="s">
        <v>59</v>
      </c>
    </row>
    <row r="25" spans="2:14" ht="15" customHeight="1">
      <c r="B25" t="s">
        <v>13</v>
      </c>
      <c r="C25" s="4" t="s">
        <v>15</v>
      </c>
      <c r="D25" s="94">
        <v>83467</v>
      </c>
      <c r="E25" s="94"/>
      <c r="F25" t="s">
        <v>18</v>
      </c>
      <c r="G25" s="90" t="s">
        <v>65</v>
      </c>
      <c r="H25" s="90"/>
      <c r="I25" s="90"/>
      <c r="J25" s="66" t="s">
        <v>15</v>
      </c>
      <c r="K25" s="29">
        <f>2400*K18*K19*D22</f>
        <v>2640</v>
      </c>
      <c r="L25" t="s">
        <v>59</v>
      </c>
      <c r="M25" s="16" t="str">
        <f>IF(K25&lt;K24,"OK","Fail")</f>
        <v>OK</v>
      </c>
      <c r="N25" s="16"/>
    </row>
    <row r="26" spans="2:6" ht="15" customHeight="1">
      <c r="B26" s="3" t="s">
        <v>14</v>
      </c>
      <c r="C26" s="4" t="s">
        <v>15</v>
      </c>
      <c r="D26" s="77">
        <v>8</v>
      </c>
      <c r="E26" s="77"/>
      <c r="F26" s="55" t="s">
        <v>38</v>
      </c>
    </row>
    <row r="27" spans="2:7" ht="15" customHeight="1">
      <c r="B27" t="s">
        <v>77</v>
      </c>
      <c r="C27" s="4" t="s">
        <v>15</v>
      </c>
      <c r="D27" s="104">
        <f>D25*(1+D26/100)</f>
        <v>90144.36</v>
      </c>
      <c r="E27" s="104"/>
      <c r="F27" t="s">
        <v>18</v>
      </c>
      <c r="G27" s="16" t="str">
        <f>IF(D27&lt;(2*D16),"Can use Footing 2 Plie","Fail")</f>
        <v>Fail</v>
      </c>
    </row>
    <row r="28" spans="2:7" ht="15" customHeight="1">
      <c r="B28" t="s">
        <v>78</v>
      </c>
      <c r="C28" s="4" t="s">
        <v>15</v>
      </c>
      <c r="D28" s="80">
        <f>1.4*D27/2</f>
        <v>63101.051999999996</v>
      </c>
      <c r="E28" s="80"/>
      <c r="F28" t="s">
        <v>18</v>
      </c>
      <c r="G28" s="16" t="str">
        <f>IF(D28&lt;D17,"OK","Check pile")</f>
        <v>Check pile</v>
      </c>
    </row>
    <row r="29" ht="15" customHeight="1"/>
    <row r="30" ht="15" customHeight="1">
      <c r="B30" s="10" t="s">
        <v>88</v>
      </c>
    </row>
    <row r="31" spans="2:9" ht="15" customHeight="1">
      <c r="B31" s="10" t="s">
        <v>48</v>
      </c>
      <c r="H31" s="68" t="s">
        <v>82</v>
      </c>
      <c r="I31" s="4"/>
    </row>
    <row r="32" spans="2:12" ht="15" customHeight="1">
      <c r="B32" t="s">
        <v>83</v>
      </c>
      <c r="C32" s="4" t="s">
        <v>15</v>
      </c>
      <c r="D32" s="81">
        <f>D28*1</f>
        <v>63101.051999999996</v>
      </c>
      <c r="E32" s="81"/>
      <c r="F32" t="s">
        <v>18</v>
      </c>
      <c r="H32" s="67" t="s">
        <v>84</v>
      </c>
      <c r="I32" s="4" t="s">
        <v>15</v>
      </c>
      <c r="J32" s="102">
        <f>(K20+D23)*4</f>
        <v>250</v>
      </c>
      <c r="K32" s="102"/>
      <c r="L32" t="s">
        <v>85</v>
      </c>
    </row>
    <row r="33" spans="2:12" ht="15" customHeight="1">
      <c r="B33" s="67" t="s">
        <v>81</v>
      </c>
      <c r="C33" s="4" t="s">
        <v>15</v>
      </c>
      <c r="D33" s="81">
        <f>0.85*0.53*D7^0.5*K18*100*K20</f>
        <v>65254.73450524492</v>
      </c>
      <c r="E33" s="81"/>
      <c r="F33" t="s">
        <v>18</v>
      </c>
      <c r="G33" s="16" t="str">
        <f>IF(D33&gt;D32,"OK","Check ขนาดฐานราก")</f>
        <v>OK</v>
      </c>
      <c r="H33" s="67" t="s">
        <v>83</v>
      </c>
      <c r="I33" s="4" t="s">
        <v>15</v>
      </c>
      <c r="J33" s="81">
        <f>D28*2</f>
        <v>126202.10399999999</v>
      </c>
      <c r="K33" s="81"/>
      <c r="L33" t="s">
        <v>18</v>
      </c>
    </row>
    <row r="34" spans="8:14" ht="15" customHeight="1">
      <c r="H34" s="67" t="s">
        <v>81</v>
      </c>
      <c r="I34" s="4" t="s">
        <v>15</v>
      </c>
      <c r="J34" s="81">
        <f>1.06*0.85*D7^0.5*J32*K20</f>
        <v>148306.2147846475</v>
      </c>
      <c r="K34" s="81"/>
      <c r="L34" t="s">
        <v>18</v>
      </c>
      <c r="M34" s="16" t="str">
        <f>IF(J34&gt;J33,"OK","Check ขนาดฐานราก")</f>
        <v>OK</v>
      </c>
      <c r="N34" s="16"/>
    </row>
    <row r="35" ht="15" customHeight="1">
      <c r="B35" s="10" t="s">
        <v>19</v>
      </c>
    </row>
    <row r="36" spans="2:6" ht="15" customHeight="1">
      <c r="B36" t="s">
        <v>94</v>
      </c>
      <c r="C36" s="4" t="s">
        <v>15</v>
      </c>
      <c r="D36" s="84">
        <f>K18/2-D23/100/2-D18</f>
        <v>0.44999999999999996</v>
      </c>
      <c r="E36" s="84"/>
      <c r="F36" t="s">
        <v>17</v>
      </c>
    </row>
    <row r="37" spans="2:6" ht="15" customHeight="1">
      <c r="B37" t="s">
        <v>80</v>
      </c>
      <c r="C37" s="4" t="s">
        <v>15</v>
      </c>
      <c r="D37" s="78">
        <f>D28*D36</f>
        <v>28395.473399999995</v>
      </c>
      <c r="E37" s="78"/>
      <c r="F37" t="s">
        <v>52</v>
      </c>
    </row>
    <row r="38" spans="2:6" ht="15" customHeight="1">
      <c r="B38" t="s">
        <v>74</v>
      </c>
      <c r="C38" s="4" t="s">
        <v>15</v>
      </c>
      <c r="D38" s="101">
        <f>D37*100/(0.9*K19*100*K20^2)</f>
        <v>17.46741923875432</v>
      </c>
      <c r="E38" s="101"/>
      <c r="F38" t="s">
        <v>16</v>
      </c>
    </row>
    <row r="39" spans="2:7" ht="15" customHeight="1">
      <c r="B39" s="69" t="s">
        <v>89</v>
      </c>
      <c r="C39" s="4" t="s">
        <v>15</v>
      </c>
      <c r="D39" s="107">
        <f>(0.85*D7/D8)*(1-(1-2*D38/(0.85*D7))^0.5)</f>
        <v>0.0060956894782239705</v>
      </c>
      <c r="E39" s="107"/>
      <c r="F39" s="71" t="str">
        <f>IF(D39&lt;K11,"&lt;","&gt;")</f>
        <v>&gt;</v>
      </c>
      <c r="G39" s="69" t="s">
        <v>91</v>
      </c>
    </row>
    <row r="40" spans="2:12" ht="15" customHeight="1">
      <c r="B40" s="70" t="s">
        <v>90</v>
      </c>
      <c r="C40" s="4" t="s">
        <v>15</v>
      </c>
      <c r="D40" s="107">
        <f>1.33*D39</f>
        <v>0.008107267006037882</v>
      </c>
      <c r="E40" s="107"/>
      <c r="F40" s="71" t="str">
        <f>IF(D40&lt;K11,"&lt;","&gt;")</f>
        <v>&gt;</v>
      </c>
      <c r="G40" s="69" t="s">
        <v>91</v>
      </c>
      <c r="J40" s="83" t="s">
        <v>34</v>
      </c>
      <c r="K40" s="83"/>
      <c r="L40" s="83"/>
    </row>
    <row r="41" spans="2:12" ht="15" customHeight="1">
      <c r="B41" s="69" t="s">
        <v>89</v>
      </c>
      <c r="C41" s="4" t="s">
        <v>15</v>
      </c>
      <c r="D41" s="107">
        <f>IF(D40&lt;K11,D40,K11)</f>
        <v>0.004666666666666667</v>
      </c>
      <c r="E41" s="107"/>
      <c r="J41" s="83"/>
      <c r="K41" s="83"/>
      <c r="L41" s="83"/>
    </row>
    <row r="42" spans="2:12" ht="15.75" customHeight="1">
      <c r="B42" s="69" t="s">
        <v>92</v>
      </c>
      <c r="C42" s="4" t="s">
        <v>15</v>
      </c>
      <c r="D42" s="101">
        <f>IF(D39&gt;K11,D39,D41*K19*100*K20)</f>
        <v>0.0060956894782239705</v>
      </c>
      <c r="E42" s="101"/>
      <c r="F42" t="s">
        <v>33</v>
      </c>
      <c r="J42" s="18">
        <v>5</v>
      </c>
      <c r="K42" s="18" t="s">
        <v>2</v>
      </c>
      <c r="L42" s="18">
        <v>20</v>
      </c>
    </row>
    <row r="43" spans="2:12" ht="15.75" customHeight="1">
      <c r="B43" s="69" t="s">
        <v>93</v>
      </c>
      <c r="C43" s="4" t="s">
        <v>15</v>
      </c>
      <c r="D43" s="101">
        <f>2*D42/(K23+1)</f>
        <v>0.0038098059238899813</v>
      </c>
      <c r="E43" s="101"/>
      <c r="F43" t="s">
        <v>33</v>
      </c>
      <c r="J43" s="22">
        <v>6</v>
      </c>
      <c r="K43" s="22" t="s">
        <v>2</v>
      </c>
      <c r="L43" s="22">
        <v>20</v>
      </c>
    </row>
    <row r="44" ht="15.75" customHeight="1"/>
    <row r="45" spans="2:7" ht="15.75" customHeight="1">
      <c r="B45" t="s">
        <v>55</v>
      </c>
      <c r="C45" s="4" t="s">
        <v>15</v>
      </c>
      <c r="D45" s="82">
        <f>J42*PI()*(L42/10)^2/4</f>
        <v>15.707963267948966</v>
      </c>
      <c r="E45" s="82"/>
      <c r="F45" t="s">
        <v>33</v>
      </c>
      <c r="G45" s="16" t="str">
        <f>IF(D45&gt;D42,"OK","Change bar")</f>
        <v>OK</v>
      </c>
    </row>
    <row r="46" spans="2:7" ht="15.75" customHeight="1">
      <c r="B46" t="s">
        <v>56</v>
      </c>
      <c r="C46" s="4" t="s">
        <v>15</v>
      </c>
      <c r="D46" s="82">
        <f>J43*PI()*(L43/10)^2/4</f>
        <v>18.84955592153876</v>
      </c>
      <c r="E46" s="82"/>
      <c r="F46" t="s">
        <v>33</v>
      </c>
      <c r="G46" s="16" t="str">
        <f>IF(D46&gt;D43,"OK","Change bar")</f>
        <v>OK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B52" s="10"/>
    </row>
    <row r="53" spans="4:7" ht="15" customHeight="1">
      <c r="D53" s="78"/>
      <c r="E53" s="78"/>
      <c r="G53" s="16"/>
    </row>
    <row r="54" spans="4:5" ht="15" customHeight="1">
      <c r="D54" s="101"/>
      <c r="E54" s="101"/>
    </row>
    <row r="55" spans="4:7" ht="15" customHeight="1">
      <c r="D55" s="101"/>
      <c r="E55" s="101"/>
      <c r="G55" s="16"/>
    </row>
    <row r="56" spans="4:5" ht="15" customHeight="1">
      <c r="D56" s="101"/>
      <c r="E56" s="101"/>
    </row>
    <row r="57" spans="4:14" ht="15" customHeight="1">
      <c r="D57" s="102"/>
      <c r="E57" s="102"/>
      <c r="G57" s="16"/>
      <c r="M57" s="33"/>
      <c r="N57" s="33"/>
    </row>
    <row r="58" spans="4:14" ht="15" customHeight="1">
      <c r="D58" s="79"/>
      <c r="E58" s="79"/>
      <c r="M58" s="33"/>
      <c r="N58" s="33"/>
    </row>
    <row r="59" spans="4:14" ht="15" customHeight="1">
      <c r="D59" s="100"/>
      <c r="E59" s="100"/>
      <c r="M59" s="34"/>
      <c r="N59" s="34"/>
    </row>
    <row r="60" spans="4:14" ht="15" customHeight="1">
      <c r="D60" s="100"/>
      <c r="E60" s="100"/>
      <c r="M60" s="34"/>
      <c r="N60" s="3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59">
    <mergeCell ref="D19:E19"/>
    <mergeCell ref="D43:E43"/>
    <mergeCell ref="D41:E41"/>
    <mergeCell ref="D42:E42"/>
    <mergeCell ref="D39:E39"/>
    <mergeCell ref="D40:E40"/>
    <mergeCell ref="D37:E37"/>
    <mergeCell ref="D22:E22"/>
    <mergeCell ref="D20:E20"/>
    <mergeCell ref="H21:I21"/>
    <mergeCell ref="G24:I24"/>
    <mergeCell ref="G25:I25"/>
    <mergeCell ref="J33:K33"/>
    <mergeCell ref="J32:K32"/>
    <mergeCell ref="J40:L41"/>
    <mergeCell ref="D36:E36"/>
    <mergeCell ref="B1:D1"/>
    <mergeCell ref="B2:D2"/>
    <mergeCell ref="D10:E10"/>
    <mergeCell ref="D27:E27"/>
    <mergeCell ref="D26:E26"/>
    <mergeCell ref="D25:E25"/>
    <mergeCell ref="D24:E24"/>
    <mergeCell ref="D21:E21"/>
    <mergeCell ref="G1:M1"/>
    <mergeCell ref="H6:L6"/>
    <mergeCell ref="D58:E58"/>
    <mergeCell ref="D28:E28"/>
    <mergeCell ref="J34:K34"/>
    <mergeCell ref="D46:E46"/>
    <mergeCell ref="D45:E45"/>
    <mergeCell ref="D33:E33"/>
    <mergeCell ref="D32:E32"/>
    <mergeCell ref="D38:E38"/>
    <mergeCell ref="D60:E60"/>
    <mergeCell ref="B4:L4"/>
    <mergeCell ref="D55:E55"/>
    <mergeCell ref="D54:E54"/>
    <mergeCell ref="D56:E56"/>
    <mergeCell ref="D57:E57"/>
    <mergeCell ref="D7:E7"/>
    <mergeCell ref="D53:E53"/>
    <mergeCell ref="D59:E59"/>
    <mergeCell ref="D15:E15"/>
    <mergeCell ref="D18:E18"/>
    <mergeCell ref="D16:E16"/>
    <mergeCell ref="K7:L7"/>
    <mergeCell ref="K11:L11"/>
    <mergeCell ref="D9:E9"/>
    <mergeCell ref="D17:E17"/>
    <mergeCell ref="H11:I11"/>
    <mergeCell ref="H10:I10"/>
    <mergeCell ref="H9:I9"/>
    <mergeCell ref="H7:I7"/>
    <mergeCell ref="K8:L8"/>
    <mergeCell ref="K9:L9"/>
    <mergeCell ref="K10:L10"/>
    <mergeCell ref="D8:E8"/>
    <mergeCell ref="H8:I8"/>
  </mergeCells>
  <dataValidations count="2">
    <dataValidation type="list" allowBlank="1" showInputMessage="1" showErrorMessage="1" sqref="K42:K43">
      <formula1>type</formula1>
    </dataValidation>
    <dataValidation type="list" allowBlank="1" showInputMessage="1" showErrorMessage="1" sqref="L42:L43 M59:N60">
      <formula1>bar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D36" sqref="D36:E36"/>
    </sheetView>
  </sheetViews>
  <sheetFormatPr defaultColWidth="9.140625" defaultRowHeight="12.75"/>
  <cols>
    <col min="1" max="1" width="9.00390625" style="0" customWidth="1"/>
    <col min="2" max="2" width="18.7109375" style="0" customWidth="1"/>
    <col min="3" max="3" width="4.140625" style="4" customWidth="1"/>
    <col min="4" max="5" width="4.00390625" style="0" customWidth="1"/>
    <col min="6" max="6" width="5.140625" style="0" customWidth="1"/>
    <col min="7" max="7" width="9.57421875" style="0" customWidth="1"/>
    <col min="8" max="8" width="7.140625" style="0" customWidth="1"/>
    <col min="9" max="9" width="2.140625" style="0" customWidth="1"/>
    <col min="10" max="10" width="6.7109375" style="0" customWidth="1"/>
    <col min="11" max="11" width="4.7109375" style="0" customWidth="1"/>
    <col min="12" max="12" width="6.421875" style="0" customWidth="1"/>
    <col min="13" max="13" width="5.7109375" style="0" customWidth="1"/>
  </cols>
  <sheetData>
    <row r="1" spans="1:13" ht="12.75">
      <c r="A1" s="59" t="s">
        <v>39</v>
      </c>
      <c r="B1" s="86" t="str">
        <f>(""&amp;ชื่อโครงการ!C5&amp;"")</f>
        <v>โรงงานพื้นที่ใช้สอย 720 ตร.ม.</v>
      </c>
      <c r="C1" s="86"/>
      <c r="D1" s="86"/>
      <c r="E1" s="58"/>
      <c r="F1" s="13"/>
      <c r="G1" s="59"/>
      <c r="H1" s="59"/>
      <c r="I1" s="85" t="str">
        <f>(""&amp;ชื่อโครงการ!B7&amp;" "&amp;ชื่อโครงการ!C7&amp;"")</f>
        <v>เจ้าของ : ภาควิชาวิศวกรรมโยธา</v>
      </c>
      <c r="J1" s="85"/>
      <c r="K1" s="85"/>
      <c r="L1" s="85"/>
      <c r="M1" s="85"/>
    </row>
    <row r="2" spans="1:14" ht="13.5" thickBot="1">
      <c r="A2" s="60" t="s">
        <v>68</v>
      </c>
      <c r="B2" s="87" t="str">
        <f>(""&amp;ชื่อโครงการ!C6&amp;"")</f>
        <v>มหาวิทยาลัยราชมงคล ธัญบุรี</v>
      </c>
      <c r="C2" s="87"/>
      <c r="D2" s="87"/>
      <c r="E2" s="39"/>
      <c r="F2" s="39"/>
      <c r="G2" s="56"/>
      <c r="H2" s="56"/>
      <c r="I2" s="56"/>
      <c r="J2" s="56"/>
      <c r="K2" s="56"/>
      <c r="L2" s="56"/>
      <c r="M2" s="56"/>
      <c r="N2" s="13"/>
    </row>
    <row r="3" spans="1:14" ht="7.5" customHeight="1">
      <c r="A3" s="61"/>
      <c r="B3" s="57"/>
      <c r="C3" s="57"/>
      <c r="D3" s="57"/>
      <c r="E3" s="13"/>
      <c r="F3" s="13"/>
      <c r="G3" s="58"/>
      <c r="H3" s="58"/>
      <c r="I3" s="58"/>
      <c r="J3" s="58"/>
      <c r="K3" s="58"/>
      <c r="L3" s="58"/>
      <c r="M3" s="58"/>
      <c r="N3" s="13"/>
    </row>
    <row r="4" spans="1:14" ht="20.25">
      <c r="A4" s="13"/>
      <c r="B4" s="91" t="s">
        <v>71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3"/>
      <c r="N4" s="13"/>
    </row>
    <row r="5" spans="8:11" ht="7.5" customHeight="1">
      <c r="H5" s="13"/>
      <c r="I5" s="13"/>
      <c r="J5" s="14"/>
      <c r="K5" s="14"/>
    </row>
    <row r="6" spans="2:16" ht="12.75">
      <c r="B6" s="19" t="s">
        <v>42</v>
      </c>
      <c r="D6" s="15"/>
      <c r="E6" s="15"/>
      <c r="F6" s="15"/>
      <c r="J6" s="109" t="s">
        <v>35</v>
      </c>
      <c r="K6" s="110"/>
      <c r="L6" s="111"/>
      <c r="M6" s="30"/>
      <c r="P6" s="6" t="s">
        <v>22</v>
      </c>
    </row>
    <row r="7" spans="2:16" ht="12.75">
      <c r="B7" t="s">
        <v>6</v>
      </c>
      <c r="C7" s="4" t="s">
        <v>15</v>
      </c>
      <c r="D7" s="77">
        <v>240</v>
      </c>
      <c r="E7" s="77"/>
      <c r="F7" t="s">
        <v>16</v>
      </c>
      <c r="J7" s="8" t="s">
        <v>22</v>
      </c>
      <c r="K7" s="8" t="s">
        <v>15</v>
      </c>
      <c r="L7" s="7">
        <f>IF(P7&lt;6,6,P7)</f>
        <v>9</v>
      </c>
      <c r="M7" s="13"/>
      <c r="P7" s="6">
        <f>CEILING((2.04*10^6/D12),1)</f>
        <v>9</v>
      </c>
    </row>
    <row r="8" spans="2:13" ht="12.75">
      <c r="B8" t="s">
        <v>5</v>
      </c>
      <c r="C8" s="4" t="s">
        <v>15</v>
      </c>
      <c r="D8" s="94">
        <v>3000</v>
      </c>
      <c r="E8" s="94"/>
      <c r="F8" t="s">
        <v>16</v>
      </c>
      <c r="J8" s="8" t="s">
        <v>23</v>
      </c>
      <c r="K8" s="8" t="s">
        <v>15</v>
      </c>
      <c r="L8" s="11">
        <f>1/(1+D10/(P7*D9))</f>
        <v>0.3932038834951457</v>
      </c>
      <c r="M8" s="31"/>
    </row>
    <row r="9" spans="2:13" ht="12.75">
      <c r="B9" t="s">
        <v>32</v>
      </c>
      <c r="C9" s="4" t="s">
        <v>15</v>
      </c>
      <c r="D9" s="102">
        <f>D11*D7</f>
        <v>108</v>
      </c>
      <c r="E9" s="102"/>
      <c r="F9" t="s">
        <v>16</v>
      </c>
      <c r="J9" s="8" t="s">
        <v>24</v>
      </c>
      <c r="K9" s="8" t="s">
        <v>15</v>
      </c>
      <c r="L9" s="11">
        <f>1-(L8/3)</f>
        <v>0.8689320388349514</v>
      </c>
      <c r="M9" s="31"/>
    </row>
    <row r="10" spans="2:13" ht="12.75">
      <c r="B10" t="s">
        <v>21</v>
      </c>
      <c r="C10" s="4" t="s">
        <v>15</v>
      </c>
      <c r="D10" s="98">
        <f>0.5*D8</f>
        <v>1500</v>
      </c>
      <c r="E10" s="98"/>
      <c r="F10" t="s">
        <v>16</v>
      </c>
      <c r="J10" s="8" t="s">
        <v>25</v>
      </c>
      <c r="K10" s="8" t="s">
        <v>15</v>
      </c>
      <c r="L10" s="12">
        <f>0.5*D7*L8*L9</f>
        <v>41.00009425959092</v>
      </c>
      <c r="M10" s="32"/>
    </row>
    <row r="11" spans="2:5" ht="12.75">
      <c r="B11" t="s">
        <v>7</v>
      </c>
      <c r="C11" s="4" t="s">
        <v>15</v>
      </c>
      <c r="D11" s="77">
        <v>0.45</v>
      </c>
      <c r="E11" s="77"/>
    </row>
    <row r="12" spans="2:6" ht="12.75">
      <c r="B12" t="s">
        <v>26</v>
      </c>
      <c r="C12" s="4" t="s">
        <v>15</v>
      </c>
      <c r="D12" s="98">
        <f>((4270*2.4^1.5)*(D7^0.5))</f>
        <v>245951.99999999997</v>
      </c>
      <c r="E12" s="98"/>
      <c r="F12" t="s">
        <v>16</v>
      </c>
    </row>
    <row r="13" ht="9" customHeight="1">
      <c r="D13" s="4"/>
    </row>
    <row r="14" spans="2:4" ht="12.75">
      <c r="B14" s="10" t="s">
        <v>36</v>
      </c>
      <c r="D14" s="4"/>
    </row>
    <row r="15" spans="2:6" ht="12.75">
      <c r="B15" t="s">
        <v>41</v>
      </c>
      <c r="C15" s="4" t="s">
        <v>15</v>
      </c>
      <c r="D15" s="96">
        <v>0.22</v>
      </c>
      <c r="E15" s="96"/>
      <c r="F15" t="s">
        <v>17</v>
      </c>
    </row>
    <row r="16" spans="2:6" ht="12.75">
      <c r="B16" t="s">
        <v>12</v>
      </c>
      <c r="C16" s="4" t="s">
        <v>15</v>
      </c>
      <c r="D16" s="94">
        <v>22000</v>
      </c>
      <c r="E16" s="94"/>
      <c r="F16" t="s">
        <v>18</v>
      </c>
    </row>
    <row r="17" spans="2:16" ht="12.75">
      <c r="B17" t="s">
        <v>43</v>
      </c>
      <c r="C17" s="4" t="s">
        <v>15</v>
      </c>
      <c r="D17" s="96">
        <v>0.35</v>
      </c>
      <c r="E17" s="96"/>
      <c r="F17" t="s">
        <v>17</v>
      </c>
      <c r="G17" s="16" t="str">
        <f>IF(D17&gt;(1.5*D15),"OK","Fail")</f>
        <v>OK</v>
      </c>
      <c r="H17" s="113" t="s">
        <v>60</v>
      </c>
      <c r="I17" s="114" t="s">
        <v>15</v>
      </c>
      <c r="J17" s="115">
        <f>D17*2+D18</f>
        <v>1.4</v>
      </c>
      <c r="K17" s="112" t="s">
        <v>17</v>
      </c>
      <c r="P17" s="4"/>
    </row>
    <row r="18" spans="2:16" ht="12.75">
      <c r="B18" t="s">
        <v>44</v>
      </c>
      <c r="C18" s="4" t="s">
        <v>15</v>
      </c>
      <c r="D18" s="96">
        <v>0.7</v>
      </c>
      <c r="E18" s="96"/>
      <c r="F18" t="s">
        <v>17</v>
      </c>
      <c r="G18" s="16" t="str">
        <f>IF(D18&gt;(1.5*D15),"OK","Fail")</f>
        <v>OK</v>
      </c>
      <c r="H18" s="113"/>
      <c r="I18" s="114"/>
      <c r="J18" s="115"/>
      <c r="K18" s="112"/>
      <c r="P18" s="4"/>
    </row>
    <row r="19" spans="2:16" ht="12.75">
      <c r="B19" t="s">
        <v>45</v>
      </c>
      <c r="C19" s="4" t="s">
        <v>15</v>
      </c>
      <c r="D19" s="108">
        <f>2*D17</f>
        <v>0.7</v>
      </c>
      <c r="E19" s="108"/>
      <c r="F19" t="s">
        <v>17</v>
      </c>
      <c r="G19" s="16"/>
      <c r="H19" s="24" t="s">
        <v>61</v>
      </c>
      <c r="I19" s="24" t="s">
        <v>15</v>
      </c>
      <c r="J19" s="25">
        <f>D19</f>
        <v>0.7</v>
      </c>
      <c r="K19" s="23" t="s">
        <v>17</v>
      </c>
      <c r="P19" s="4"/>
    </row>
    <row r="20" spans="2:11" ht="12.75">
      <c r="B20" t="s">
        <v>11</v>
      </c>
      <c r="C20" s="4" t="s">
        <v>15</v>
      </c>
      <c r="D20" s="96">
        <v>1.2</v>
      </c>
      <c r="E20" s="96"/>
      <c r="F20" t="s">
        <v>17</v>
      </c>
      <c r="H20" s="24" t="s">
        <v>62</v>
      </c>
      <c r="I20" s="24" t="s">
        <v>15</v>
      </c>
      <c r="J20" s="26">
        <f>D21-D23</f>
        <v>0.325</v>
      </c>
      <c r="K20" s="23" t="s">
        <v>17</v>
      </c>
    </row>
    <row r="21" spans="2:13" ht="12.75">
      <c r="B21" t="s">
        <v>10</v>
      </c>
      <c r="C21" s="4" t="s">
        <v>15</v>
      </c>
      <c r="D21" s="96">
        <v>0.4</v>
      </c>
      <c r="E21" s="96"/>
      <c r="F21" t="s">
        <v>17</v>
      </c>
      <c r="H21" s="24" t="s">
        <v>63</v>
      </c>
      <c r="I21" s="24" t="s">
        <v>15</v>
      </c>
      <c r="J21" s="25">
        <f>J17/J19</f>
        <v>2</v>
      </c>
      <c r="L21" s="17"/>
      <c r="M21" s="17"/>
    </row>
    <row r="22" spans="2:13" ht="12.75">
      <c r="B22" t="s">
        <v>70</v>
      </c>
      <c r="C22" s="4" t="s">
        <v>15</v>
      </c>
      <c r="D22" s="21">
        <v>25</v>
      </c>
      <c r="E22" s="20">
        <v>25</v>
      </c>
      <c r="F22" t="s">
        <v>46</v>
      </c>
      <c r="L22" s="17"/>
      <c r="M22" s="17"/>
    </row>
    <row r="23" spans="2:11" ht="12.75">
      <c r="B23" t="s">
        <v>4</v>
      </c>
      <c r="C23" s="4" t="s">
        <v>15</v>
      </c>
      <c r="D23" s="105">
        <v>0.075</v>
      </c>
      <c r="E23" s="105"/>
      <c r="F23" t="s">
        <v>17</v>
      </c>
      <c r="G23" s="90" t="s">
        <v>64</v>
      </c>
      <c r="H23" s="90"/>
      <c r="I23" s="27" t="s">
        <v>15</v>
      </c>
      <c r="J23" s="28">
        <f>D24*D25/100</f>
        <v>1838.6</v>
      </c>
      <c r="K23" t="s">
        <v>59</v>
      </c>
    </row>
    <row r="24" spans="2:13" ht="12.75">
      <c r="B24" t="s">
        <v>13</v>
      </c>
      <c r="C24" s="4" t="s">
        <v>15</v>
      </c>
      <c r="D24" s="94">
        <v>36772</v>
      </c>
      <c r="E24" s="94"/>
      <c r="F24" t="s">
        <v>18</v>
      </c>
      <c r="G24" s="90" t="s">
        <v>65</v>
      </c>
      <c r="H24" s="90"/>
      <c r="I24" s="27" t="s">
        <v>15</v>
      </c>
      <c r="J24" s="29">
        <f>2400*J17*J19*D21</f>
        <v>940.8000000000001</v>
      </c>
      <c r="K24" t="s">
        <v>59</v>
      </c>
      <c r="L24" s="16" t="str">
        <f>IF(J24&lt;J23,"OK","Fail")</f>
        <v>OK</v>
      </c>
      <c r="M24" s="16"/>
    </row>
    <row r="25" spans="2:6" ht="14.25">
      <c r="B25" s="3" t="s">
        <v>14</v>
      </c>
      <c r="C25" s="4" t="s">
        <v>15</v>
      </c>
      <c r="D25" s="77">
        <v>5</v>
      </c>
      <c r="E25" s="77"/>
      <c r="F25" s="55" t="s">
        <v>38</v>
      </c>
    </row>
    <row r="26" spans="2:7" ht="12.75">
      <c r="B26" t="s">
        <v>29</v>
      </c>
      <c r="C26" s="4" t="s">
        <v>15</v>
      </c>
      <c r="D26" s="104">
        <f>D24*(1+D25/100)</f>
        <v>38610.6</v>
      </c>
      <c r="E26" s="104"/>
      <c r="F26" t="s">
        <v>18</v>
      </c>
      <c r="G26" s="16" t="str">
        <f>IF(D26&lt;(2*D16),"Can use Footing 3 Plie","Fail")</f>
        <v>Can use Footing 3 Plie</v>
      </c>
    </row>
    <row r="27" ht="9" customHeight="1"/>
    <row r="28" ht="12.75">
      <c r="B28" s="10" t="s">
        <v>19</v>
      </c>
    </row>
    <row r="29" spans="2:7" ht="12.75">
      <c r="B29" t="s">
        <v>47</v>
      </c>
      <c r="C29" s="4" t="s">
        <v>15</v>
      </c>
      <c r="D29" s="78">
        <f>D26/2</f>
        <v>19305.3</v>
      </c>
      <c r="E29" s="78"/>
      <c r="F29" t="s">
        <v>18</v>
      </c>
      <c r="G29" s="16" t="str">
        <f>IF(D29&lt;D16,"OK","Fail")</f>
        <v>OK</v>
      </c>
    </row>
    <row r="30" spans="2:6" ht="12.75">
      <c r="B30" t="s">
        <v>48</v>
      </c>
      <c r="C30" s="4" t="s">
        <v>15</v>
      </c>
      <c r="D30" s="101">
        <f>0.29*(D7)^0.5</f>
        <v>4.492660681600603</v>
      </c>
      <c r="E30" s="101"/>
      <c r="F30" t="s">
        <v>16</v>
      </c>
    </row>
    <row r="31" spans="2:7" ht="12.75">
      <c r="B31" t="s">
        <v>49</v>
      </c>
      <c r="C31" s="4" t="s">
        <v>15</v>
      </c>
      <c r="D31" s="101">
        <f>(D29/((J17*100)*(J20*100)))</f>
        <v>4.242923076923077</v>
      </c>
      <c r="E31" s="101"/>
      <c r="F31" t="s">
        <v>16</v>
      </c>
      <c r="G31" s="16" t="str">
        <f>IF(D31&lt;D30,"OK","ขยายฐานราก")</f>
        <v>OK</v>
      </c>
    </row>
    <row r="32" spans="2:6" ht="12.75">
      <c r="B32" t="s">
        <v>69</v>
      </c>
      <c r="C32" s="4" t="s">
        <v>15</v>
      </c>
      <c r="D32" s="101">
        <f>0.53*(D7)^0.5</f>
        <v>8.210724693959724</v>
      </c>
      <c r="E32" s="101"/>
      <c r="F32" t="s">
        <v>16</v>
      </c>
    </row>
    <row r="33" spans="2:13" ht="12.75">
      <c r="B33" t="s">
        <v>50</v>
      </c>
      <c r="C33" s="4" t="s">
        <v>15</v>
      </c>
      <c r="D33" s="102">
        <v>0</v>
      </c>
      <c r="E33" s="102"/>
      <c r="F33" t="s">
        <v>16</v>
      </c>
      <c r="G33" s="16" t="str">
        <f>IF(D33&lt;D32,"OK","Fail")</f>
        <v>OK</v>
      </c>
      <c r="J33" s="83" t="s">
        <v>34</v>
      </c>
      <c r="K33" s="83"/>
      <c r="L33" s="83"/>
      <c r="M33" s="33"/>
    </row>
    <row r="34" spans="2:13" ht="12.75">
      <c r="B34" t="s">
        <v>51</v>
      </c>
      <c r="C34" s="4" t="s">
        <v>15</v>
      </c>
      <c r="D34" s="79">
        <f>D29*(D18*0.5-(D22*0.5/100))</f>
        <v>4343.692499999999</v>
      </c>
      <c r="E34" s="79"/>
      <c r="F34" t="s">
        <v>52</v>
      </c>
      <c r="J34" s="83"/>
      <c r="K34" s="83"/>
      <c r="L34" s="83"/>
      <c r="M34" s="33"/>
    </row>
    <row r="35" spans="2:13" ht="15.75">
      <c r="B35" t="s">
        <v>54</v>
      </c>
      <c r="C35" s="4" t="s">
        <v>15</v>
      </c>
      <c r="D35" s="100">
        <f>D34/(D10*L9*J20)</f>
        <v>10.254125827245378</v>
      </c>
      <c r="E35" s="100"/>
      <c r="F35" t="s">
        <v>33</v>
      </c>
      <c r="J35" s="18">
        <v>6</v>
      </c>
      <c r="K35" s="18" t="s">
        <v>2</v>
      </c>
      <c r="L35" s="18">
        <v>16</v>
      </c>
      <c r="M35" s="34"/>
    </row>
    <row r="36" spans="2:13" ht="15.75">
      <c r="B36" t="s">
        <v>53</v>
      </c>
      <c r="C36" s="4" t="s">
        <v>15</v>
      </c>
      <c r="D36" s="100">
        <f>2*D35/(J21+1)</f>
        <v>6.836083884830252</v>
      </c>
      <c r="E36" s="100"/>
      <c r="F36" t="s">
        <v>33</v>
      </c>
      <c r="J36" s="22">
        <v>7</v>
      </c>
      <c r="K36" s="22" t="s">
        <v>2</v>
      </c>
      <c r="L36" s="22">
        <v>12</v>
      </c>
      <c r="M36" s="34"/>
    </row>
    <row r="37" ht="8.25" customHeight="1"/>
    <row r="38" spans="2:7" ht="15.75">
      <c r="B38" t="s">
        <v>55</v>
      </c>
      <c r="C38" s="4" t="s">
        <v>15</v>
      </c>
      <c r="D38" s="82">
        <f>J35*PI()*(L35/10)^2/4</f>
        <v>12.063715789784808</v>
      </c>
      <c r="E38" s="82"/>
      <c r="F38" t="s">
        <v>33</v>
      </c>
      <c r="G38" s="16" t="str">
        <f>IF(D38&gt;D35,"OK","Change bar")</f>
        <v>OK</v>
      </c>
    </row>
    <row r="39" spans="2:7" ht="15.75">
      <c r="B39" t="s">
        <v>56</v>
      </c>
      <c r="C39" s="4" t="s">
        <v>15</v>
      </c>
      <c r="D39" s="82">
        <f>J36*PI()*(L36/10)^2/4</f>
        <v>7.916813487046278</v>
      </c>
      <c r="E39" s="82"/>
      <c r="F39" t="s">
        <v>33</v>
      </c>
      <c r="G39" s="16" t="str">
        <f>IF(D39&gt;D36,"OK","Change bar")</f>
        <v>OK</v>
      </c>
    </row>
  </sheetData>
  <mergeCells count="39">
    <mergeCell ref="D35:E35"/>
    <mergeCell ref="D36:E36"/>
    <mergeCell ref="D38:E38"/>
    <mergeCell ref="D39:E39"/>
    <mergeCell ref="D31:E31"/>
    <mergeCell ref="D32:E32"/>
    <mergeCell ref="D33:E33"/>
    <mergeCell ref="J33:L34"/>
    <mergeCell ref="D34:E34"/>
    <mergeCell ref="D25:E25"/>
    <mergeCell ref="D26:E26"/>
    <mergeCell ref="D29:E29"/>
    <mergeCell ref="D30:E30"/>
    <mergeCell ref="D21:E21"/>
    <mergeCell ref="D23:E23"/>
    <mergeCell ref="G23:H23"/>
    <mergeCell ref="D24:E24"/>
    <mergeCell ref="G24:H24"/>
    <mergeCell ref="K17:K18"/>
    <mergeCell ref="D18:E18"/>
    <mergeCell ref="D19:E19"/>
    <mergeCell ref="D20:E20"/>
    <mergeCell ref="D17:E17"/>
    <mergeCell ref="H17:H18"/>
    <mergeCell ref="I17:I18"/>
    <mergeCell ref="J17:J18"/>
    <mergeCell ref="D11:E11"/>
    <mergeCell ref="D12:E12"/>
    <mergeCell ref="D15:E15"/>
    <mergeCell ref="D16:E16"/>
    <mergeCell ref="D7:E7"/>
    <mergeCell ref="D8:E8"/>
    <mergeCell ref="D9:E9"/>
    <mergeCell ref="D10:E10"/>
    <mergeCell ref="B1:D1"/>
    <mergeCell ref="I1:M1"/>
    <mergeCell ref="B4:L4"/>
    <mergeCell ref="J6:L6"/>
    <mergeCell ref="B2:D2"/>
  </mergeCells>
  <dataValidations count="3">
    <dataValidation type="list" allowBlank="1" showInputMessage="1" showErrorMessage="1" sqref="D11">
      <formula1>factor</formula1>
    </dataValidation>
    <dataValidation type="list" allowBlank="1" showInputMessage="1" showErrorMessage="1" sqref="K35:K36">
      <formula1>type</formula1>
    </dataValidation>
    <dataValidation type="list" allowBlank="1" showInputMessage="1" showErrorMessage="1" sqref="L35:M36">
      <formula1>bar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9.421875" style="0" customWidth="1"/>
    <col min="2" max="2" width="18.7109375" style="0" customWidth="1"/>
    <col min="3" max="3" width="4.140625" style="4" customWidth="1"/>
    <col min="4" max="5" width="5.421875" style="0" customWidth="1"/>
    <col min="6" max="6" width="5.140625" style="0" customWidth="1"/>
    <col min="7" max="7" width="9.57421875" style="0" customWidth="1"/>
    <col min="8" max="8" width="7.140625" style="0" customWidth="1"/>
    <col min="9" max="9" width="2.140625" style="0" customWidth="1"/>
    <col min="10" max="10" width="4.00390625" style="0" customWidth="1"/>
    <col min="11" max="11" width="8.00390625" style="0" customWidth="1"/>
    <col min="12" max="12" width="5.421875" style="0" customWidth="1"/>
    <col min="13" max="13" width="5.7109375" style="0" customWidth="1"/>
    <col min="14" max="14" width="5.00390625" style="0" customWidth="1"/>
  </cols>
  <sheetData>
    <row r="1" spans="1:14" ht="15" customHeight="1">
      <c r="A1" s="59" t="s">
        <v>39</v>
      </c>
      <c r="B1" s="86" t="str">
        <f>(""&amp;ชื่อโครงการ!C5&amp;"")</f>
        <v>โรงงานพื้นที่ใช้สอย 720 ตร.ม.</v>
      </c>
      <c r="C1" s="86"/>
      <c r="D1" s="86"/>
      <c r="E1" s="58"/>
      <c r="F1" s="13"/>
      <c r="G1" s="85" t="str">
        <f>(""&amp;ชื่อโครงการ!B7&amp;" "&amp;ชื่อโครงการ!C7&amp;"")</f>
        <v>เจ้าของ : ภาควิชาวิศวกรรมโยธา</v>
      </c>
      <c r="H1" s="85"/>
      <c r="I1" s="85"/>
      <c r="J1" s="85"/>
      <c r="K1" s="85"/>
      <c r="L1" s="85"/>
      <c r="M1" s="85"/>
      <c r="N1" s="61"/>
    </row>
    <row r="2" spans="1:15" ht="15" customHeight="1" thickBot="1">
      <c r="A2" s="60" t="s">
        <v>68</v>
      </c>
      <c r="B2" s="87" t="str">
        <f>(""&amp;ชื่อโครงการ!C6&amp;"")</f>
        <v>มหาวิทยาลัยราชมงคล ธัญบุรี</v>
      </c>
      <c r="C2" s="87"/>
      <c r="D2" s="87"/>
      <c r="E2" s="39"/>
      <c r="F2" s="39"/>
      <c r="G2" s="56"/>
      <c r="H2" s="56"/>
      <c r="I2" s="56"/>
      <c r="J2" s="56"/>
      <c r="K2" s="56"/>
      <c r="L2" s="56"/>
      <c r="M2" s="56"/>
      <c r="N2" s="58"/>
      <c r="O2" s="13"/>
    </row>
    <row r="3" spans="1:15" ht="15" customHeight="1">
      <c r="A3" s="61"/>
      <c r="B3" s="57"/>
      <c r="C3" s="57"/>
      <c r="D3" s="57"/>
      <c r="E3" s="13"/>
      <c r="F3" s="13"/>
      <c r="G3" s="58"/>
      <c r="H3" s="58"/>
      <c r="I3" s="58"/>
      <c r="J3" s="58"/>
      <c r="K3" s="58"/>
      <c r="L3" s="58"/>
      <c r="M3" s="58"/>
      <c r="N3" s="58"/>
      <c r="O3" s="13"/>
    </row>
    <row r="4" spans="1:15" ht="21" customHeight="1">
      <c r="A4" s="13"/>
      <c r="B4" s="91" t="s">
        <v>66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3"/>
      <c r="N4" s="13"/>
      <c r="O4" s="13"/>
    </row>
    <row r="5" spans="8:12" ht="15" customHeight="1">
      <c r="H5" s="13"/>
      <c r="I5" s="13"/>
      <c r="J5" s="14"/>
      <c r="K5" s="14"/>
      <c r="L5" s="13"/>
    </row>
    <row r="6" spans="2:17" ht="15" customHeight="1">
      <c r="B6" s="19" t="s">
        <v>42</v>
      </c>
      <c r="D6" s="4"/>
      <c r="E6" s="15"/>
      <c r="F6" s="15"/>
      <c r="H6" s="89" t="s">
        <v>35</v>
      </c>
      <c r="I6" s="89"/>
      <c r="J6" s="89"/>
      <c r="K6" s="89"/>
      <c r="L6" s="89"/>
      <c r="M6" s="30"/>
      <c r="N6" s="30"/>
      <c r="Q6" s="6" t="s">
        <v>22</v>
      </c>
    </row>
    <row r="7" spans="2:17" ht="15" customHeight="1">
      <c r="B7" t="s">
        <v>6</v>
      </c>
      <c r="C7" s="4" t="s">
        <v>15</v>
      </c>
      <c r="D7" s="77">
        <v>240</v>
      </c>
      <c r="E7" s="77"/>
      <c r="F7" t="s">
        <v>16</v>
      </c>
      <c r="H7" s="95" t="s">
        <v>72</v>
      </c>
      <c r="I7" s="95"/>
      <c r="J7" s="8" t="s">
        <v>15</v>
      </c>
      <c r="K7" s="97">
        <f>IF(D7&lt;=280,0.85,IF(D7&gt;=650,0.65,0.85-0.05*(D7-280)/70))</f>
        <v>0.85</v>
      </c>
      <c r="L7" s="97"/>
      <c r="M7" s="13"/>
      <c r="N7" s="13"/>
      <c r="Q7" s="6">
        <f>CEILING((2.04*10^6/D9),1)</f>
        <v>9</v>
      </c>
    </row>
    <row r="8" spans="2:14" ht="15" customHeight="1">
      <c r="B8" t="s">
        <v>5</v>
      </c>
      <c r="C8" s="4" t="s">
        <v>15</v>
      </c>
      <c r="D8" s="94">
        <v>3000</v>
      </c>
      <c r="E8" s="94"/>
      <c r="F8" t="s">
        <v>16</v>
      </c>
      <c r="H8" s="95" t="s">
        <v>73</v>
      </c>
      <c r="I8" s="95"/>
      <c r="J8" s="8" t="s">
        <v>15</v>
      </c>
      <c r="K8" s="92">
        <f>(0.85*K7*D7/D8)*(6120/(6120+D8))</f>
        <v>0.03878684210526315</v>
      </c>
      <c r="L8" s="92"/>
      <c r="M8" s="31"/>
      <c r="N8" s="31"/>
    </row>
    <row r="9" spans="2:14" ht="15" customHeight="1">
      <c r="B9" t="s">
        <v>26</v>
      </c>
      <c r="C9" s="4" t="s">
        <v>15</v>
      </c>
      <c r="D9" s="98">
        <f>((4270*2.4^1.5)*(D7^0.5))</f>
        <v>245951.99999999997</v>
      </c>
      <c r="E9" s="98"/>
      <c r="F9" t="s">
        <v>16</v>
      </c>
      <c r="H9" s="99" t="s">
        <v>22</v>
      </c>
      <c r="I9" s="99"/>
      <c r="J9" s="8" t="s">
        <v>15</v>
      </c>
      <c r="K9" s="93">
        <v>0.7</v>
      </c>
      <c r="L9" s="93"/>
      <c r="M9" s="31"/>
      <c r="N9" s="31"/>
    </row>
    <row r="10" spans="2:14" ht="15" customHeight="1">
      <c r="B10" t="s">
        <v>74</v>
      </c>
      <c r="C10" s="4" t="s">
        <v>15</v>
      </c>
      <c r="D10" s="103">
        <f>K10*D8*(1-0.59*K10*D8/D7)</f>
        <v>65.142584630947</v>
      </c>
      <c r="E10" s="103"/>
      <c r="F10" t="s">
        <v>16</v>
      </c>
      <c r="H10" s="99" t="s">
        <v>75</v>
      </c>
      <c r="I10" s="99"/>
      <c r="J10" s="8" t="s">
        <v>15</v>
      </c>
      <c r="K10" s="92">
        <f>K9*K8</f>
        <v>0.0271507894736842</v>
      </c>
      <c r="L10" s="92"/>
      <c r="M10" s="32"/>
      <c r="N10" s="32"/>
    </row>
    <row r="11" spans="3:12" ht="15" customHeight="1">
      <c r="C11"/>
      <c r="D11" s="4"/>
      <c r="H11" s="99" t="s">
        <v>76</v>
      </c>
      <c r="I11" s="99"/>
      <c r="J11" s="8" t="s">
        <v>15</v>
      </c>
      <c r="K11" s="92">
        <f>14/D8</f>
        <v>0.004666666666666667</v>
      </c>
      <c r="L11" s="92"/>
    </row>
    <row r="12" ht="15" customHeight="1"/>
    <row r="13" spans="2:4" ht="15" customHeight="1">
      <c r="B13" s="10" t="s">
        <v>36</v>
      </c>
      <c r="D13" s="4"/>
    </row>
    <row r="14" spans="2:12" ht="15" customHeight="1">
      <c r="B14" t="s">
        <v>41</v>
      </c>
      <c r="C14" s="4" t="s">
        <v>15</v>
      </c>
      <c r="D14" s="96">
        <v>0.26</v>
      </c>
      <c r="E14" s="96"/>
      <c r="F14" t="s">
        <v>17</v>
      </c>
      <c r="I14" s="65" t="s">
        <v>60</v>
      </c>
      <c r="J14" s="63" t="s">
        <v>15</v>
      </c>
      <c r="K14" s="47">
        <f>D17*2+D18</f>
        <v>1.7000000000000002</v>
      </c>
      <c r="L14" s="48" t="s">
        <v>17</v>
      </c>
    </row>
    <row r="15" spans="2:12" ht="15" customHeight="1">
      <c r="B15" t="s">
        <v>12</v>
      </c>
      <c r="C15" s="4" t="s">
        <v>15</v>
      </c>
      <c r="D15" s="94">
        <v>35000</v>
      </c>
      <c r="E15" s="94"/>
      <c r="F15" t="s">
        <v>18</v>
      </c>
      <c r="H15" s="65"/>
      <c r="I15" s="24" t="s">
        <v>61</v>
      </c>
      <c r="J15" s="73" t="s">
        <v>15</v>
      </c>
      <c r="K15" s="25">
        <f>K14</f>
        <v>1.7000000000000002</v>
      </c>
      <c r="L15" s="23" t="s">
        <v>17</v>
      </c>
    </row>
    <row r="16" spans="2:12" ht="15" customHeight="1">
      <c r="B16" t="s">
        <v>79</v>
      </c>
      <c r="C16" s="4" t="s">
        <v>15</v>
      </c>
      <c r="D16" s="94">
        <v>45000</v>
      </c>
      <c r="E16" s="94"/>
      <c r="F16" t="s">
        <v>18</v>
      </c>
      <c r="I16" s="24" t="s">
        <v>62</v>
      </c>
      <c r="J16" s="73" t="s">
        <v>15</v>
      </c>
      <c r="K16" s="64">
        <f>(D20-D22)*100</f>
        <v>50</v>
      </c>
      <c r="L16" s="23" t="s">
        <v>85</v>
      </c>
    </row>
    <row r="17" spans="2:17" ht="15" customHeight="1">
      <c r="B17" t="s">
        <v>43</v>
      </c>
      <c r="C17" s="4" t="s">
        <v>15</v>
      </c>
      <c r="D17" s="96">
        <v>0.4</v>
      </c>
      <c r="E17" s="96"/>
      <c r="F17" t="s">
        <v>17</v>
      </c>
      <c r="G17" s="16" t="str">
        <f>IF(D17&gt;=(1.5*D14),"OK","Fail")</f>
        <v>OK</v>
      </c>
      <c r="H17" s="106" t="s">
        <v>95</v>
      </c>
      <c r="I17" s="106"/>
      <c r="J17" s="4" t="s">
        <v>15</v>
      </c>
      <c r="K17" s="72">
        <f>((D36*100/(0.9*D10*K15*100))^0.5)</f>
        <v>11.747121022952795</v>
      </c>
      <c r="L17" s="23" t="s">
        <v>85</v>
      </c>
      <c r="Q17" s="4"/>
    </row>
    <row r="18" spans="2:17" ht="15" customHeight="1">
      <c r="B18" t="s">
        <v>44</v>
      </c>
      <c r="C18" s="4" t="s">
        <v>15</v>
      </c>
      <c r="D18" s="96">
        <v>0.9</v>
      </c>
      <c r="E18" s="96"/>
      <c r="F18" t="s">
        <v>17</v>
      </c>
      <c r="G18" s="16" t="str">
        <f>IF(D18&gt;=(3*D14),"OK","Fail")</f>
        <v>OK</v>
      </c>
      <c r="I18" s="24"/>
      <c r="J18" s="73"/>
      <c r="K18" s="25"/>
      <c r="Q18" s="4"/>
    </row>
    <row r="19" spans="2:17" ht="15" customHeight="1">
      <c r="B19" t="s">
        <v>11</v>
      </c>
      <c r="C19" s="4" t="s">
        <v>15</v>
      </c>
      <c r="D19" s="96">
        <v>1.5</v>
      </c>
      <c r="E19" s="96"/>
      <c r="F19" t="s">
        <v>17</v>
      </c>
      <c r="G19" s="16"/>
      <c r="J19" s="4"/>
      <c r="Q19" s="4"/>
    </row>
    <row r="20" spans="2:12" ht="15" customHeight="1">
      <c r="B20" t="s">
        <v>10</v>
      </c>
      <c r="C20" s="4" t="s">
        <v>15</v>
      </c>
      <c r="D20" s="96">
        <v>0.6</v>
      </c>
      <c r="E20" s="96"/>
      <c r="F20" t="s">
        <v>17</v>
      </c>
      <c r="G20" s="90" t="s">
        <v>64</v>
      </c>
      <c r="H20" s="90"/>
      <c r="I20" s="90"/>
      <c r="J20" s="66" t="s">
        <v>15</v>
      </c>
      <c r="K20" s="28">
        <f>D23*D24/100</f>
        <v>5842.69</v>
      </c>
      <c r="L20" t="s">
        <v>59</v>
      </c>
    </row>
    <row r="21" spans="2:13" ht="15" customHeight="1">
      <c r="B21" t="s">
        <v>96</v>
      </c>
      <c r="C21" s="4" t="s">
        <v>15</v>
      </c>
      <c r="D21" s="21">
        <v>35</v>
      </c>
      <c r="E21" s="20">
        <v>35</v>
      </c>
      <c r="F21" t="s">
        <v>46</v>
      </c>
      <c r="G21" s="90" t="s">
        <v>65</v>
      </c>
      <c r="H21" s="90"/>
      <c r="I21" s="90"/>
      <c r="J21" s="66" t="s">
        <v>15</v>
      </c>
      <c r="K21" s="29">
        <f>2400*K14*K15*D20</f>
        <v>4161.600000000001</v>
      </c>
      <c r="L21" t="s">
        <v>59</v>
      </c>
      <c r="M21" s="16" t="str">
        <f>IF(K21&lt;K20,"OK","Fail")</f>
        <v>OK</v>
      </c>
    </row>
    <row r="22" spans="2:14" ht="15" customHeight="1">
      <c r="B22" t="s">
        <v>4</v>
      </c>
      <c r="C22" s="4" t="s">
        <v>15</v>
      </c>
      <c r="D22" s="105">
        <v>0.1</v>
      </c>
      <c r="E22" s="105"/>
      <c r="F22" t="s">
        <v>17</v>
      </c>
      <c r="M22" s="17"/>
      <c r="N22" s="17"/>
    </row>
    <row r="23" spans="2:6" ht="15" customHeight="1">
      <c r="B23" t="s">
        <v>13</v>
      </c>
      <c r="C23" s="4" t="s">
        <v>15</v>
      </c>
      <c r="D23" s="94">
        <v>83467</v>
      </c>
      <c r="E23" s="94"/>
      <c r="F23" t="s">
        <v>18</v>
      </c>
    </row>
    <row r="24" spans="2:14" ht="15" customHeight="1">
      <c r="B24" s="3" t="s">
        <v>14</v>
      </c>
      <c r="C24" s="4" t="s">
        <v>15</v>
      </c>
      <c r="D24" s="77">
        <v>7</v>
      </c>
      <c r="E24" s="77"/>
      <c r="F24" s="55" t="s">
        <v>38</v>
      </c>
      <c r="N24" s="16"/>
    </row>
    <row r="25" spans="2:7" ht="15" customHeight="1">
      <c r="B25" t="s">
        <v>77</v>
      </c>
      <c r="C25" s="4" t="s">
        <v>15</v>
      </c>
      <c r="D25" s="104">
        <f>D23*(1+D24/100)</f>
        <v>89309.69</v>
      </c>
      <c r="E25" s="104"/>
      <c r="F25" t="s">
        <v>18</v>
      </c>
      <c r="G25" s="16" t="str">
        <f>IF(D25&lt;(4*D15),"Can use Footing 4 Plie","Fail")</f>
        <v>Can use Footing 4 Plie</v>
      </c>
    </row>
    <row r="26" spans="2:7" ht="15" customHeight="1">
      <c r="B26" t="s">
        <v>78</v>
      </c>
      <c r="C26" s="4" t="s">
        <v>15</v>
      </c>
      <c r="D26" s="80">
        <f>1.4*D25/5</f>
        <v>25006.7132</v>
      </c>
      <c r="E26" s="80"/>
      <c r="F26" t="s">
        <v>18</v>
      </c>
      <c r="G26" s="16" t="str">
        <f>IF(D26&lt;D16,"OK","Check pile")</f>
        <v>OK</v>
      </c>
    </row>
    <row r="27" ht="15" customHeight="1"/>
    <row r="28" spans="2:9" ht="15" customHeight="1">
      <c r="B28" s="10" t="s">
        <v>88</v>
      </c>
      <c r="H28" s="68" t="s">
        <v>82</v>
      </c>
      <c r="I28" s="4"/>
    </row>
    <row r="29" spans="2:8" ht="15" customHeight="1">
      <c r="B29" s="10" t="s">
        <v>48</v>
      </c>
      <c r="H29" s="10" t="s">
        <v>86</v>
      </c>
    </row>
    <row r="30" spans="2:12" ht="15" customHeight="1">
      <c r="B30" t="s">
        <v>83</v>
      </c>
      <c r="C30" s="4" t="s">
        <v>15</v>
      </c>
      <c r="D30" s="81">
        <f>D26*2</f>
        <v>50013.4264</v>
      </c>
      <c r="E30" s="81"/>
      <c r="F30" t="s">
        <v>18</v>
      </c>
      <c r="H30" s="74" t="s">
        <v>84</v>
      </c>
      <c r="I30" s="4" t="s">
        <v>15</v>
      </c>
      <c r="J30" s="117">
        <f>(K16+D21)*4</f>
        <v>340</v>
      </c>
      <c r="K30" s="117"/>
      <c r="L30" t="s">
        <v>85</v>
      </c>
    </row>
    <row r="31" spans="2:12" ht="15" customHeight="1">
      <c r="B31" s="67" t="s">
        <v>81</v>
      </c>
      <c r="C31" s="4" t="s">
        <v>15</v>
      </c>
      <c r="D31" s="81">
        <f>0.85*0.53*D7^0.5*K14*100*K16</f>
        <v>59322.48591385902</v>
      </c>
      <c r="E31" s="81"/>
      <c r="F31" t="s">
        <v>18</v>
      </c>
      <c r="G31" s="16" t="str">
        <f>IF(D31&gt;D30,"OK","Check ขนาดฐานราก")</f>
        <v>OK</v>
      </c>
      <c r="H31" s="74" t="s">
        <v>83</v>
      </c>
      <c r="I31" s="4" t="s">
        <v>15</v>
      </c>
      <c r="J31" s="116">
        <f>D26*4</f>
        <v>100026.8528</v>
      </c>
      <c r="K31" s="116"/>
      <c r="L31" t="s">
        <v>18</v>
      </c>
    </row>
    <row r="32" spans="8:14" ht="15" customHeight="1">
      <c r="H32" s="74" t="s">
        <v>81</v>
      </c>
      <c r="I32" s="4" t="s">
        <v>15</v>
      </c>
      <c r="J32" s="116">
        <f>1.06*0.85*D7^0.5*J30*K16</f>
        <v>237289.94365543604</v>
      </c>
      <c r="K32" s="116"/>
      <c r="L32" t="s">
        <v>18</v>
      </c>
      <c r="M32" s="16" t="str">
        <f>IF(J32&gt;J31,"OK","Check ขนาดฐานราก")</f>
        <v>OK</v>
      </c>
      <c r="N32" s="16"/>
    </row>
    <row r="33" ht="15" customHeight="1">
      <c r="H33" s="76" t="s">
        <v>87</v>
      </c>
    </row>
    <row r="34" spans="2:12" ht="15" customHeight="1">
      <c r="B34" s="10" t="s">
        <v>19</v>
      </c>
      <c r="H34" s="74" t="s">
        <v>84</v>
      </c>
      <c r="I34" s="4" t="s">
        <v>15</v>
      </c>
      <c r="J34" s="117">
        <f>(D14+K16)*4</f>
        <v>201.04</v>
      </c>
      <c r="K34" s="117"/>
      <c r="L34" t="s">
        <v>85</v>
      </c>
    </row>
    <row r="35" spans="2:12" ht="15" customHeight="1">
      <c r="B35" t="s">
        <v>94</v>
      </c>
      <c r="C35" s="4" t="s">
        <v>15</v>
      </c>
      <c r="D35" s="84">
        <f>K14/2-D21/100/2-D17</f>
        <v>0.275</v>
      </c>
      <c r="E35" s="84"/>
      <c r="F35" t="s">
        <v>17</v>
      </c>
      <c r="H35" s="74" t="s">
        <v>83</v>
      </c>
      <c r="I35" s="4" t="s">
        <v>15</v>
      </c>
      <c r="J35" s="80">
        <f>D26</f>
        <v>25006.7132</v>
      </c>
      <c r="K35" s="80"/>
      <c r="L35" t="s">
        <v>18</v>
      </c>
    </row>
    <row r="36" spans="2:13" ht="15" customHeight="1">
      <c r="B36" t="s">
        <v>80</v>
      </c>
      <c r="C36" s="4" t="s">
        <v>15</v>
      </c>
      <c r="D36" s="78">
        <f>D26*D35*2</f>
        <v>13753.69226</v>
      </c>
      <c r="E36" s="78"/>
      <c r="F36" t="s">
        <v>52</v>
      </c>
      <c r="H36" s="74" t="s">
        <v>81</v>
      </c>
      <c r="I36" s="4" t="s">
        <v>15</v>
      </c>
      <c r="J36" s="81">
        <f>1.06*0.85*D7^0.5*J34*K16</f>
        <v>140308.14786026135</v>
      </c>
      <c r="K36" s="81"/>
      <c r="L36" t="s">
        <v>18</v>
      </c>
      <c r="M36" s="16" t="str">
        <f>IF(J36&gt;J35,"OK","Check ขนาดฐานราก")</f>
        <v>OK</v>
      </c>
    </row>
    <row r="37" spans="2:6" ht="15" customHeight="1">
      <c r="B37" t="s">
        <v>74</v>
      </c>
      <c r="C37" s="4" t="s">
        <v>15</v>
      </c>
      <c r="D37" s="101">
        <f>D36*100/(0.9*K15*100*K16^2)</f>
        <v>3.595736538562091</v>
      </c>
      <c r="E37" s="101"/>
      <c r="F37" t="s">
        <v>16</v>
      </c>
    </row>
    <row r="38" spans="2:7" ht="15" customHeight="1">
      <c r="B38" s="69" t="s">
        <v>89</v>
      </c>
      <c r="C38" s="4" t="s">
        <v>15</v>
      </c>
      <c r="D38" s="107">
        <f>(0.85*D7/D8)*(1-(1-2*D37/(0.85*D7))^0.5)</f>
        <v>0.0012093324114924085</v>
      </c>
      <c r="E38" s="107"/>
      <c r="F38" s="71" t="str">
        <f>IF(D38&lt;K11,"&lt;","&gt;")</f>
        <v>&lt;</v>
      </c>
      <c r="G38" s="69" t="s">
        <v>91</v>
      </c>
    </row>
    <row r="39" spans="2:7" ht="15" customHeight="1">
      <c r="B39" s="70" t="s">
        <v>90</v>
      </c>
      <c r="C39" s="4" t="s">
        <v>15</v>
      </c>
      <c r="D39" s="107">
        <f>1.33*D38</f>
        <v>0.0016084121072849034</v>
      </c>
      <c r="E39" s="107"/>
      <c r="F39" s="71" t="str">
        <f>IF(D39&lt;K11,"&lt;","&gt;")</f>
        <v>&lt;</v>
      </c>
      <c r="G39" s="69" t="s">
        <v>91</v>
      </c>
    </row>
    <row r="40" spans="2:12" ht="15.75" customHeight="1">
      <c r="B40" s="69" t="s">
        <v>89</v>
      </c>
      <c r="C40" s="4" t="s">
        <v>15</v>
      </c>
      <c r="D40" s="107">
        <f>IF(D39&lt;K11,D39,K11)</f>
        <v>0.0016084121072849034</v>
      </c>
      <c r="E40" s="107"/>
      <c r="J40" s="118" t="s">
        <v>34</v>
      </c>
      <c r="K40" s="119"/>
      <c r="L40" s="120"/>
    </row>
    <row r="41" spans="2:12" ht="16.5" customHeight="1">
      <c r="B41" s="69" t="s">
        <v>97</v>
      </c>
      <c r="C41" s="4" t="s">
        <v>15</v>
      </c>
      <c r="D41" s="101">
        <f>IF(D38&gt;K11,D38,D40*K15*100*K16)</f>
        <v>13.671502911921682</v>
      </c>
      <c r="E41" s="101"/>
      <c r="F41" t="s">
        <v>33</v>
      </c>
      <c r="J41" s="121"/>
      <c r="K41" s="122"/>
      <c r="L41" s="123"/>
    </row>
    <row r="42" spans="4:13" ht="15.75" customHeight="1">
      <c r="D42" s="102"/>
      <c r="E42" s="102"/>
      <c r="J42" s="18">
        <v>8</v>
      </c>
      <c r="K42" s="18" t="s">
        <v>2</v>
      </c>
      <c r="L42" s="18">
        <v>25</v>
      </c>
      <c r="M42" s="73" t="s">
        <v>102</v>
      </c>
    </row>
    <row r="43" spans="2:7" ht="16.5" customHeight="1">
      <c r="B43" t="s">
        <v>98</v>
      </c>
      <c r="C43" s="4" t="s">
        <v>15</v>
      </c>
      <c r="D43" s="82">
        <f>J42*PI()*(L42/10)^2/4</f>
        <v>39.269908169872416</v>
      </c>
      <c r="E43" s="82"/>
      <c r="F43" t="s">
        <v>33</v>
      </c>
      <c r="G43" s="16" t="str">
        <f>IF(D43&gt;D41,"OK","Change bar")</f>
        <v>OK</v>
      </c>
    </row>
    <row r="44" spans="4:5" ht="15" customHeight="1">
      <c r="D44" s="102"/>
      <c r="E44" s="102"/>
    </row>
    <row r="45" spans="2:5" ht="15" customHeight="1">
      <c r="B45" t="s">
        <v>99</v>
      </c>
      <c r="D45" s="102"/>
      <c r="E45" s="102"/>
    </row>
    <row r="46" spans="2:6" ht="15" customHeight="1">
      <c r="B46" t="s">
        <v>100</v>
      </c>
      <c r="C46" s="4" t="s">
        <v>15</v>
      </c>
      <c r="D46" s="101">
        <f>0.06*PI()*((L42/10)^2/4)*D8/(D7^0.5)</f>
        <v>57.03438763087892</v>
      </c>
      <c r="E46" s="101"/>
      <c r="F46" s="23" t="s">
        <v>85</v>
      </c>
    </row>
    <row r="47" spans="2:7" ht="15" customHeight="1">
      <c r="B47" s="75" t="s">
        <v>101</v>
      </c>
      <c r="C47" s="4" t="s">
        <v>15</v>
      </c>
      <c r="D47" s="101">
        <f>(K14*0.5-D22-D21/100/2)*100</f>
        <v>57.500000000000014</v>
      </c>
      <c r="E47" s="101"/>
      <c r="F47" s="23" t="s">
        <v>85</v>
      </c>
      <c r="G47" s="16" t="str">
        <f>IF(D47&gt;D46,"OK","Check ขนาดฐานราก")</f>
        <v>OK</v>
      </c>
    </row>
    <row r="48" spans="4:7" ht="15" customHeight="1">
      <c r="D48" s="78"/>
      <c r="E48" s="78"/>
      <c r="G48" s="16"/>
    </row>
    <row r="49" spans="4:5" ht="15" customHeight="1">
      <c r="D49" s="101"/>
      <c r="E49" s="101"/>
    </row>
    <row r="50" spans="4:7" ht="15" customHeight="1">
      <c r="D50" s="101"/>
      <c r="E50" s="101"/>
      <c r="G50" s="16"/>
    </row>
    <row r="51" spans="4:5" ht="15" customHeight="1">
      <c r="D51" s="101"/>
      <c r="E51" s="101"/>
    </row>
    <row r="52" spans="4:14" ht="15" customHeight="1">
      <c r="D52" s="102"/>
      <c r="E52" s="102"/>
      <c r="G52" s="16"/>
      <c r="M52" s="33"/>
      <c r="N52" s="33"/>
    </row>
    <row r="53" spans="4:14" ht="15" customHeight="1">
      <c r="D53" s="79"/>
      <c r="E53" s="79"/>
      <c r="M53" s="33"/>
      <c r="N53" s="33"/>
    </row>
    <row r="54" spans="4:14" ht="15" customHeight="1">
      <c r="D54" s="100"/>
      <c r="E54" s="100"/>
      <c r="M54" s="34"/>
      <c r="N54" s="34"/>
    </row>
    <row r="55" spans="4:14" ht="15" customHeight="1">
      <c r="D55" s="100"/>
      <c r="E55" s="100"/>
      <c r="M55" s="34"/>
      <c r="N55" s="3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64">
    <mergeCell ref="D53:E53"/>
    <mergeCell ref="D54:E54"/>
    <mergeCell ref="D55:E55"/>
    <mergeCell ref="J30:K30"/>
    <mergeCell ref="D36:E36"/>
    <mergeCell ref="D35:E35"/>
    <mergeCell ref="D45:E45"/>
    <mergeCell ref="D46:E46"/>
    <mergeCell ref="J31:K31"/>
    <mergeCell ref="J40:L41"/>
    <mergeCell ref="D49:E49"/>
    <mergeCell ref="D50:E50"/>
    <mergeCell ref="D51:E51"/>
    <mergeCell ref="D52:E52"/>
    <mergeCell ref="D42:E42"/>
    <mergeCell ref="D48:E48"/>
    <mergeCell ref="J32:K32"/>
    <mergeCell ref="J34:K34"/>
    <mergeCell ref="J35:K35"/>
    <mergeCell ref="J36:K36"/>
    <mergeCell ref="D44:E44"/>
    <mergeCell ref="D47:E47"/>
    <mergeCell ref="D43:E43"/>
    <mergeCell ref="D41:E41"/>
    <mergeCell ref="D38:E38"/>
    <mergeCell ref="D39:E39"/>
    <mergeCell ref="D40:E40"/>
    <mergeCell ref="H11:I11"/>
    <mergeCell ref="D37:E37"/>
    <mergeCell ref="D22:E22"/>
    <mergeCell ref="D19:E19"/>
    <mergeCell ref="D30:E30"/>
    <mergeCell ref="D31:E31"/>
    <mergeCell ref="D24:E24"/>
    <mergeCell ref="K11:L11"/>
    <mergeCell ref="H17:I17"/>
    <mergeCell ref="G20:I20"/>
    <mergeCell ref="G21:I21"/>
    <mergeCell ref="H9:I9"/>
    <mergeCell ref="K9:L9"/>
    <mergeCell ref="H10:I10"/>
    <mergeCell ref="K10:L10"/>
    <mergeCell ref="H7:I7"/>
    <mergeCell ref="K7:L7"/>
    <mergeCell ref="H8:I8"/>
    <mergeCell ref="K8:L8"/>
    <mergeCell ref="D25:E25"/>
    <mergeCell ref="D26:E26"/>
    <mergeCell ref="D20:E20"/>
    <mergeCell ref="D23:E23"/>
    <mergeCell ref="D17:E17"/>
    <mergeCell ref="D18:E18"/>
    <mergeCell ref="D16:E16"/>
    <mergeCell ref="D14:E14"/>
    <mergeCell ref="D15:E15"/>
    <mergeCell ref="D7:E7"/>
    <mergeCell ref="D8:E8"/>
    <mergeCell ref="D9:E9"/>
    <mergeCell ref="D10:E10"/>
    <mergeCell ref="H6:L6"/>
    <mergeCell ref="B1:D1"/>
    <mergeCell ref="B4:L4"/>
    <mergeCell ref="B2:D2"/>
    <mergeCell ref="G1:M1"/>
  </mergeCells>
  <dataValidations count="2">
    <dataValidation type="list" allowBlank="1" showInputMessage="1" showErrorMessage="1" sqref="M54:N55 L42">
      <formula1>bar</formula1>
    </dataValidation>
    <dataValidation type="list" allowBlank="1" showInputMessage="1" showErrorMessage="1" sqref="K42">
      <formula1>type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F7"/>
  <sheetViews>
    <sheetView workbookViewId="0" topLeftCell="A1">
      <selection activeCell="C6" sqref="C6:F6"/>
    </sheetView>
  </sheetViews>
  <sheetFormatPr defaultColWidth="9.140625" defaultRowHeight="12.75"/>
  <sheetData>
    <row r="5" spans="2:6" ht="12.75">
      <c r="B5" s="62" t="s">
        <v>39</v>
      </c>
      <c r="C5" s="124" t="s">
        <v>105</v>
      </c>
      <c r="D5" s="124"/>
      <c r="E5" s="124"/>
      <c r="F5" s="124"/>
    </row>
    <row r="6" spans="2:6" ht="12.75">
      <c r="B6" s="62" t="s">
        <v>68</v>
      </c>
      <c r="C6" s="124" t="s">
        <v>103</v>
      </c>
      <c r="D6" s="124"/>
      <c r="E6" s="124"/>
      <c r="F6" s="124"/>
    </row>
    <row r="7" spans="2:6" ht="12.75">
      <c r="B7" s="62" t="s">
        <v>40</v>
      </c>
      <c r="C7" s="125" t="s">
        <v>104</v>
      </c>
      <c r="D7" s="125"/>
      <c r="E7" s="125"/>
      <c r="F7" s="125"/>
    </row>
  </sheetData>
  <mergeCells count="3"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D17"/>
  <sheetViews>
    <sheetView workbookViewId="0" topLeftCell="A1">
      <selection activeCell="F6" sqref="F6"/>
    </sheetView>
  </sheetViews>
  <sheetFormatPr defaultColWidth="9.140625" defaultRowHeight="12.75"/>
  <sheetData>
    <row r="5" spans="2:4" ht="12.75">
      <c r="B5" s="1" t="s">
        <v>0</v>
      </c>
      <c r="C5" s="2" t="s">
        <v>3</v>
      </c>
      <c r="D5" s="5" t="s">
        <v>27</v>
      </c>
    </row>
    <row r="6" spans="2:4" ht="12.75">
      <c r="B6" s="1" t="s">
        <v>1</v>
      </c>
      <c r="C6" s="2">
        <v>6</v>
      </c>
      <c r="D6" s="5">
        <v>0.375</v>
      </c>
    </row>
    <row r="7" spans="2:4" ht="12.75">
      <c r="B7" s="1" t="s">
        <v>2</v>
      </c>
      <c r="C7" s="2">
        <v>9</v>
      </c>
      <c r="D7" s="5">
        <v>0.45</v>
      </c>
    </row>
    <row r="8" ht="12.75">
      <c r="C8" s="2">
        <v>10</v>
      </c>
    </row>
    <row r="9" ht="12.75">
      <c r="C9" s="2">
        <v>12</v>
      </c>
    </row>
    <row r="10" ht="12.75">
      <c r="C10" s="2">
        <v>15</v>
      </c>
    </row>
    <row r="11" ht="12.75">
      <c r="C11" s="2">
        <v>16</v>
      </c>
    </row>
    <row r="12" ht="12.75">
      <c r="C12" s="2">
        <v>18</v>
      </c>
    </row>
    <row r="13" ht="12.75">
      <c r="C13" s="2">
        <v>20</v>
      </c>
    </row>
    <row r="14" ht="12.75">
      <c r="C14" s="2">
        <v>25</v>
      </c>
    </row>
    <row r="15" ht="12.75">
      <c r="C15" s="2">
        <v>28</v>
      </c>
    </row>
    <row r="16" ht="12.75">
      <c r="C16" s="2">
        <v>32</v>
      </c>
    </row>
    <row r="17" ht="12.75">
      <c r="C17" s="2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</dc:creator>
  <cp:keywords/>
  <dc:description/>
  <cp:lastModifiedBy>ideapad</cp:lastModifiedBy>
  <cp:lastPrinted>2009-10-11T15:10:20Z</cp:lastPrinted>
  <dcterms:created xsi:type="dcterms:W3CDTF">2008-12-02T03:02:23Z</dcterms:created>
  <dcterms:modified xsi:type="dcterms:W3CDTF">2009-10-11T15:10:24Z</dcterms:modified>
  <cp:category/>
  <cp:version/>
  <cp:contentType/>
  <cp:contentStatus/>
</cp:coreProperties>
</file>