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The Goods\Hellsing\MRER\"/>
    </mc:Choice>
  </mc:AlternateContent>
  <xr:revisionPtr revIDLastSave="0" documentId="13_ncr:1_{B6745A6E-1220-4BF3-A2DF-EC696012E180}" xr6:coauthVersionLast="47" xr6:coauthVersionMax="47" xr10:uidLastSave="{00000000-0000-0000-0000-000000000000}"/>
  <bookViews>
    <workbookView xWindow="-110" yWindow="-110" windowWidth="19420" windowHeight="10300" firstSheet="1" activeTab="2" xr2:uid="{36384041-F397-41E0-A3D5-C3A57CEBAED0}"/>
  </bookViews>
  <sheets>
    <sheet name="70% Rule F&amp;F" sheetId="1" r:id="rId1"/>
    <sheet name="3204 W. 71st Str." sheetId="12" r:id="rId2"/>
    <sheet name="7200 Clark Ave, CLE OH 44102" sheetId="14" r:id="rId3"/>
    <sheet name="Notes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4" l="1"/>
  <c r="C72" i="14"/>
  <c r="B72" i="14"/>
  <c r="B84" i="14"/>
  <c r="C84" i="14" s="1"/>
  <c r="B62" i="14"/>
  <c r="B61" i="14"/>
  <c r="B55" i="14"/>
  <c r="B54" i="14"/>
  <c r="B45" i="14"/>
  <c r="B32" i="14" s="1"/>
  <c r="B40" i="14"/>
  <c r="C39" i="14"/>
  <c r="C37" i="14"/>
  <c r="C34" i="14"/>
  <c r="C35" i="14" s="1"/>
  <c r="C36" i="14" s="1"/>
  <c r="C31" i="14"/>
  <c r="B25" i="14"/>
  <c r="C24" i="14"/>
  <c r="C22" i="14"/>
  <c r="B42" i="12"/>
  <c r="B36" i="12" s="1"/>
  <c r="B80" i="12"/>
  <c r="C80" i="12" s="1"/>
  <c r="B59" i="12"/>
  <c r="B58" i="12"/>
  <c r="B52" i="12"/>
  <c r="B51" i="12"/>
  <c r="B37" i="12"/>
  <c r="C33" i="12"/>
  <c r="C34" i="12" s="1"/>
  <c r="C35" i="12" s="1"/>
  <c r="C30" i="12"/>
  <c r="B24" i="12"/>
  <c r="C23" i="12"/>
  <c r="C37" i="12" s="1"/>
  <c r="C21" i="12"/>
  <c r="D7" i="1"/>
  <c r="F7" i="1" s="1"/>
  <c r="G7" i="1" s="1"/>
  <c r="C40" i="14" l="1"/>
  <c r="B63" i="14"/>
  <c r="B33" i="14"/>
  <c r="C33" i="14" s="1"/>
  <c r="C32" i="14"/>
  <c r="B38" i="14"/>
  <c r="B47" i="14"/>
  <c r="B60" i="12"/>
  <c r="B64" i="12" s="1"/>
  <c r="B11" i="12" s="1"/>
  <c r="C36" i="12"/>
  <c r="B31" i="12"/>
  <c r="B44" i="12"/>
  <c r="B65" i="14" l="1"/>
  <c r="B71" i="14" s="1"/>
  <c r="B35" i="14" s="1"/>
  <c r="B36" i="14" s="1"/>
  <c r="B67" i="14"/>
  <c r="B41" i="14"/>
  <c r="C38" i="14"/>
  <c r="C41" i="14" s="1"/>
  <c r="C23" i="14" s="1"/>
  <c r="B53" i="14"/>
  <c r="B56" i="14" s="1"/>
  <c r="B11" i="14"/>
  <c r="B62" i="12"/>
  <c r="B32" i="12"/>
  <c r="C32" i="12" s="1"/>
  <c r="C31" i="12"/>
  <c r="C38" i="12" s="1"/>
  <c r="C22" i="12" s="1"/>
  <c r="B50" i="12"/>
  <c r="B10" i="12"/>
  <c r="B12" i="14" l="1"/>
  <c r="B13" i="14" s="1"/>
  <c r="B68" i="14"/>
  <c r="K1" i="14" s="1"/>
  <c r="M1" i="14"/>
  <c r="B79" i="14"/>
  <c r="C79" i="14" s="1"/>
  <c r="E1" i="14"/>
  <c r="B16" i="14"/>
  <c r="B23" i="14"/>
  <c r="B27" i="14" s="1"/>
  <c r="B65" i="12"/>
  <c r="B53" i="12"/>
  <c r="B71" i="12" s="1"/>
  <c r="B68" i="12"/>
  <c r="B34" i="12" s="1"/>
  <c r="B35" i="12" s="1"/>
  <c r="B38" i="12" s="1"/>
  <c r="B22" i="12" s="1"/>
  <c r="E1" i="12"/>
  <c r="B12" i="12"/>
  <c r="K1" i="12"/>
  <c r="B75" i="14" l="1"/>
  <c r="G1" i="14"/>
  <c r="B14" i="14"/>
  <c r="B76" i="14"/>
  <c r="C75" i="14"/>
  <c r="I1" i="14"/>
  <c r="O1" i="14"/>
  <c r="B80" i="14"/>
  <c r="B15" i="14"/>
  <c r="B26" i="14"/>
  <c r="M1" i="12"/>
  <c r="B75" i="12"/>
  <c r="C75" i="12" s="1"/>
  <c r="B13" i="12"/>
  <c r="B76" i="12"/>
  <c r="B77" i="12" s="1"/>
  <c r="B14" i="12"/>
  <c r="B15" i="12"/>
  <c r="B25" i="12"/>
  <c r="B72" i="12"/>
  <c r="C71" i="12"/>
  <c r="G1" i="12"/>
  <c r="O1" i="12"/>
  <c r="I1" i="12"/>
  <c r="C80" i="14" l="1"/>
  <c r="C86" i="14" s="1"/>
  <c r="B81" i="14"/>
  <c r="C76" i="12"/>
  <c r="C82" i="12" s="1"/>
  <c r="C1" i="14" l="1"/>
  <c r="B7" i="12"/>
  <c r="C1" i="12"/>
</calcChain>
</file>

<file path=xl/sharedStrings.xml><?xml version="1.0" encoding="utf-8"?>
<sst xmlns="http://schemas.openxmlformats.org/spreadsheetml/2006/main" count="181" uniqueCount="103">
  <si>
    <t xml:space="preserve">MRER </t>
  </si>
  <si>
    <t>F&amp;F</t>
  </si>
  <si>
    <t>70% Rule</t>
  </si>
  <si>
    <t>(The Purchase price mustn't exceed 70% of the ARV minus repair costs).</t>
  </si>
  <si>
    <t xml:space="preserve">Property </t>
  </si>
  <si>
    <t>x</t>
  </si>
  <si>
    <t>ARV</t>
  </si>
  <si>
    <t>RENO</t>
  </si>
  <si>
    <t>%</t>
  </si>
  <si>
    <t>Max Buy</t>
  </si>
  <si>
    <t>Est. Profit</t>
  </si>
  <si>
    <t>Cheat Sheet</t>
  </si>
  <si>
    <t>Property Address:</t>
  </si>
  <si>
    <t>Purchase Price:</t>
  </si>
  <si>
    <t>Est. Rehab Amount:</t>
  </si>
  <si>
    <t>Estimated ARV:</t>
  </si>
  <si>
    <t>Desired Net Cash Flow:</t>
  </si>
  <si>
    <t>Estimated Net Cash Flow:</t>
  </si>
  <si>
    <t>(Total Income - Total Expenses = Net Cash Flow)</t>
  </si>
  <si>
    <t>Expenses: Mortgate, Property Taxes, Utility Bills, Maintenance, Management</t>
  </si>
  <si>
    <t>70&amp; Rule = ARV x 70% = Maximum Investment</t>
  </si>
  <si>
    <t>Total Investment:</t>
  </si>
  <si>
    <t>ARV:</t>
  </si>
  <si>
    <t>Use formula below to find out how much money you can take from the REFI</t>
  </si>
  <si>
    <t>so you can do this again</t>
  </si>
  <si>
    <t>Equity Funds Available:</t>
  </si>
  <si>
    <t>Rehab:</t>
  </si>
  <si>
    <t>Purchase Estimate</t>
  </si>
  <si>
    <t>Down Payment Price:</t>
  </si>
  <si>
    <t>Closing Cost Price:</t>
  </si>
  <si>
    <t>Closing Cost %:</t>
  </si>
  <si>
    <t>Down Payment %:</t>
  </si>
  <si>
    <t>Total Out Of Pocket:</t>
  </si>
  <si>
    <t>(Down Payment + closing)</t>
  </si>
  <si>
    <t>Loan Amount:</t>
  </si>
  <si>
    <t>(Purchase + Rehab - Down Payment)</t>
  </si>
  <si>
    <t>Total OOP = Equity? (Y/N)</t>
  </si>
  <si>
    <t>If N, range?</t>
  </si>
  <si>
    <t>Does Property Meet Criteria you set?</t>
  </si>
  <si>
    <t>ARV (Y/N)</t>
  </si>
  <si>
    <t>Desired Net Cash Flow (Y/N)</t>
  </si>
  <si>
    <t>IF N, range?</t>
  </si>
  <si>
    <t>Is the Community one of Growth, Stability or Decline?</t>
  </si>
  <si>
    <t>Grade:</t>
  </si>
  <si>
    <t>Est. Property Tax (Annual):</t>
  </si>
  <si>
    <t>Target %:</t>
  </si>
  <si>
    <t>Target % of ARV:</t>
  </si>
  <si>
    <t>Total Purchase Price:</t>
  </si>
  <si>
    <t>Status:</t>
  </si>
  <si>
    <t>Current Status (G,S,D):</t>
  </si>
  <si>
    <t>Est Purchase Price:</t>
  </si>
  <si>
    <t>Estimated Rental Income:</t>
  </si>
  <si>
    <t>ERI Annualized:</t>
  </si>
  <si>
    <t>Est. Mortgage %:</t>
  </si>
  <si>
    <t>Est. Mortgage Amt (M):</t>
  </si>
  <si>
    <t>Est. Mortgate Amount (A):</t>
  </si>
  <si>
    <t>Est. Property Tax %:</t>
  </si>
  <si>
    <t>Est. Insurances (M):</t>
  </si>
  <si>
    <t>Est. Monthly Cost:</t>
  </si>
  <si>
    <t>TOTAL MAX INVESTMENT:</t>
  </si>
  <si>
    <t>EST. Actual Investment:</t>
  </si>
  <si>
    <t>Underage/Overage:</t>
  </si>
  <si>
    <t>Est. Property Tax (M):</t>
  </si>
  <si>
    <t>Purpose of Property:</t>
  </si>
  <si>
    <t>$3,000 Monthly Financial Freedom Income</t>
  </si>
  <si>
    <t>Prop Management (10%):</t>
  </si>
  <si>
    <t>ROI (Equity):</t>
  </si>
  <si>
    <t>ROI (Rental Monthlyl):</t>
  </si>
  <si>
    <t>Vertigo Property Investments</t>
  </si>
  <si>
    <t xml:space="preserve">A *property selling company based in london that sells *props in the USA. </t>
  </si>
  <si>
    <t>Deduction: SUS - Some parts of the website don't work properly, like the google maps function, the phone number is a London phone number…</t>
  </si>
  <si>
    <t>It costs less than 20 bucks a year to estabish an internet number so peopl can call locally and then contact them…they're making it harder to contact em</t>
  </si>
  <si>
    <t>I went to the info page on their business and it said the entity was dissolved</t>
  </si>
  <si>
    <t>https://find-and-update.company-information.service.gov.uk/company/04366154</t>
  </si>
  <si>
    <t>Lastly, the price of the house, after rehab and with a tenant payign $800 per month, the purchase price was only $43,000…</t>
  </si>
  <si>
    <t>Rating</t>
  </si>
  <si>
    <t>Company</t>
  </si>
  <si>
    <t>SUS</t>
  </si>
  <si>
    <t>Rating Sum:</t>
  </si>
  <si>
    <t>MAX Inv:</t>
  </si>
  <si>
    <t>Est. Inv:</t>
  </si>
  <si>
    <t>Ovr/Und:</t>
  </si>
  <si>
    <t>OOP:</t>
  </si>
  <si>
    <t>Equity:</t>
  </si>
  <si>
    <t>Profit:</t>
  </si>
  <si>
    <t>Recoup OOP:</t>
  </si>
  <si>
    <t>Full Eq Out</t>
  </si>
  <si>
    <t>3204 W. 71st Street</t>
  </si>
  <si>
    <t>What about sales taxes on the home?</t>
  </si>
  <si>
    <t>Is that included in Closing Costs?</t>
  </si>
  <si>
    <t>https://www.redfin.com/OH/Cleveland/3204-W-71st-St-44102/home/70725385</t>
  </si>
  <si>
    <t>MLS#</t>
  </si>
  <si>
    <t>Estimated Holding Cost (M):</t>
  </si>
  <si>
    <t>S</t>
  </si>
  <si>
    <t>Current Owner(s):</t>
  </si>
  <si>
    <t>444 TEAM LLC</t>
  </si>
  <si>
    <t>Current Value:</t>
  </si>
  <si>
    <t>Est. Insurance %:</t>
  </si>
  <si>
    <t>Est. Prop Management Fee:</t>
  </si>
  <si>
    <t>7200 Clark Ave, Cle, OH 44102</t>
  </si>
  <si>
    <t>https://www.zillow.com/homedetails/7200-Clark-Ave-Cleveland-OH-44102/33334799_zpid/?</t>
  </si>
  <si>
    <t>% of Rents I keep:</t>
  </si>
  <si>
    <t>(&lt; 75%, good) LTV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</si>
</sst>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83838"/>
      <name val="Open Sans"/>
      <family val="2"/>
    </font>
    <font>
      <sz val="9"/>
      <color rgb="FF383838"/>
      <name val="Open Sans"/>
      <family val="2"/>
    </font>
    <font>
      <sz val="8"/>
      <color rgb="FF333333"/>
      <name val="Inherit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9" fontId="0" fillId="0" borderId="0" xfId="0" applyNumberFormat="1"/>
    <xf numFmtId="9" fontId="0" fillId="0" borderId="1" xfId="0" applyNumberFormat="1" applyBorder="1"/>
    <xf numFmtId="8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0" fontId="0" fillId="0" borderId="0" xfId="0" applyAlignment="1">
      <alignment horizontal="right"/>
    </xf>
    <xf numFmtId="0" fontId="0" fillId="2" borderId="0" xfId="0" applyFill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right"/>
    </xf>
    <xf numFmtId="0" fontId="0" fillId="0" borderId="0" xfId="0" applyAlignment="1">
      <alignment horizontal="center"/>
    </xf>
    <xf numFmtId="9" fontId="0" fillId="0" borderId="0" xfId="1" applyFont="1"/>
    <xf numFmtId="0" fontId="2" fillId="0" borderId="0" xfId="0" applyFont="1" applyAlignment="1">
      <alignment horizontal="right"/>
    </xf>
    <xf numFmtId="8" fontId="2" fillId="0" borderId="0" xfId="0" applyNumberFormat="1" applyFont="1"/>
    <xf numFmtId="8" fontId="0" fillId="3" borderId="1" xfId="0" applyNumberFormat="1" applyFill="1" applyBorder="1"/>
    <xf numFmtId="10" fontId="0" fillId="3" borderId="1" xfId="0" applyNumberFormat="1" applyFill="1" applyBorder="1"/>
    <xf numFmtId="9" fontId="0" fillId="3" borderId="1" xfId="0" applyNumberFormat="1" applyFill="1" applyBorder="1"/>
    <xf numFmtId="0" fontId="0" fillId="3" borderId="1" xfId="0" applyFill="1" applyBorder="1"/>
    <xf numFmtId="0" fontId="0" fillId="0" borderId="0" xfId="0" applyAlignment="1">
      <alignment vertical="center"/>
    </xf>
    <xf numFmtId="10" fontId="0" fillId="0" borderId="0" xfId="0" applyNumberForma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8" fontId="0" fillId="0" borderId="0" xfId="1" applyNumberFormat="1" applyFo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2" applyAlignment="1">
      <alignment horizontal="center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zillow.com/homedetails/7200-Clark-Ave-Cleveland-OH-44102/33334799_zpid/?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1BDA6-DA88-486F-8571-940D0F45BAA5}">
  <sheetPr codeName="Sheet1"/>
  <dimension ref="A1:G7"/>
  <sheetViews>
    <sheetView workbookViewId="0">
      <selection activeCell="G14" sqref="G14"/>
    </sheetView>
  </sheetViews>
  <sheetFormatPr defaultRowHeight="14.5"/>
  <cols>
    <col min="3" max="4" width="11.54296875" bestFit="1" customWidth="1"/>
    <col min="5" max="7" width="10.54296875" bestFit="1" customWidth="1"/>
  </cols>
  <sheetData>
    <row r="1" spans="1:7">
      <c r="A1" t="s">
        <v>0</v>
      </c>
      <c r="C1" t="s">
        <v>1</v>
      </c>
    </row>
    <row r="3" spans="1:7">
      <c r="A3" t="s">
        <v>2</v>
      </c>
    </row>
    <row r="4" spans="1:7">
      <c r="A4" t="s">
        <v>3</v>
      </c>
    </row>
    <row r="6" spans="1:7" ht="15" thickBot="1">
      <c r="A6" s="4" t="s">
        <v>4</v>
      </c>
      <c r="B6" s="4" t="s">
        <v>8</v>
      </c>
      <c r="C6" s="4" t="s">
        <v>6</v>
      </c>
      <c r="D6" s="4" t="s">
        <v>2</v>
      </c>
      <c r="E6" s="4" t="s">
        <v>7</v>
      </c>
      <c r="F6" s="4" t="s">
        <v>9</v>
      </c>
      <c r="G6" s="4" t="s">
        <v>10</v>
      </c>
    </row>
    <row r="7" spans="1:7" ht="15" thickBot="1">
      <c r="A7" s="5" t="s">
        <v>5</v>
      </c>
      <c r="B7" s="6">
        <v>0.7</v>
      </c>
      <c r="C7" s="7">
        <v>260000</v>
      </c>
      <c r="D7" s="8">
        <f>C7*B7</f>
        <v>182000</v>
      </c>
      <c r="E7" s="7">
        <v>95000</v>
      </c>
      <c r="F7" s="8">
        <f>D7-E7</f>
        <v>87000</v>
      </c>
      <c r="G7" s="8">
        <f>C7-E7-F7</f>
        <v>78000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C7174-912F-4809-A442-7B44C7CB9018}">
  <sheetPr>
    <tabColor theme="9" tint="0.59999389629810485"/>
  </sheetPr>
  <dimension ref="A1:O82"/>
  <sheetViews>
    <sheetView workbookViewId="0">
      <pane ySplit="1" topLeftCell="A2" activePane="bottomLeft" state="frozen"/>
      <selection pane="bottomLeft" activeCell="C19" sqref="C19"/>
    </sheetView>
  </sheetViews>
  <sheetFormatPr defaultRowHeight="14.5"/>
  <cols>
    <col min="1" max="1" width="24.81640625" customWidth="1"/>
    <col min="2" max="2" width="15.08984375" customWidth="1"/>
    <col min="3" max="3" width="10.54296875" bestFit="1" customWidth="1"/>
    <col min="5" max="5" width="11.54296875" bestFit="1" customWidth="1"/>
    <col min="7" max="7" width="11.54296875" bestFit="1" customWidth="1"/>
    <col min="9" max="9" width="12.08984375" bestFit="1" customWidth="1"/>
    <col min="11" max="11" width="10.54296875" bestFit="1" customWidth="1"/>
    <col min="13" max="13" width="11.08984375" bestFit="1" customWidth="1"/>
    <col min="15" max="15" width="12.08984375" bestFit="1" customWidth="1"/>
  </cols>
  <sheetData>
    <row r="1" spans="1:15">
      <c r="B1" t="s">
        <v>43</v>
      </c>
      <c r="C1" s="4" t="str">
        <f>IF(B11&gt;B10,"NOPE",IF(C82=4,"GOLDEN",IF(C82=3,"Mayyybe…",IF(C82&lt;3,"Yeah…NO"))))</f>
        <v>GOLDEN</v>
      </c>
      <c r="D1" t="s">
        <v>79</v>
      </c>
      <c r="E1" s="3">
        <f>B10</f>
        <v>52500</v>
      </c>
      <c r="F1" t="s">
        <v>80</v>
      </c>
      <c r="G1" s="16">
        <f>B11</f>
        <v>51975</v>
      </c>
      <c r="H1" t="s">
        <v>81</v>
      </c>
      <c r="I1" s="3">
        <f>B12</f>
        <v>525</v>
      </c>
      <c r="J1" t="s">
        <v>82</v>
      </c>
      <c r="K1" s="3">
        <f>B65</f>
        <v>12375</v>
      </c>
      <c r="L1" t="s">
        <v>83</v>
      </c>
      <c r="M1" s="3">
        <f>B53</f>
        <v>12900</v>
      </c>
      <c r="N1" t="s">
        <v>84</v>
      </c>
      <c r="O1" s="3">
        <f>B12</f>
        <v>525</v>
      </c>
    </row>
    <row r="2" spans="1:15">
      <c r="A2" t="s">
        <v>11</v>
      </c>
      <c r="C2" s="21"/>
    </row>
    <row r="3" spans="1:15" ht="15.65" customHeight="1">
      <c r="A3" s="9" t="s">
        <v>12</v>
      </c>
      <c r="B3" s="26" t="s">
        <v>87</v>
      </c>
      <c r="C3" s="26"/>
      <c r="D3" s="26"/>
      <c r="E3" s="26"/>
      <c r="F3" s="26"/>
      <c r="G3" s="26"/>
    </row>
    <row r="4" spans="1:15" ht="15.65" customHeight="1">
      <c r="A4" s="9"/>
      <c r="B4" s="28" t="s">
        <v>90</v>
      </c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5" ht="15.65" customHeight="1">
      <c r="A5" s="9" t="s">
        <v>91</v>
      </c>
      <c r="B5" s="24">
        <v>4452486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5">
      <c r="A6" s="9" t="s">
        <v>63</v>
      </c>
      <c r="B6" t="s">
        <v>64</v>
      </c>
    </row>
    <row r="7" spans="1:15">
      <c r="A7" s="9" t="s">
        <v>43</v>
      </c>
      <c r="B7" s="27" t="str">
        <f>IF(B11&gt;B10,"NOPE",IF(C82=4,"GOLDEN",IF(C82=3,"Mayyybe…",IF(C82&lt;3,"Yeah…NO"))))</f>
        <v>GOLDEN</v>
      </c>
    </row>
    <row r="8" spans="1:15">
      <c r="A8" s="9"/>
      <c r="B8" s="27"/>
    </row>
    <row r="9" spans="1:15">
      <c r="A9" s="9"/>
    </row>
    <row r="10" spans="1:15">
      <c r="A10" s="9" t="s">
        <v>59</v>
      </c>
      <c r="B10" s="3">
        <f>B44</f>
        <v>52500</v>
      </c>
    </row>
    <row r="11" spans="1:15">
      <c r="A11" s="15" t="s">
        <v>60</v>
      </c>
      <c r="B11" s="16">
        <f>B17+B18+B64</f>
        <v>51975</v>
      </c>
    </row>
    <row r="12" spans="1:15">
      <c r="A12" s="9" t="s">
        <v>61</v>
      </c>
      <c r="B12" s="3">
        <f>B10-B11</f>
        <v>525</v>
      </c>
      <c r="E12" s="14"/>
    </row>
    <row r="13" spans="1:15">
      <c r="A13" s="9" t="s">
        <v>66</v>
      </c>
      <c r="B13" s="14">
        <f>B53/B65</f>
        <v>1.0424242424242425</v>
      </c>
    </row>
    <row r="14" spans="1:15">
      <c r="A14" s="9" t="s">
        <v>67</v>
      </c>
      <c r="B14" s="14">
        <f>B22/B65</f>
        <v>2.8969696969696968E-2</v>
      </c>
    </row>
    <row r="15" spans="1:15">
      <c r="A15" s="9" t="s">
        <v>92</v>
      </c>
      <c r="B15" s="25">
        <f>B38</f>
        <v>541.5</v>
      </c>
    </row>
    <row r="16" spans="1:15" ht="15" thickBot="1">
      <c r="B16" s="3"/>
      <c r="C16" t="s">
        <v>86</v>
      </c>
    </row>
    <row r="17" spans="1:6" ht="15" thickBot="1">
      <c r="A17" s="9" t="s">
        <v>50</v>
      </c>
      <c r="B17" s="17">
        <v>49500</v>
      </c>
      <c r="D17" t="s">
        <v>88</v>
      </c>
    </row>
    <row r="18" spans="1:6" ht="15" thickBot="1">
      <c r="A18" s="9" t="s">
        <v>14</v>
      </c>
      <c r="B18" s="17">
        <v>0</v>
      </c>
      <c r="D18" t="s">
        <v>89</v>
      </c>
    </row>
    <row r="19" spans="1:6" ht="15" thickBot="1">
      <c r="A19" s="9" t="s">
        <v>15</v>
      </c>
      <c r="B19" s="17">
        <v>75000</v>
      </c>
    </row>
    <row r="20" spans="1:6" ht="15" thickBot="1">
      <c r="A20" s="9"/>
      <c r="B20" s="17"/>
    </row>
    <row r="21" spans="1:6" ht="15" thickBot="1">
      <c r="A21" s="9" t="s">
        <v>16</v>
      </c>
      <c r="B21" s="17">
        <v>300</v>
      </c>
      <c r="C21" s="3">
        <f>B21</f>
        <v>300</v>
      </c>
    </row>
    <row r="22" spans="1:6" ht="15" thickBot="1">
      <c r="A22" s="9" t="s">
        <v>17</v>
      </c>
      <c r="B22" s="3">
        <f>B23-B38</f>
        <v>358.5</v>
      </c>
      <c r="C22" s="3">
        <f>C23-C38</f>
        <v>122.5</v>
      </c>
    </row>
    <row r="23" spans="1:6" ht="15" thickBot="1">
      <c r="A23" s="9" t="s">
        <v>51</v>
      </c>
      <c r="B23" s="17">
        <v>900</v>
      </c>
      <c r="C23" s="3">
        <f>B23</f>
        <v>900</v>
      </c>
    </row>
    <row r="24" spans="1:6">
      <c r="A24" s="9" t="s">
        <v>52</v>
      </c>
      <c r="B24" s="3">
        <f>B23*12</f>
        <v>10800</v>
      </c>
    </row>
    <row r="25" spans="1:6">
      <c r="A25" s="9" t="s">
        <v>85</v>
      </c>
      <c r="B25">
        <f>(K1/B22)</f>
        <v>34.518828451882847</v>
      </c>
    </row>
    <row r="26" spans="1:6">
      <c r="A26" s="9"/>
    </row>
    <row r="27" spans="1:6">
      <c r="A27" s="11" t="s">
        <v>18</v>
      </c>
      <c r="B27" s="11"/>
      <c r="C27" s="11"/>
    </row>
    <row r="29" spans="1:6" ht="15" thickBot="1">
      <c r="A29" s="10" t="s">
        <v>19</v>
      </c>
      <c r="B29" s="11"/>
      <c r="C29" s="11"/>
      <c r="D29" s="11"/>
      <c r="E29" s="11"/>
      <c r="F29" s="11"/>
    </row>
    <row r="30" spans="1:6" ht="15" thickBot="1">
      <c r="A30" s="9" t="s">
        <v>56</v>
      </c>
      <c r="B30" s="18">
        <v>0.02</v>
      </c>
      <c r="C30" s="22">
        <f>B30</f>
        <v>0.02</v>
      </c>
    </row>
    <row r="31" spans="1:6">
      <c r="A31" s="9" t="s">
        <v>44</v>
      </c>
      <c r="B31" s="3">
        <f>B42*B30</f>
        <v>1500</v>
      </c>
      <c r="C31" s="3">
        <f>B31</f>
        <v>1500</v>
      </c>
    </row>
    <row r="32" spans="1:6" ht="15" thickBot="1">
      <c r="A32" s="9" t="s">
        <v>62</v>
      </c>
      <c r="B32" s="3">
        <f>B31/12</f>
        <v>125</v>
      </c>
      <c r="C32" s="3">
        <f>B32</f>
        <v>125</v>
      </c>
    </row>
    <row r="33" spans="1:6" ht="15" thickBot="1">
      <c r="A33" s="9" t="s">
        <v>53</v>
      </c>
      <c r="B33" s="18">
        <v>0.08</v>
      </c>
      <c r="C33" s="22">
        <f>B33</f>
        <v>0.08</v>
      </c>
    </row>
    <row r="34" spans="1:6">
      <c r="A34" s="9" t="s">
        <v>55</v>
      </c>
      <c r="B34" s="3">
        <f>(B68*B33)</f>
        <v>3168</v>
      </c>
      <c r="C34" s="3">
        <f>B19*C33</f>
        <v>6000</v>
      </c>
    </row>
    <row r="35" spans="1:6">
      <c r="A35" s="9" t="s">
        <v>54</v>
      </c>
      <c r="B35" s="3">
        <f>B34/12</f>
        <v>264</v>
      </c>
      <c r="C35" s="3">
        <f>C34/12</f>
        <v>500</v>
      </c>
    </row>
    <row r="36" spans="1:6">
      <c r="A36" s="9" t="s">
        <v>57</v>
      </c>
      <c r="B36" s="3">
        <f>(B42*1%)/12</f>
        <v>62.5</v>
      </c>
      <c r="C36" s="3">
        <f>B36</f>
        <v>62.5</v>
      </c>
    </row>
    <row r="37" spans="1:6">
      <c r="A37" s="9" t="s">
        <v>65</v>
      </c>
      <c r="B37" s="3">
        <f>B23*10%</f>
        <v>90</v>
      </c>
      <c r="C37" s="3">
        <f>C23*10%</f>
        <v>90</v>
      </c>
    </row>
    <row r="38" spans="1:6">
      <c r="A38" s="9" t="s">
        <v>58</v>
      </c>
      <c r="B38" s="3">
        <f>B36+B35+B37+(B31/12)</f>
        <v>541.5</v>
      </c>
      <c r="C38" s="3">
        <f>C36+C35+C37+(C31/12)</f>
        <v>777.5</v>
      </c>
    </row>
    <row r="40" spans="1:6">
      <c r="A40" s="11" t="s">
        <v>20</v>
      </c>
      <c r="B40" s="11"/>
      <c r="C40" s="11"/>
    </row>
    <row r="42" spans="1:6">
      <c r="A42" s="9" t="s">
        <v>22</v>
      </c>
      <c r="B42" s="3">
        <f>B19</f>
        <v>75000</v>
      </c>
    </row>
    <row r="43" spans="1:6">
      <c r="A43" s="9" t="s">
        <v>45</v>
      </c>
      <c r="B43" s="1">
        <v>0.7</v>
      </c>
    </row>
    <row r="44" spans="1:6">
      <c r="A44" s="9" t="s">
        <v>21</v>
      </c>
      <c r="B44" s="3">
        <f>B42*B43</f>
        <v>52500</v>
      </c>
    </row>
    <row r="45" spans="1:6">
      <c r="A45" s="9"/>
    </row>
    <row r="47" spans="1:6">
      <c r="A47" s="10" t="s">
        <v>23</v>
      </c>
      <c r="B47" s="11"/>
      <c r="C47" s="11"/>
      <c r="D47" s="11"/>
      <c r="E47" s="11"/>
      <c r="F47" s="11"/>
    </row>
    <row r="48" spans="1:6">
      <c r="A48" s="10" t="s">
        <v>24</v>
      </c>
      <c r="B48" s="11"/>
      <c r="C48" s="11"/>
      <c r="D48" s="11"/>
      <c r="E48" s="11"/>
      <c r="F48" s="11"/>
    </row>
    <row r="50" spans="1:2">
      <c r="A50" s="9" t="s">
        <v>46</v>
      </c>
      <c r="B50" s="3">
        <f>B44</f>
        <v>52500</v>
      </c>
    </row>
    <row r="51" spans="1:2">
      <c r="A51" s="9" t="s">
        <v>13</v>
      </c>
      <c r="B51" s="3">
        <f>B17</f>
        <v>49500</v>
      </c>
    </row>
    <row r="52" spans="1:2">
      <c r="A52" s="9" t="s">
        <v>26</v>
      </c>
      <c r="B52" s="3">
        <f>B18</f>
        <v>0</v>
      </c>
    </row>
    <row r="53" spans="1:2">
      <c r="A53" s="9" t="s">
        <v>25</v>
      </c>
      <c r="B53" s="3">
        <f>(B50-(B51-B62)-B52)</f>
        <v>12900</v>
      </c>
    </row>
    <row r="56" spans="1:2">
      <c r="A56" s="12" t="s">
        <v>27</v>
      </c>
    </row>
    <row r="58" spans="1:2">
      <c r="A58" s="9" t="s">
        <v>13</v>
      </c>
      <c r="B58" s="3">
        <f>B17</f>
        <v>49500</v>
      </c>
    </row>
    <row r="59" spans="1:2">
      <c r="A59" s="9" t="s">
        <v>26</v>
      </c>
      <c r="B59" s="3">
        <f>B18</f>
        <v>0</v>
      </c>
    </row>
    <row r="60" spans="1:2" ht="15" thickBot="1">
      <c r="A60" s="9" t="s">
        <v>47</v>
      </c>
      <c r="B60" s="3">
        <f>SUM(B58:B59)</f>
        <v>49500</v>
      </c>
    </row>
    <row r="61" spans="1:2" ht="15" thickBot="1">
      <c r="A61" s="9" t="s">
        <v>31</v>
      </c>
      <c r="B61" s="19">
        <v>0.2</v>
      </c>
    </row>
    <row r="62" spans="1:2" ht="15" thickBot="1">
      <c r="A62" s="9" t="s">
        <v>28</v>
      </c>
      <c r="B62" s="3">
        <f>B60*B61</f>
        <v>9900</v>
      </c>
    </row>
    <row r="63" spans="1:2" ht="15" thickBot="1">
      <c r="A63" s="9" t="s">
        <v>30</v>
      </c>
      <c r="B63" s="19">
        <v>0.05</v>
      </c>
    </row>
    <row r="64" spans="1:2">
      <c r="A64" s="9" t="s">
        <v>29</v>
      </c>
      <c r="B64" s="3">
        <f>B60*B63</f>
        <v>2475</v>
      </c>
    </row>
    <row r="65" spans="1:4">
      <c r="A65" s="9" t="s">
        <v>32</v>
      </c>
      <c r="B65" s="3">
        <f>B62+B64</f>
        <v>12375</v>
      </c>
    </row>
    <row r="66" spans="1:4">
      <c r="A66" s="11" t="s">
        <v>33</v>
      </c>
    </row>
    <row r="68" spans="1:4">
      <c r="A68" s="9" t="s">
        <v>34</v>
      </c>
      <c r="B68" s="3">
        <f>B58+B59-B62</f>
        <v>39600</v>
      </c>
    </row>
    <row r="69" spans="1:4">
      <c r="A69" s="11" t="s">
        <v>35</v>
      </c>
      <c r="B69" s="11"/>
    </row>
    <row r="71" spans="1:4">
      <c r="A71" t="s">
        <v>36</v>
      </c>
      <c r="B71" t="str">
        <f>IF(B53&gt;B65, "Y", "N")</f>
        <v>Y</v>
      </c>
      <c r="C71">
        <f>IF(B71="Y", 1, 0)</f>
        <v>1</v>
      </c>
    </row>
    <row r="72" spans="1:4">
      <c r="A72" t="s">
        <v>37</v>
      </c>
      <c r="B72" s="3" t="str">
        <f>IF(B71="N", B53-B65, "…")</f>
        <v>…</v>
      </c>
    </row>
    <row r="74" spans="1:4">
      <c r="A74" s="11" t="s">
        <v>38</v>
      </c>
      <c r="B74" s="11"/>
    </row>
    <row r="75" spans="1:4">
      <c r="A75" s="9" t="s">
        <v>39</v>
      </c>
      <c r="B75" t="str">
        <f>IF(B53&gt;0, "Y", "N")</f>
        <v>Y</v>
      </c>
      <c r="C75">
        <f>IF(B75="Y", 1, 0)</f>
        <v>1</v>
      </c>
    </row>
    <row r="76" spans="1:4">
      <c r="A76" s="9" t="s">
        <v>40</v>
      </c>
      <c r="B76" t="str">
        <f>IF(B22=B21,"Y",IF(B22&gt;B21,"Y",IF(B22&lt;B21,"N","eRRoR")))</f>
        <v>Y</v>
      </c>
      <c r="C76">
        <f>IF(B76="Y", 1, 0)</f>
        <v>1</v>
      </c>
    </row>
    <row r="77" spans="1:4">
      <c r="A77" s="9" t="s">
        <v>41</v>
      </c>
      <c r="B77" s="3" t="str">
        <f>IF(B76="N", B22-B21, "…")</f>
        <v>…</v>
      </c>
    </row>
    <row r="78" spans="1:4" ht="15" thickBot="1">
      <c r="A78" s="10" t="s">
        <v>42</v>
      </c>
      <c r="B78" s="11"/>
      <c r="C78" s="11"/>
      <c r="D78" s="11"/>
    </row>
    <row r="79" spans="1:4" ht="15" thickBot="1">
      <c r="A79" s="9" t="s">
        <v>49</v>
      </c>
      <c r="B79" s="20" t="s">
        <v>93</v>
      </c>
    </row>
    <row r="80" spans="1:4">
      <c r="A80" s="9" t="s">
        <v>48</v>
      </c>
      <c r="B80" t="str">
        <f>IF(B79="G","Y",IF(B79="S","Y","N"))</f>
        <v>Y</v>
      </c>
      <c r="C80">
        <f>IF(B80="Y", 1, 0)</f>
        <v>1</v>
      </c>
    </row>
    <row r="82" spans="1:3">
      <c r="A82" s="9" t="s">
        <v>78</v>
      </c>
      <c r="C82">
        <f>SUM(C71+C75+C76+C80)</f>
        <v>4</v>
      </c>
    </row>
  </sheetData>
  <mergeCells count="3">
    <mergeCell ref="B3:G3"/>
    <mergeCell ref="B7:B8"/>
    <mergeCell ref="B4:L4"/>
  </mergeCells>
  <conditionalFormatting sqref="B7:B8">
    <cfRule type="containsText" dxfId="46" priority="5" operator="containsText" text="Mayyybe">
      <formula>NOT(ISERROR(SEARCH("Mayyybe",B7)))</formula>
    </cfRule>
    <cfRule type="containsText" dxfId="45" priority="6" operator="containsText" text="GOLDEN">
      <formula>NOT(ISERROR(SEARCH("GOLDEN",B7)))</formula>
    </cfRule>
    <cfRule type="containsText" dxfId="44" priority="7" operator="containsText" text="NOPE">
      <formula>NOT(ISERROR(SEARCH("NOPE",B7)))</formula>
    </cfRule>
  </conditionalFormatting>
  <conditionalFormatting sqref="B11">
    <cfRule type="cellIs" dxfId="43" priority="8" operator="greaterThan">
      <formula>$B$10</formula>
    </cfRule>
  </conditionalFormatting>
  <conditionalFormatting sqref="B53">
    <cfRule type="cellIs" dxfId="42" priority="18" operator="equal">
      <formula>0</formula>
    </cfRule>
    <cfRule type="cellIs" dxfId="41" priority="19" operator="lessThan">
      <formula>0</formula>
    </cfRule>
    <cfRule type="cellIs" dxfId="40" priority="20" operator="greaterThan">
      <formula>0</formula>
    </cfRule>
  </conditionalFormatting>
  <conditionalFormatting sqref="B71">
    <cfRule type="containsText" dxfId="39" priority="16" operator="containsText" text="N">
      <formula>NOT(ISERROR(SEARCH("N",B71)))</formula>
    </cfRule>
    <cfRule type="containsText" dxfId="38" priority="17" operator="containsText" text="Y">
      <formula>NOT(ISERROR(SEARCH("Y",B71)))</formula>
    </cfRule>
  </conditionalFormatting>
  <conditionalFormatting sqref="B75:B76">
    <cfRule type="containsText" dxfId="37" priority="14" operator="containsText" text="N">
      <formula>NOT(ISERROR(SEARCH("N",B75)))</formula>
    </cfRule>
    <cfRule type="containsText" dxfId="36" priority="15" operator="containsText" text="Y">
      <formula>NOT(ISERROR(SEARCH("Y",B75)))</formula>
    </cfRule>
  </conditionalFormatting>
  <conditionalFormatting sqref="B80">
    <cfRule type="containsText" dxfId="35" priority="12" operator="containsText" text="N">
      <formula>NOT(ISERROR(SEARCH("N",B80)))</formula>
    </cfRule>
    <cfRule type="containsText" dxfId="34" priority="13" operator="containsText" text="Y">
      <formula>NOT(ISERROR(SEARCH("Y",B80)))</formula>
    </cfRule>
  </conditionalFormatting>
  <conditionalFormatting sqref="B22:C22">
    <cfRule type="cellIs" dxfId="33" priority="9" operator="lessThan">
      <formula>$B$21</formula>
    </cfRule>
    <cfRule type="cellIs" dxfId="32" priority="10" operator="equal">
      <formula>$B$21</formula>
    </cfRule>
    <cfRule type="cellIs" dxfId="31" priority="11" operator="greaterThan">
      <formula>$B$21</formula>
    </cfRule>
  </conditionalFormatting>
  <conditionalFormatting sqref="C1:C2">
    <cfRule type="containsText" dxfId="30" priority="2" operator="containsText" text="Mayyybe">
      <formula>NOT(ISERROR(SEARCH("Mayyybe",C1)))</formula>
    </cfRule>
    <cfRule type="containsText" dxfId="29" priority="3" operator="containsText" text="GOLDEN">
      <formula>NOT(ISERROR(SEARCH("GOLDEN",C1)))</formula>
    </cfRule>
    <cfRule type="containsText" dxfId="28" priority="4" operator="containsText" text="NOPE">
      <formula>NOT(ISERROR(SEARCH("NOPE",C1)))</formula>
    </cfRule>
  </conditionalFormatting>
  <conditionalFormatting sqref="G1">
    <cfRule type="cellIs" dxfId="27" priority="1" operator="greaterThan">
      <formula>$B$10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4A9BA-C084-47A4-BFF1-10E2A10F229E}">
  <sheetPr>
    <tabColor rgb="FFFF0000"/>
  </sheetPr>
  <dimension ref="A1:O86"/>
  <sheetViews>
    <sheetView tabSelected="1" workbookViewId="0">
      <pane ySplit="1" topLeftCell="A2" activePane="bottomLeft" state="frozen"/>
      <selection pane="bottomLeft" activeCell="E11" sqref="E11"/>
    </sheetView>
  </sheetViews>
  <sheetFormatPr defaultRowHeight="14.5"/>
  <cols>
    <col min="1" max="1" width="24.81640625" customWidth="1"/>
    <col min="2" max="2" width="15.08984375" customWidth="1"/>
    <col min="3" max="3" width="10.54296875" bestFit="1" customWidth="1"/>
    <col min="4" max="4" width="10.453125" bestFit="1" customWidth="1"/>
    <col min="5" max="5" width="11.54296875" bestFit="1" customWidth="1"/>
    <col min="7" max="7" width="11.54296875" bestFit="1" customWidth="1"/>
    <col min="9" max="9" width="12.08984375" bestFit="1" customWidth="1"/>
    <col min="10" max="10" width="4.81640625" customWidth="1"/>
    <col min="11" max="11" width="10.54296875" bestFit="1" customWidth="1"/>
    <col min="13" max="13" width="11.08984375" bestFit="1" customWidth="1"/>
    <col min="15" max="15" width="12.08984375" bestFit="1" customWidth="1"/>
  </cols>
  <sheetData>
    <row r="1" spans="1:15">
      <c r="B1" t="s">
        <v>43</v>
      </c>
      <c r="C1" s="4" t="str">
        <f>IF(B12&gt;B11,"NOPE",IF(C86=4,"GOLDEN",IF(C86=3,"Mayyybe…",IF(C86&lt;3,"Yeah…NO"))))</f>
        <v>NOPE</v>
      </c>
      <c r="D1" t="s">
        <v>79</v>
      </c>
      <c r="E1" s="3">
        <f>B11</f>
        <v>47250</v>
      </c>
      <c r="F1" t="s">
        <v>80</v>
      </c>
      <c r="G1" s="16">
        <f>B12</f>
        <v>84000</v>
      </c>
      <c r="H1" t="s">
        <v>81</v>
      </c>
      <c r="I1" s="3">
        <f>B13</f>
        <v>-36750</v>
      </c>
      <c r="J1" t="s">
        <v>82</v>
      </c>
      <c r="K1" s="3">
        <f>B68</f>
        <v>20000</v>
      </c>
      <c r="L1" t="s">
        <v>83</v>
      </c>
      <c r="M1" s="3">
        <f>B56</f>
        <v>-16750</v>
      </c>
      <c r="N1" t="s">
        <v>84</v>
      </c>
      <c r="O1" s="3">
        <f>B13</f>
        <v>-36750</v>
      </c>
    </row>
    <row r="2" spans="1:15">
      <c r="A2" t="s">
        <v>11</v>
      </c>
      <c r="C2" s="21"/>
    </row>
    <row r="3" spans="1:15" ht="15.65" customHeight="1">
      <c r="A3" s="9" t="s">
        <v>12</v>
      </c>
      <c r="B3" s="26" t="s">
        <v>99</v>
      </c>
      <c r="C3" s="26"/>
      <c r="D3" s="26"/>
      <c r="E3" s="26"/>
      <c r="F3" s="26"/>
      <c r="G3" s="26"/>
    </row>
    <row r="4" spans="1:15" ht="15.65" customHeight="1">
      <c r="A4" s="9"/>
      <c r="B4" s="29" t="s">
        <v>100</v>
      </c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5" ht="15.65" customHeight="1">
      <c r="A5" s="9" t="s">
        <v>94</v>
      </c>
      <c r="B5" s="9" t="s">
        <v>95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5" ht="15.65" customHeight="1">
      <c r="A6" s="9" t="s">
        <v>91</v>
      </c>
      <c r="B6" s="24">
        <v>4452264</v>
      </c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5">
      <c r="A7" s="9" t="s">
        <v>63</v>
      </c>
      <c r="B7" t="s">
        <v>64</v>
      </c>
    </row>
    <row r="8" spans="1:15">
      <c r="A8" s="9" t="s">
        <v>43</v>
      </c>
      <c r="B8" s="27" t="str">
        <f>IF(B12&gt;B11,"NOPE",IF(C86=5,"GOLDEN",IF(C86=4,"Mayyybe…",IF(C86&lt;4,"Yeah…NO"))))</f>
        <v>NOPE</v>
      </c>
    </row>
    <row r="9" spans="1:15">
      <c r="A9" s="9"/>
      <c r="B9" s="27"/>
    </row>
    <row r="10" spans="1:15">
      <c r="A10" s="9"/>
    </row>
    <row r="11" spans="1:15">
      <c r="A11" s="9" t="s">
        <v>59</v>
      </c>
      <c r="B11" s="3">
        <f>B47</f>
        <v>47250</v>
      </c>
    </row>
    <row r="12" spans="1:15">
      <c r="A12" s="15" t="s">
        <v>60</v>
      </c>
      <c r="B12" s="16">
        <f>B18+B19+B67</f>
        <v>84000</v>
      </c>
      <c r="D12" s="3"/>
    </row>
    <row r="13" spans="1:15">
      <c r="A13" s="9" t="s">
        <v>61</v>
      </c>
      <c r="B13" s="3">
        <f>B11-B12</f>
        <v>-36750</v>
      </c>
      <c r="E13" s="14"/>
    </row>
    <row r="14" spans="1:15">
      <c r="A14" s="9" t="s">
        <v>66</v>
      </c>
      <c r="B14" s="14">
        <f>B56/B68</f>
        <v>-0.83750000000000002</v>
      </c>
    </row>
    <row r="15" spans="1:15">
      <c r="A15" s="9" t="s">
        <v>67</v>
      </c>
      <c r="B15" s="14">
        <f>B23/B68</f>
        <v>1.15625E-2</v>
      </c>
    </row>
    <row r="16" spans="1:15">
      <c r="A16" s="9" t="s">
        <v>92</v>
      </c>
      <c r="B16" s="25">
        <f>B41</f>
        <v>568.75</v>
      </c>
    </row>
    <row r="17" spans="1:6" ht="15" thickBot="1">
      <c r="B17" s="3"/>
      <c r="C17" t="s">
        <v>86</v>
      </c>
    </row>
    <row r="18" spans="1:6" ht="15" thickBot="1">
      <c r="A18" s="9" t="s">
        <v>50</v>
      </c>
      <c r="B18" s="17">
        <v>30000</v>
      </c>
      <c r="D18" t="s">
        <v>88</v>
      </c>
    </row>
    <row r="19" spans="1:6" ht="15" thickBot="1">
      <c r="A19" s="9" t="s">
        <v>14</v>
      </c>
      <c r="B19" s="17">
        <v>50000</v>
      </c>
      <c r="D19" t="s">
        <v>89</v>
      </c>
    </row>
    <row r="20" spans="1:6" ht="15" thickBot="1">
      <c r="A20" s="9" t="s">
        <v>15</v>
      </c>
      <c r="B20" s="17">
        <v>67500</v>
      </c>
    </row>
    <row r="21" spans="1:6" ht="15" thickBot="1">
      <c r="A21" s="9" t="s">
        <v>96</v>
      </c>
      <c r="B21" s="17">
        <v>35300</v>
      </c>
    </row>
    <row r="22" spans="1:6" ht="15" thickBot="1">
      <c r="A22" s="9" t="s">
        <v>16</v>
      </c>
      <c r="B22" s="17">
        <v>500</v>
      </c>
      <c r="C22" s="3">
        <f>B22</f>
        <v>500</v>
      </c>
    </row>
    <row r="23" spans="1:6" ht="15" thickBot="1">
      <c r="A23" s="9" t="s">
        <v>17</v>
      </c>
      <c r="B23" s="3">
        <f>B24-B41</f>
        <v>231.25</v>
      </c>
      <c r="C23" s="3">
        <f>C24-C41</f>
        <v>213.75</v>
      </c>
    </row>
    <row r="24" spans="1:6" ht="15" thickBot="1">
      <c r="A24" s="9" t="s">
        <v>51</v>
      </c>
      <c r="B24" s="17">
        <v>800</v>
      </c>
      <c r="C24" s="3">
        <f>B24</f>
        <v>800</v>
      </c>
    </row>
    <row r="25" spans="1:6">
      <c r="A25" s="9" t="s">
        <v>52</v>
      </c>
      <c r="B25" s="3">
        <f>B24*12</f>
        <v>9600</v>
      </c>
    </row>
    <row r="26" spans="1:6">
      <c r="A26" s="9" t="s">
        <v>85</v>
      </c>
      <c r="B26">
        <f>(K1/B23)</f>
        <v>86.486486486486484</v>
      </c>
    </row>
    <row r="27" spans="1:6">
      <c r="A27" s="9" t="s">
        <v>101</v>
      </c>
      <c r="B27" s="14">
        <f>B23/B24</f>
        <v>0.2890625</v>
      </c>
    </row>
    <row r="28" spans="1:6">
      <c r="A28" s="11" t="s">
        <v>18</v>
      </c>
      <c r="B28" s="11"/>
      <c r="C28" s="11"/>
    </row>
    <row r="30" spans="1:6" ht="15" thickBot="1">
      <c r="A30" s="10" t="s">
        <v>19</v>
      </c>
      <c r="B30" s="11"/>
      <c r="C30" s="11"/>
      <c r="D30" s="11"/>
      <c r="E30" s="11"/>
      <c r="F30" s="11"/>
    </row>
    <row r="31" spans="1:6" ht="15" thickBot="1">
      <c r="A31" s="9" t="s">
        <v>56</v>
      </c>
      <c r="B31" s="18">
        <v>0.02</v>
      </c>
      <c r="C31" s="22">
        <f>B31</f>
        <v>0.02</v>
      </c>
    </row>
    <row r="32" spans="1:6">
      <c r="A32" s="9" t="s">
        <v>44</v>
      </c>
      <c r="B32" s="3">
        <f>B45*B31</f>
        <v>1350</v>
      </c>
      <c r="C32" s="3">
        <f>B32</f>
        <v>1350</v>
      </c>
    </row>
    <row r="33" spans="1:3" ht="15" thickBot="1">
      <c r="A33" s="9" t="s">
        <v>62</v>
      </c>
      <c r="B33" s="3">
        <f>B32/12</f>
        <v>112.5</v>
      </c>
      <c r="C33" s="3">
        <f>B33</f>
        <v>112.5</v>
      </c>
    </row>
    <row r="34" spans="1:3" ht="15" thickBot="1">
      <c r="A34" s="9" t="s">
        <v>53</v>
      </c>
      <c r="B34" s="18">
        <v>0.06</v>
      </c>
      <c r="C34" s="22">
        <f>B34</f>
        <v>0.06</v>
      </c>
    </row>
    <row r="35" spans="1:3">
      <c r="A35" s="9" t="s">
        <v>55</v>
      </c>
      <c r="B35" s="3">
        <f>(B71*B34)</f>
        <v>3840</v>
      </c>
      <c r="C35" s="3">
        <f>B20*C34</f>
        <v>4050</v>
      </c>
    </row>
    <row r="36" spans="1:3" ht="15" thickBot="1">
      <c r="A36" s="9" t="s">
        <v>54</v>
      </c>
      <c r="B36" s="3">
        <f>B35/12</f>
        <v>320</v>
      </c>
      <c r="C36" s="3">
        <f>C35/12</f>
        <v>337.5</v>
      </c>
    </row>
    <row r="37" spans="1:3" ht="15" thickBot="1">
      <c r="A37" s="9" t="s">
        <v>97</v>
      </c>
      <c r="B37" s="19">
        <v>0.01</v>
      </c>
      <c r="C37" s="1">
        <f>B37</f>
        <v>0.01</v>
      </c>
    </row>
    <row r="38" spans="1:3" ht="15" thickBot="1">
      <c r="A38" s="9" t="s">
        <v>57</v>
      </c>
      <c r="B38" s="3">
        <f>(B45*B37)/12</f>
        <v>56.25</v>
      </c>
      <c r="C38" s="3">
        <f>B38</f>
        <v>56.25</v>
      </c>
    </row>
    <row r="39" spans="1:3" ht="15" thickBot="1">
      <c r="A39" s="9" t="s">
        <v>98</v>
      </c>
      <c r="B39" s="19">
        <v>0.1</v>
      </c>
      <c r="C39" s="1">
        <f>B39</f>
        <v>0.1</v>
      </c>
    </row>
    <row r="40" spans="1:3">
      <c r="A40" s="9" t="s">
        <v>65</v>
      </c>
      <c r="B40" s="3">
        <f>B24*B39</f>
        <v>80</v>
      </c>
      <c r="C40" s="3">
        <f>C24*C39</f>
        <v>80</v>
      </c>
    </row>
    <row r="41" spans="1:3">
      <c r="A41" s="9" t="s">
        <v>58</v>
      </c>
      <c r="B41" s="3">
        <f>B38+B36+B40+(B32/12)</f>
        <v>568.75</v>
      </c>
      <c r="C41" s="3">
        <f>C38+C36+C40+(C32/12)</f>
        <v>586.25</v>
      </c>
    </row>
    <row r="43" spans="1:3">
      <c r="A43" s="11" t="s">
        <v>20</v>
      </c>
      <c r="B43" s="11"/>
      <c r="C43" s="11"/>
    </row>
    <row r="45" spans="1:3" ht="15" thickBot="1">
      <c r="A45" s="9" t="s">
        <v>22</v>
      </c>
      <c r="B45" s="3">
        <f>B20</f>
        <v>67500</v>
      </c>
    </row>
    <row r="46" spans="1:3" ht="15" thickBot="1">
      <c r="A46" s="9" t="s">
        <v>45</v>
      </c>
      <c r="B46" s="2">
        <v>0.7</v>
      </c>
    </row>
    <row r="47" spans="1:3">
      <c r="A47" s="9" t="s">
        <v>21</v>
      </c>
      <c r="B47" s="3">
        <f>B45*B46</f>
        <v>47250</v>
      </c>
    </row>
    <row r="48" spans="1:3">
      <c r="A48" s="9"/>
    </row>
    <row r="50" spans="1:6">
      <c r="A50" s="10" t="s">
        <v>23</v>
      </c>
      <c r="B50" s="11"/>
      <c r="C50" s="11"/>
      <c r="D50" s="11"/>
      <c r="E50" s="11"/>
      <c r="F50" s="11"/>
    </row>
    <row r="51" spans="1:6">
      <c r="A51" s="10" t="s">
        <v>24</v>
      </c>
      <c r="B51" s="11"/>
      <c r="C51" s="11"/>
      <c r="D51" s="11"/>
      <c r="E51" s="11"/>
      <c r="F51" s="11"/>
    </row>
    <row r="53" spans="1:6">
      <c r="A53" s="9" t="s">
        <v>46</v>
      </c>
      <c r="B53" s="3">
        <f>B47</f>
        <v>47250</v>
      </c>
    </row>
    <row r="54" spans="1:6">
      <c r="A54" s="9" t="s">
        <v>13</v>
      </c>
      <c r="B54" s="3">
        <f>B18</f>
        <v>30000</v>
      </c>
    </row>
    <row r="55" spans="1:6">
      <c r="A55" s="9" t="s">
        <v>26</v>
      </c>
      <c r="B55" s="3">
        <f>B19</f>
        <v>50000</v>
      </c>
    </row>
    <row r="56" spans="1:6">
      <c r="A56" s="9" t="s">
        <v>25</v>
      </c>
      <c r="B56" s="3">
        <f>(B53-(B54-B65)-B55)</f>
        <v>-16750</v>
      </c>
    </row>
    <row r="59" spans="1:6">
      <c r="A59" s="12" t="s">
        <v>27</v>
      </c>
    </row>
    <row r="61" spans="1:6">
      <c r="A61" s="9" t="s">
        <v>13</v>
      </c>
      <c r="B61" s="3">
        <f>B18</f>
        <v>30000</v>
      </c>
    </row>
    <row r="62" spans="1:6">
      <c r="A62" s="9" t="s">
        <v>26</v>
      </c>
      <c r="B62" s="3">
        <f>B19</f>
        <v>50000</v>
      </c>
    </row>
    <row r="63" spans="1:6" ht="15" thickBot="1">
      <c r="A63" s="9" t="s">
        <v>47</v>
      </c>
      <c r="B63" s="3">
        <f>SUM(B61:B62)</f>
        <v>80000</v>
      </c>
    </row>
    <row r="64" spans="1:6" ht="15" thickBot="1">
      <c r="A64" s="9" t="s">
        <v>31</v>
      </c>
      <c r="B64" s="19">
        <v>0.2</v>
      </c>
    </row>
    <row r="65" spans="1:6" ht="15" thickBot="1">
      <c r="A65" s="9" t="s">
        <v>28</v>
      </c>
      <c r="B65" s="3">
        <f>B63*B64</f>
        <v>16000</v>
      </c>
      <c r="F65" s="14"/>
    </row>
    <row r="66" spans="1:6" ht="15" thickBot="1">
      <c r="A66" s="9" t="s">
        <v>30</v>
      </c>
      <c r="B66" s="19">
        <v>0.05</v>
      </c>
    </row>
    <row r="67" spans="1:6">
      <c r="A67" s="9" t="s">
        <v>29</v>
      </c>
      <c r="B67" s="3">
        <f>B63*B66</f>
        <v>4000</v>
      </c>
    </row>
    <row r="68" spans="1:6">
      <c r="A68" s="9" t="s">
        <v>32</v>
      </c>
      <c r="B68" s="3">
        <f>B65+B67</f>
        <v>20000</v>
      </c>
    </row>
    <row r="69" spans="1:6">
      <c r="A69" s="11" t="s">
        <v>33</v>
      </c>
    </row>
    <row r="71" spans="1:6">
      <c r="A71" s="9" t="s">
        <v>34</v>
      </c>
      <c r="B71" s="3">
        <f>B61+B62-B65</f>
        <v>64000</v>
      </c>
    </row>
    <row r="72" spans="1:6">
      <c r="A72" s="9" t="s">
        <v>102</v>
      </c>
      <c r="B72" s="14">
        <f>(B63-B65)/B20</f>
        <v>0.94814814814814818</v>
      </c>
      <c r="C72" s="9" t="str">
        <f>IF(B72&lt;71%, "1", "0")</f>
        <v>0</v>
      </c>
    </row>
    <row r="73" spans="1:6">
      <c r="A73" s="11" t="s">
        <v>35</v>
      </c>
      <c r="B73" s="11"/>
    </row>
    <row r="75" spans="1:6">
      <c r="A75" t="s">
        <v>36</v>
      </c>
      <c r="B75" t="str">
        <f>IF(B56&gt;B68, "Y", "N")</f>
        <v>N</v>
      </c>
      <c r="C75">
        <f>IF(B75="Y", 1, 0)</f>
        <v>0</v>
      </c>
    </row>
    <row r="76" spans="1:6">
      <c r="A76" t="s">
        <v>37</v>
      </c>
      <c r="B76" s="3">
        <f>IF(B75="N", B56-B68, "…")</f>
        <v>-36750</v>
      </c>
    </row>
    <row r="78" spans="1:6">
      <c r="A78" s="11" t="s">
        <v>38</v>
      </c>
      <c r="B78" s="11"/>
    </row>
    <row r="79" spans="1:6">
      <c r="A79" s="9" t="s">
        <v>39</v>
      </c>
      <c r="B79" t="str">
        <f>IF(B56&gt;0, "Y", "N")</f>
        <v>N</v>
      </c>
      <c r="C79">
        <f>IF(B79="Y", 1, 0)</f>
        <v>0</v>
      </c>
    </row>
    <row r="80" spans="1:6">
      <c r="A80" s="9" t="s">
        <v>40</v>
      </c>
      <c r="B80" t="str">
        <f>IF(B23=B22,"Y",IF(B23&gt;B22,"Y",IF(B23&lt;B22,"N","eRRoR")))</f>
        <v>N</v>
      </c>
      <c r="C80">
        <f>IF(B80="Y", 1, 0)</f>
        <v>0</v>
      </c>
    </row>
    <row r="81" spans="1:4">
      <c r="A81" s="9" t="s">
        <v>41</v>
      </c>
      <c r="B81" s="3">
        <f>IF(B80="N", B23-B22, "…")</f>
        <v>-268.75</v>
      </c>
    </row>
    <row r="82" spans="1:4" ht="15" thickBot="1">
      <c r="A82" s="10" t="s">
        <v>42</v>
      </c>
      <c r="B82" s="11"/>
      <c r="C82" s="11"/>
      <c r="D82" s="11"/>
    </row>
    <row r="83" spans="1:4" ht="15" thickBot="1">
      <c r="A83" s="9" t="s">
        <v>49</v>
      </c>
      <c r="B83" s="20" t="s">
        <v>93</v>
      </c>
    </row>
    <row r="84" spans="1:4">
      <c r="A84" s="9" t="s">
        <v>48</v>
      </c>
      <c r="B84" t="str">
        <f>IF(B83="G","Y",IF(B83="S","Y","N"))</f>
        <v>Y</v>
      </c>
      <c r="C84">
        <f>IF(B84="Y", 1, 0)</f>
        <v>1</v>
      </c>
    </row>
    <row r="86" spans="1:4">
      <c r="A86" s="9" t="s">
        <v>78</v>
      </c>
      <c r="C86">
        <f>SUM(C72+C75+C79+C80+C84)</f>
        <v>1</v>
      </c>
    </row>
  </sheetData>
  <mergeCells count="3">
    <mergeCell ref="B3:G3"/>
    <mergeCell ref="B4:L4"/>
    <mergeCell ref="B8:B9"/>
  </mergeCells>
  <conditionalFormatting sqref="B8:B9">
    <cfRule type="containsText" dxfId="26" priority="11" operator="containsText" text="Mayyybe">
      <formula>NOT(ISERROR(SEARCH("Mayyybe",B8)))</formula>
    </cfRule>
    <cfRule type="containsText" dxfId="25" priority="12" operator="containsText" text="GOLDEN">
      <formula>NOT(ISERROR(SEARCH("GOLDEN",B8)))</formula>
    </cfRule>
    <cfRule type="containsText" dxfId="24" priority="13" operator="containsText" text="NOPE">
      <formula>NOT(ISERROR(SEARCH("NOPE",B8)))</formula>
    </cfRule>
  </conditionalFormatting>
  <conditionalFormatting sqref="B12">
    <cfRule type="cellIs" dxfId="23" priority="14" operator="greaterThan">
      <formula>$B$11</formula>
    </cfRule>
  </conditionalFormatting>
  <conditionalFormatting sqref="B27">
    <cfRule type="cellIs" dxfId="22" priority="4" operator="greaterThan">
      <formula>0.49</formula>
    </cfRule>
    <cfRule type="cellIs" dxfId="21" priority="5" operator="lessThan">
      <formula>0.26</formula>
    </cfRule>
    <cfRule type="cellIs" dxfId="20" priority="6" operator="lessThan">
      <formula>0.5</formula>
    </cfRule>
  </conditionalFormatting>
  <conditionalFormatting sqref="B56">
    <cfRule type="cellIs" dxfId="19" priority="24" operator="equal">
      <formula>0</formula>
    </cfRule>
    <cfRule type="cellIs" dxfId="18" priority="25" operator="lessThan">
      <formula>0</formula>
    </cfRule>
    <cfRule type="cellIs" dxfId="17" priority="26" operator="greaterThan">
      <formula>0</formula>
    </cfRule>
  </conditionalFormatting>
  <conditionalFormatting sqref="B72">
    <cfRule type="cellIs" dxfId="16" priority="1" operator="greaterThan">
      <formula>0.8</formula>
    </cfRule>
    <cfRule type="cellIs" dxfId="15" priority="2" operator="between">
      <formula>0.7</formula>
      <formula>0.8</formula>
    </cfRule>
    <cfRule type="cellIs" dxfId="14" priority="3" operator="lessThan">
      <formula>0.71</formula>
    </cfRule>
  </conditionalFormatting>
  <conditionalFormatting sqref="B75">
    <cfRule type="containsText" dxfId="13" priority="22" operator="containsText" text="N">
      <formula>NOT(ISERROR(SEARCH("N",B75)))</formula>
    </cfRule>
    <cfRule type="containsText" dxfId="12" priority="23" operator="containsText" text="Y">
      <formula>NOT(ISERROR(SEARCH("Y",B75)))</formula>
    </cfRule>
  </conditionalFormatting>
  <conditionalFormatting sqref="B79:B80">
    <cfRule type="containsText" dxfId="11" priority="20" operator="containsText" text="N">
      <formula>NOT(ISERROR(SEARCH("N",B79)))</formula>
    </cfRule>
    <cfRule type="containsText" dxfId="10" priority="21" operator="containsText" text="Y">
      <formula>NOT(ISERROR(SEARCH("Y",B79)))</formula>
    </cfRule>
  </conditionalFormatting>
  <conditionalFormatting sqref="B84">
    <cfRule type="containsText" dxfId="9" priority="18" operator="containsText" text="N">
      <formula>NOT(ISERROR(SEARCH("N",B84)))</formula>
    </cfRule>
    <cfRule type="containsText" dxfId="8" priority="19" operator="containsText" text="Y">
      <formula>NOT(ISERROR(SEARCH("Y",B84)))</formula>
    </cfRule>
  </conditionalFormatting>
  <conditionalFormatting sqref="B23:C23">
    <cfRule type="cellIs" dxfId="7" priority="15" operator="lessThan">
      <formula>$B$22</formula>
    </cfRule>
    <cfRule type="cellIs" dxfId="6" priority="16" operator="equal">
      <formula>$B$22</formula>
    </cfRule>
    <cfRule type="cellIs" dxfId="5" priority="17" operator="greaterThan">
      <formula>$B$22</formula>
    </cfRule>
  </conditionalFormatting>
  <conditionalFormatting sqref="C1:C2">
    <cfRule type="containsText" dxfId="4" priority="8" operator="containsText" text="Mayyybe">
      <formula>NOT(ISERROR(SEARCH("Mayyybe",C1)))</formula>
    </cfRule>
    <cfRule type="containsText" dxfId="3" priority="9" operator="containsText" text="GOLDEN">
      <formula>NOT(ISERROR(SEARCH("GOLDEN",C1)))</formula>
    </cfRule>
    <cfRule type="containsText" dxfId="2" priority="10" operator="containsText" text="NOPE">
      <formula>NOT(ISERROR(SEARCH("NOPE",C1)))</formula>
    </cfRule>
  </conditionalFormatting>
  <conditionalFormatting sqref="G1">
    <cfRule type="cellIs" dxfId="1" priority="7" operator="greaterThan">
      <formula>$B$11</formula>
    </cfRule>
  </conditionalFormatting>
  <hyperlinks>
    <hyperlink ref="B4" r:id="rId1" xr:uid="{2C3B831C-6096-4980-A8F0-F971B1C19E31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072F9-082B-4473-80B2-754B64A36A13}">
  <sheetPr codeName="Sheet6"/>
  <dimension ref="A2:C9"/>
  <sheetViews>
    <sheetView workbookViewId="0">
      <selection activeCell="C6" sqref="C6"/>
    </sheetView>
  </sheetViews>
  <sheetFormatPr defaultRowHeight="14.5"/>
  <cols>
    <col min="1" max="1" width="8.90625" style="13"/>
  </cols>
  <sheetData>
    <row r="2" spans="1:3">
      <c r="A2" s="13" t="s">
        <v>75</v>
      </c>
      <c r="B2" t="s">
        <v>76</v>
      </c>
    </row>
    <row r="3" spans="1:3">
      <c r="A3" s="13" t="s">
        <v>77</v>
      </c>
      <c r="B3" t="s">
        <v>68</v>
      </c>
    </row>
    <row r="4" spans="1:3">
      <c r="C4" t="s">
        <v>69</v>
      </c>
    </row>
    <row r="5" spans="1:3">
      <c r="C5" t="s">
        <v>70</v>
      </c>
    </row>
    <row r="6" spans="1:3">
      <c r="C6" t="s">
        <v>71</v>
      </c>
    </row>
    <row r="7" spans="1:3">
      <c r="C7" t="s">
        <v>72</v>
      </c>
    </row>
    <row r="8" spans="1:3">
      <c r="C8" t="s">
        <v>73</v>
      </c>
    </row>
    <row r="9" spans="1:3">
      <c r="C9" t="s">
        <v>74</v>
      </c>
    </row>
  </sheetData>
  <conditionalFormatting sqref="A1:A1048576">
    <cfRule type="containsText" dxfId="0" priority="1" operator="containsText" text="SUS">
      <formula>NOT(ISERROR(SEARCH("SUS",A1)))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70% Rule F&amp;F</vt:lpstr>
      <vt:lpstr>3204 W. 71st Str.</vt:lpstr>
      <vt:lpstr>7200 Clark Ave, CLE OH 44102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 Joshua  Hellsing</dc:creator>
  <cp:lastModifiedBy>Hellsing Ghrey</cp:lastModifiedBy>
  <dcterms:created xsi:type="dcterms:W3CDTF">2023-04-12T01:51:17Z</dcterms:created>
  <dcterms:modified xsi:type="dcterms:W3CDTF">2023-04-26T14:22:05Z</dcterms:modified>
</cp:coreProperties>
</file>