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5D380B9C-9891-4EB0-AA6F-CB82D2F9FB6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ntro Sheet" sheetId="1" r:id="rId1"/>
    <sheet name="Index" sheetId="2" r:id="rId2"/>
    <sheet name="Flags 1 P" sheetId="6" r:id="rId3"/>
    <sheet name="Flags 1 S" sheetId="8" r:id="rId4"/>
    <sheet name="Flags 2 P" sheetId="9" r:id="rId5"/>
    <sheet name="Flags 2 S" sheetId="7" r:id="rId6"/>
    <sheet name="Flags 3 P" sheetId="11" r:id="rId7"/>
    <sheet name="Flags 3 S" sheetId="10" r:id="rId8"/>
    <sheet name="ER P" sheetId="13" r:id="rId9"/>
    <sheet name="ER S" sheetId="12" r:id="rId10"/>
    <sheet name="BC P" sheetId="17" r:id="rId11"/>
    <sheet name="BC S" sheetId="16" r:id="rId12"/>
    <sheet name="DC P" sheetId="14" r:id="rId13"/>
    <sheet name="DC S" sheetId="15" r:id="rId14"/>
    <sheet name="CS P" sheetId="3" r:id="rId15"/>
    <sheet name="CS S" sheetId="19" r:id="rId16"/>
    <sheet name="WS P" sheetId="4" r:id="rId17"/>
    <sheet name="WS S" sheetId="5" r:id="rId18"/>
    <sheet name="LR P" sheetId="22" r:id="rId19"/>
    <sheet name="LR S" sheetId="21" r:id="rId20"/>
    <sheet name="VT P" sheetId="20" r:id="rId21"/>
    <sheet name="VT S" sheetId="18" r:id="rId22"/>
    <sheet name="IRR &amp; NPV P" sheetId="24" r:id="rId23"/>
    <sheet name="IRR &amp; NPV S" sheetId="23" r:id="rId24"/>
  </sheets>
  <definedNames>
    <definedName name="circ">'CS S'!$I$5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6" l="1"/>
  <c r="D14" i="16"/>
  <c r="D15" i="16" s="1"/>
  <c r="D16" i="16" s="1"/>
  <c r="E13" i="16" s="1"/>
  <c r="E16" i="16" s="1"/>
  <c r="F13" i="16" s="1"/>
  <c r="F16" i="16" s="1"/>
  <c r="G13" i="16" s="1"/>
  <c r="G16" i="16" s="1"/>
  <c r="H13" i="16" s="1"/>
  <c r="H16" i="16" s="1"/>
  <c r="E14" i="16"/>
  <c r="F14" i="16"/>
  <c r="F15" i="16" s="1"/>
  <c r="G14" i="16"/>
  <c r="H14" i="16"/>
  <c r="H15" i="16" s="1"/>
  <c r="E15" i="16"/>
  <c r="G15" i="16"/>
  <c r="D14" i="22" l="1"/>
  <c r="D12" i="9"/>
  <c r="C7" i="9"/>
  <c r="C19" i="22" l="1"/>
  <c r="D12" i="21"/>
  <c r="E12" i="21"/>
  <c r="F12" i="21"/>
  <c r="G12" i="21"/>
  <c r="G18" i="21" s="1"/>
  <c r="H12" i="21"/>
  <c r="I12" i="21"/>
  <c r="J12" i="21"/>
  <c r="K12" i="21"/>
  <c r="L12" i="21"/>
  <c r="L18" i="21" s="1"/>
  <c r="M12" i="21"/>
  <c r="M18" i="21" s="1"/>
  <c r="K18" i="21"/>
  <c r="D18" i="21"/>
  <c r="E18" i="21"/>
  <c r="F18" i="21"/>
  <c r="H18" i="21"/>
  <c r="I18" i="21"/>
  <c r="J18" i="21"/>
  <c r="C19" i="21"/>
  <c r="D14" i="21"/>
  <c r="E7" i="5"/>
  <c r="C12" i="5"/>
  <c r="E16" i="24" l="1"/>
  <c r="D18" i="23"/>
  <c r="C18" i="23"/>
  <c r="C21" i="23"/>
  <c r="E16" i="23"/>
  <c r="F16" i="23" s="1"/>
  <c r="G16" i="23" s="1"/>
  <c r="H16" i="23" s="1"/>
  <c r="H18" i="23" s="1"/>
  <c r="F16" i="24" l="1"/>
  <c r="F18" i="23"/>
  <c r="C19" i="23" s="1"/>
  <c r="E18" i="23"/>
  <c r="G18" i="23"/>
  <c r="D7" i="21"/>
  <c r="D7" i="22"/>
  <c r="G16" i="24" l="1"/>
  <c r="I12" i="24"/>
  <c r="I10" i="24"/>
  <c r="I8" i="24"/>
  <c r="L6" i="24"/>
  <c r="I6" i="24"/>
  <c r="D5" i="24"/>
  <c r="E5" i="24" s="1"/>
  <c r="F5" i="24" s="1"/>
  <c r="G5" i="24" s="1"/>
  <c r="J8" i="23"/>
  <c r="M8" i="23"/>
  <c r="M10" i="23"/>
  <c r="I8" i="23"/>
  <c r="I10" i="23"/>
  <c r="I12" i="23"/>
  <c r="I6" i="23"/>
  <c r="J12" i="23"/>
  <c r="M12" i="23" s="1"/>
  <c r="J10" i="23"/>
  <c r="J6" i="23"/>
  <c r="M6" i="23" s="1"/>
  <c r="D5" i="23"/>
  <c r="E5" i="23" s="1"/>
  <c r="F5" i="23" s="1"/>
  <c r="G5" i="23" s="1"/>
  <c r="B5" i="2"/>
  <c r="B6" i="2"/>
  <c r="B7" i="2"/>
  <c r="B8" i="2"/>
  <c r="B9" i="2"/>
  <c r="B10" i="2"/>
  <c r="B11" i="2"/>
  <c r="B12" i="2"/>
  <c r="B13" i="2"/>
  <c r="B14" i="2"/>
  <c r="D16" i="21"/>
  <c r="H16" i="24" l="1"/>
  <c r="D19" i="21"/>
  <c r="E16" i="21" s="1"/>
  <c r="E19" i="21" s="1"/>
  <c r="F16" i="21" s="1"/>
  <c r="F19" i="21" l="1"/>
  <c r="G16" i="21" s="1"/>
  <c r="G19" i="21" s="1"/>
  <c r="H16" i="21" s="1"/>
  <c r="H19" i="21" s="1"/>
  <c r="I16" i="21" s="1"/>
  <c r="I19" i="21" s="1"/>
  <c r="J16" i="21" s="1"/>
  <c r="J19" i="21" s="1"/>
  <c r="K16" i="21" s="1"/>
  <c r="K19" i="21" s="1"/>
  <c r="L16" i="21" s="1"/>
  <c r="L19" i="21" s="1"/>
  <c r="M16" i="21" s="1"/>
  <c r="M19" i="21" s="1"/>
  <c r="P14" i="18" l="1"/>
  <c r="P15" i="18"/>
  <c r="P16" i="18"/>
  <c r="P17" i="18"/>
  <c r="P18" i="18"/>
  <c r="P13" i="18"/>
  <c r="O18" i="18"/>
  <c r="O17" i="18"/>
  <c r="O16" i="18"/>
  <c r="O15" i="18"/>
  <c r="O14" i="18"/>
  <c r="O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13" i="18"/>
  <c r="H20" i="18" s="1"/>
  <c r="E10" i="19"/>
  <c r="E12" i="17" l="1"/>
  <c r="F12" i="17" s="1"/>
  <c r="G12" i="17" s="1"/>
  <c r="H12" i="17" s="1"/>
  <c r="E8" i="17"/>
  <c r="F8" i="17" s="1"/>
  <c r="G8" i="17" s="1"/>
  <c r="H8" i="17" s="1"/>
  <c r="E8" i="16"/>
  <c r="F8" i="16" s="1"/>
  <c r="G8" i="16" s="1"/>
  <c r="H8" i="16" s="1"/>
  <c r="E12" i="16"/>
  <c r="F12" i="16" s="1"/>
  <c r="G12" i="16" s="1"/>
  <c r="H12" i="16" s="1"/>
  <c r="D10" i="15"/>
  <c r="D13" i="15" s="1"/>
  <c r="E10" i="15" s="1"/>
  <c r="E13" i="15" s="1"/>
  <c r="F10" i="15" s="1"/>
  <c r="F13" i="15" s="1"/>
  <c r="G10" i="15" s="1"/>
  <c r="G13" i="15" s="1"/>
  <c r="H10" i="15" s="1"/>
  <c r="H13" i="15" s="1"/>
  <c r="I10" i="15" s="1"/>
  <c r="I13" i="15" s="1"/>
  <c r="J10" i="15" s="1"/>
  <c r="J13" i="15" s="1"/>
  <c r="K10" i="15" s="1"/>
  <c r="K13" i="15" s="1"/>
  <c r="L10" i="15" s="1"/>
  <c r="L13" i="15" s="1"/>
  <c r="M10" i="15" s="1"/>
  <c r="M13" i="15" s="1"/>
  <c r="E8" i="15"/>
  <c r="F8" i="15" s="1"/>
  <c r="G8" i="15" s="1"/>
  <c r="H8" i="15" s="1"/>
  <c r="I8" i="15" s="1"/>
  <c r="J8" i="15" s="1"/>
  <c r="K8" i="15" s="1"/>
  <c r="L8" i="15" s="1"/>
  <c r="M8" i="15" s="1"/>
  <c r="E8" i="14"/>
  <c r="F8" i="14" s="1"/>
  <c r="G8" i="14" s="1"/>
  <c r="H8" i="14" s="1"/>
  <c r="I8" i="14" s="1"/>
  <c r="J8" i="14" s="1"/>
  <c r="K8" i="14" s="1"/>
  <c r="L8" i="14" s="1"/>
  <c r="M8" i="14" s="1"/>
  <c r="D16" i="13"/>
  <c r="D22" i="13"/>
  <c r="E22" i="12"/>
  <c r="D22" i="12"/>
  <c r="D16" i="12"/>
  <c r="E16" i="12" s="1"/>
  <c r="F16" i="12" s="1"/>
  <c r="G16" i="12" s="1"/>
  <c r="H16" i="12" s="1"/>
  <c r="E11" i="12"/>
  <c r="F11" i="12"/>
  <c r="G11" i="12"/>
  <c r="H11" i="12"/>
  <c r="D11" i="12"/>
  <c r="E10" i="10" l="1"/>
  <c r="E12" i="10" s="1"/>
  <c r="F10" i="10"/>
  <c r="F12" i="10" s="1"/>
  <c r="G10" i="10"/>
  <c r="G12" i="10" s="1"/>
  <c r="H10" i="10"/>
  <c r="H12" i="10" s="1"/>
  <c r="I10" i="10"/>
  <c r="I12" i="10" s="1"/>
  <c r="J10" i="10"/>
  <c r="J12" i="10" s="1"/>
  <c r="K10" i="10"/>
  <c r="K12" i="10" s="1"/>
  <c r="L10" i="10"/>
  <c r="L12" i="10" s="1"/>
  <c r="M10" i="10"/>
  <c r="M12" i="10" s="1"/>
  <c r="N10" i="10"/>
  <c r="N12" i="10" s="1"/>
  <c r="O10" i="10"/>
  <c r="O12" i="10" s="1"/>
  <c r="D10" i="10"/>
  <c r="D12" i="10" s="1"/>
  <c r="D5" i="10"/>
  <c r="D5" i="11"/>
  <c r="D12" i="7"/>
  <c r="D13" i="7" s="1"/>
  <c r="D17" i="7" s="1"/>
  <c r="C7" i="7"/>
  <c r="D16" i="8"/>
  <c r="E16" i="8"/>
  <c r="F16" i="8"/>
  <c r="G16" i="8"/>
  <c r="C16" i="8"/>
  <c r="D11" i="8"/>
  <c r="D13" i="8" s="1"/>
  <c r="E11" i="8"/>
  <c r="E13" i="8" s="1"/>
  <c r="F11" i="8"/>
  <c r="F13" i="8" s="1"/>
  <c r="G11" i="8"/>
  <c r="G13" i="8" s="1"/>
  <c r="C11" i="8"/>
  <c r="C13" i="8" s="1"/>
  <c r="D15" i="7" l="1"/>
  <c r="D21" i="7" s="1"/>
  <c r="D16" i="7"/>
  <c r="D19" i="7" s="1"/>
  <c r="E12" i="7"/>
  <c r="E13" i="7" s="1"/>
  <c r="D18" i="7" l="1"/>
  <c r="D22" i="7" s="1"/>
  <c r="D23" i="7" s="1"/>
  <c r="E17" i="7"/>
  <c r="E15" i="7"/>
  <c r="E21" i="7" s="1"/>
  <c r="E16" i="7"/>
  <c r="E19" i="7" s="1"/>
  <c r="F12" i="7"/>
  <c r="F13" i="7" s="1"/>
  <c r="E18" i="7" l="1"/>
  <c r="E22" i="7" s="1"/>
  <c r="E23" i="7" s="1"/>
  <c r="F17" i="7"/>
  <c r="F15" i="7"/>
  <c r="F21" i="7" s="1"/>
  <c r="F16" i="7"/>
  <c r="F19" i="7" s="1"/>
  <c r="G12" i="7"/>
  <c r="G13" i="7" s="1"/>
  <c r="D11" i="5"/>
  <c r="E28" i="5" s="1"/>
  <c r="D10" i="5"/>
  <c r="E23" i="5" s="1"/>
  <c r="D9" i="5"/>
  <c r="E18" i="5" s="1"/>
  <c r="F17" i="5" l="1"/>
  <c r="G17" i="7"/>
  <c r="F18" i="7"/>
  <c r="F22" i="7" s="1"/>
  <c r="F23" i="7" s="1"/>
  <c r="G15" i="7"/>
  <c r="G21" i="7" s="1"/>
  <c r="G16" i="7"/>
  <c r="G19" i="7" s="1"/>
  <c r="H12" i="7"/>
  <c r="H13" i="7" s="1"/>
  <c r="F20" i="5" l="1"/>
  <c r="F22" i="5" s="1"/>
  <c r="F23" i="5" s="1"/>
  <c r="F18" i="5"/>
  <c r="G18" i="7"/>
  <c r="G22" i="7" s="1"/>
  <c r="G23" i="7" s="1"/>
  <c r="H17" i="7"/>
  <c r="H15" i="7"/>
  <c r="H21" i="7" s="1"/>
  <c r="H16" i="7"/>
  <c r="I12" i="7"/>
  <c r="I13" i="7" s="1"/>
  <c r="G17" i="5" l="1"/>
  <c r="G18" i="5" s="1"/>
  <c r="H17" i="5" s="1"/>
  <c r="F25" i="5"/>
  <c r="F27" i="5" s="1"/>
  <c r="F28" i="5" s="1"/>
  <c r="H18" i="7"/>
  <c r="H22" i="7" s="1"/>
  <c r="H23" i="7" s="1"/>
  <c r="I17" i="7"/>
  <c r="H19" i="7"/>
  <c r="I15" i="7"/>
  <c r="I21" i="7" s="1"/>
  <c r="I16" i="7"/>
  <c r="I18" i="7" s="1"/>
  <c r="I22" i="7" s="1"/>
  <c r="J12" i="7"/>
  <c r="J13" i="7" s="1"/>
  <c r="G20" i="5" l="1"/>
  <c r="G22" i="5" s="1"/>
  <c r="G23" i="5" s="1"/>
  <c r="H18" i="5"/>
  <c r="H20" i="5"/>
  <c r="I19" i="7"/>
  <c r="J17" i="7"/>
  <c r="I23" i="7"/>
  <c r="J15" i="7"/>
  <c r="J21" i="7" s="1"/>
  <c r="J16" i="7"/>
  <c r="J19" i="7" s="1"/>
  <c r="G25" i="5" l="1"/>
  <c r="G27" i="5" s="1"/>
  <c r="G28" i="5" s="1"/>
  <c r="I17" i="5"/>
  <c r="I18" i="5"/>
  <c r="H22" i="5"/>
  <c r="H25" i="5" s="1"/>
  <c r="H27" i="5" s="1"/>
  <c r="H28" i="5" s="1"/>
  <c r="J18" i="7"/>
  <c r="J22" i="7" s="1"/>
  <c r="J23" i="7" s="1"/>
  <c r="E10" i="3"/>
  <c r="H23" i="5" l="1"/>
  <c r="J17" i="5"/>
  <c r="I20" i="5"/>
  <c r="I22" i="5" s="1"/>
  <c r="B4" i="2"/>
  <c r="I23" i="5" l="1"/>
  <c r="I25" i="5"/>
  <c r="I27" i="5" s="1"/>
  <c r="I28" i="5" s="1"/>
  <c r="J20" i="5"/>
  <c r="J18" i="5"/>
  <c r="E13" i="19"/>
  <c r="E14" i="19" s="1"/>
  <c r="E16" i="19" s="1"/>
  <c r="J22" i="5" l="1"/>
  <c r="J25" i="5" s="1"/>
  <c r="J27" i="5" s="1"/>
  <c r="J28" i="5" s="1"/>
  <c r="J23" i="5" l="1"/>
  <c r="E14" i="3" l="1"/>
  <c r="E16" i="3" s="1"/>
</calcChain>
</file>

<file path=xl/sharedStrings.xml><?xml version="1.0" encoding="utf-8"?>
<sst xmlns="http://schemas.openxmlformats.org/spreadsheetml/2006/main" count="438" uniqueCount="192">
  <si>
    <t>Project Finance Financial Modeling</t>
  </si>
  <si>
    <t xml:space="preserve">STRICTLY PRIVATE AND CONFIDENTIAL
</t>
  </si>
  <si>
    <r>
      <rPr>
        <b/>
        <i/>
        <sz val="11"/>
        <color theme="1"/>
        <rFont val="Calibri"/>
        <family val="2"/>
        <scheme val="minor"/>
      </rPr>
      <t>Disclaimer:</t>
    </r>
    <r>
      <rPr>
        <i/>
        <sz val="11"/>
        <color theme="1"/>
        <rFont val="Calibri"/>
        <family val="2"/>
        <scheme val="minor"/>
      </rPr>
      <t> This Financial Model is created solely for the purpose of education. No strategy, stock, commodity, fund or any other security discussed here is any way a recommendation for trading or investing. Please take advise of certified financial advisers before trading or investing.</t>
    </r>
  </si>
  <si>
    <t>Index</t>
  </si>
  <si>
    <t>Sr. No.</t>
  </si>
  <si>
    <t>Particulars</t>
  </si>
  <si>
    <t>Depreciation Cap</t>
  </si>
  <si>
    <t>IRR</t>
  </si>
  <si>
    <t>Loan Repayment</t>
  </si>
  <si>
    <t>Solution</t>
  </si>
  <si>
    <t>Click</t>
  </si>
  <si>
    <t>CAPEX</t>
  </si>
  <si>
    <t>US$ mn</t>
  </si>
  <si>
    <t>Land &amp; Building</t>
  </si>
  <si>
    <t>Dam complex</t>
  </si>
  <si>
    <t>Water conductor system</t>
  </si>
  <si>
    <t>Power house complex</t>
  </si>
  <si>
    <t>A</t>
  </si>
  <si>
    <t>% of Project Cost i.e. A+B</t>
  </si>
  <si>
    <t>Loan Syndication fees</t>
  </si>
  <si>
    <t>B</t>
  </si>
  <si>
    <t>Project Cost</t>
  </si>
  <si>
    <t>A+B</t>
  </si>
  <si>
    <t>Total Capex or Funds required</t>
  </si>
  <si>
    <t>Equity</t>
  </si>
  <si>
    <t>Debt</t>
  </si>
  <si>
    <t>Govt. Grant</t>
  </si>
  <si>
    <t>Waterfall Structure</t>
  </si>
  <si>
    <t>Equity Utilized</t>
  </si>
  <si>
    <t>Equity Available</t>
  </si>
  <si>
    <t>Debt Utilized</t>
  </si>
  <si>
    <t>Debt Available</t>
  </si>
  <si>
    <t>Grant Utilized</t>
  </si>
  <si>
    <t>Grant Available</t>
  </si>
  <si>
    <t>Circularity Switch</t>
  </si>
  <si>
    <t>VLOOKUP with True</t>
  </si>
  <si>
    <t>Practice</t>
  </si>
  <si>
    <t>Base Calculation</t>
  </si>
  <si>
    <t>Holiday Expense</t>
  </si>
  <si>
    <t>Holiday Expense Flag</t>
  </si>
  <si>
    <t>One-time registration fee</t>
  </si>
  <si>
    <t>Per day rental fee income</t>
  </si>
  <si>
    <t>FY Start</t>
  </si>
  <si>
    <t>FY End</t>
  </si>
  <si>
    <t>Start Flag</t>
  </si>
  <si>
    <t>Operation Flag</t>
  </si>
  <si>
    <t>Total No. of Days</t>
  </si>
  <si>
    <t>Days of Operation</t>
  </si>
  <si>
    <t>Rental fee income</t>
  </si>
  <si>
    <t>Franchise Fees</t>
  </si>
  <si>
    <t>Occurrence Flag</t>
  </si>
  <si>
    <r>
      <t xml:space="preserve">Flags 1 </t>
    </r>
    <r>
      <rPr>
        <sz val="9"/>
        <color theme="1"/>
        <rFont val="Calibri"/>
        <family val="2"/>
        <scheme val="minor"/>
      </rPr>
      <t>(Holiday Expense)</t>
    </r>
  </si>
  <si>
    <r>
      <t xml:space="preserve">Flags 2 </t>
    </r>
    <r>
      <rPr>
        <sz val="10"/>
        <color theme="1"/>
        <rFont val="Calibri"/>
        <family val="2"/>
        <scheme val="minor"/>
      </rPr>
      <t>(Start Date &amp; End Date)</t>
    </r>
  </si>
  <si>
    <r>
      <t xml:space="preserve">Flags 3 </t>
    </r>
    <r>
      <rPr>
        <sz val="10"/>
        <color theme="1"/>
        <rFont val="Calibri"/>
        <family val="2"/>
        <scheme val="minor"/>
      </rPr>
      <t>(Recurring Franchise Fees)</t>
    </r>
  </si>
  <si>
    <t>Escalation Rate</t>
  </si>
  <si>
    <t>Year 5 Operating Cost</t>
  </si>
  <si>
    <t>?</t>
  </si>
  <si>
    <t>Option 2</t>
  </si>
  <si>
    <t>Option 3</t>
  </si>
  <si>
    <t>Operating Cost</t>
  </si>
  <si>
    <t>Year 1 Operating Cost</t>
  </si>
  <si>
    <t>Option 1 - Model Standard</t>
  </si>
  <si>
    <t>Machinery Cost</t>
  </si>
  <si>
    <t>Annual Depreciation</t>
  </si>
  <si>
    <t>Accumulated Depreciation</t>
  </si>
  <si>
    <t>Opening (B)</t>
  </si>
  <si>
    <t>Addition (A)</t>
  </si>
  <si>
    <t>Subtraction (S)</t>
  </si>
  <si>
    <t>Closing (E)</t>
  </si>
  <si>
    <t>Forecasted Net Income</t>
  </si>
  <si>
    <t>Dividend Payout Ratio</t>
  </si>
  <si>
    <t>Year 1-5</t>
  </si>
  <si>
    <t>Retained Earnings (GBP)</t>
  </si>
  <si>
    <t xml:space="preserve">Last reported Retained Earnings is GBP 1,000. </t>
  </si>
  <si>
    <t>Build the Retained Earnings Schedule using the BASE approach</t>
  </si>
  <si>
    <r>
      <t xml:space="preserve">Flags 1 </t>
    </r>
    <r>
      <rPr>
        <b/>
        <sz val="10"/>
        <color theme="0"/>
        <rFont val="Calibri"/>
        <family val="2"/>
        <scheme val="minor"/>
      </rPr>
      <t>(Holiday Expense)</t>
    </r>
  </si>
  <si>
    <r>
      <t xml:space="preserve">Flags 2 </t>
    </r>
    <r>
      <rPr>
        <b/>
        <sz val="10"/>
        <color theme="0"/>
        <rFont val="Calibri"/>
        <family val="2"/>
        <scheme val="minor"/>
      </rPr>
      <t>(Start Date &amp; End Date)</t>
    </r>
  </si>
  <si>
    <r>
      <t xml:space="preserve">Flags 3 </t>
    </r>
    <r>
      <rPr>
        <b/>
        <sz val="10"/>
        <color theme="0"/>
        <rFont val="Calibri"/>
        <family val="2"/>
        <scheme val="minor"/>
      </rPr>
      <t>(Recurring Franchise Fees)</t>
    </r>
  </si>
  <si>
    <t>Disable Iterative Calculation before building CS</t>
  </si>
  <si>
    <t>Enable Iterative Calculation after building CS</t>
  </si>
  <si>
    <t>Note</t>
  </si>
  <si>
    <t>3 Conditions:</t>
  </si>
  <si>
    <t>- Ascending Order</t>
  </si>
  <si>
    <t>How many students received a "B" Grade?</t>
  </si>
  <si>
    <t>Name</t>
  </si>
  <si>
    <t>Rating</t>
  </si>
  <si>
    <t>Grade</t>
  </si>
  <si>
    <t>Ratings Range</t>
  </si>
  <si>
    <t>AbduSalaam, Ismael</t>
  </si>
  <si>
    <t>0-3</t>
  </si>
  <si>
    <t>E</t>
  </si>
  <si>
    <t>Abney, Jeffery</t>
  </si>
  <si>
    <t>3.1 to 3.5</t>
  </si>
  <si>
    <t>D</t>
  </si>
  <si>
    <t>Adams, Jennifer M</t>
  </si>
  <si>
    <t>3.6 to 4.0</t>
  </si>
  <si>
    <t>C</t>
  </si>
  <si>
    <t>Adams, Sally</t>
  </si>
  <si>
    <t>4.1 to 4.5</t>
  </si>
  <si>
    <t>Adams, Vanessa Y.</t>
  </si>
  <si>
    <t>4.6 to 4.9</t>
  </si>
  <si>
    <t>Alexander, Amy H.</t>
  </si>
  <si>
    <t>A+</t>
  </si>
  <si>
    <t>Allen, Rebecca</t>
  </si>
  <si>
    <t>Allen, Sharon</t>
  </si>
  <si>
    <t>Allen, William Brent</t>
  </si>
  <si>
    <t>Alligood, Cynthia</t>
  </si>
  <si>
    <t>Andrews, Darryl</t>
  </si>
  <si>
    <t>Applegate, Mary Alice</t>
  </si>
  <si>
    <t>Ashcraft, Lynn F.</t>
  </si>
  <si>
    <t>Avina III, Ross J.</t>
  </si>
  <si>
    <t>Baker, Jacalyn L.</t>
  </si>
  <si>
    <t>Ball, Ruth Ann</t>
  </si>
  <si>
    <t>Barber, Eva</t>
  </si>
  <si>
    <t>Barden, Nicky E.</t>
  </si>
  <si>
    <t>Barrett, Stephen</t>
  </si>
  <si>
    <t>Barry, Sheila C.</t>
  </si>
  <si>
    <t>Bartlett, David E.</t>
  </si>
  <si>
    <t>Bassett, John</t>
  </si>
  <si>
    <t>Basso, Daniel A.</t>
  </si>
  <si>
    <t>Batchelor, Frances</t>
  </si>
  <si>
    <t>Bates, Tieshai</t>
  </si>
  <si>
    <t>Bearden, Brian</t>
  </si>
  <si>
    <t>Bearden, Stacey M.</t>
  </si>
  <si>
    <t>Beatty, Michael A.</t>
  </si>
  <si>
    <t>Bennett, Cherie</t>
  </si>
  <si>
    <t>Bernardi, Courtney</t>
  </si>
  <si>
    <t>Bernhardt, Cindi</t>
  </si>
  <si>
    <t>Boone, Kimberly</t>
  </si>
  <si>
    <t>Born, Rebecca</t>
  </si>
  <si>
    <t>Boswell, Bill</t>
  </si>
  <si>
    <t>Bowden, Jada J.</t>
  </si>
  <si>
    <t>Bowie, Tarsha</t>
  </si>
  <si>
    <t>Bradshaw, Tammy</t>
  </si>
  <si>
    <t>Bragg, "Nancy" Gail</t>
  </si>
  <si>
    <t>Brown, Johari C</t>
  </si>
  <si>
    <t>Brown, Susan</t>
  </si>
  <si>
    <t>Broxton, Janice</t>
  </si>
  <si>
    <t>Bryant, Brenda L.</t>
  </si>
  <si>
    <t>Score &gt;=</t>
  </si>
  <si>
    <t>Score Slab</t>
  </si>
  <si>
    <t>Status</t>
  </si>
  <si>
    <t>Sample Scores</t>
  </si>
  <si>
    <t>0-39</t>
  </si>
  <si>
    <t>Fail</t>
  </si>
  <si>
    <t>40-59</t>
  </si>
  <si>
    <t>Pass with Div 2</t>
  </si>
  <si>
    <t>60-79</t>
  </si>
  <si>
    <t>Pass with Div 1</t>
  </si>
  <si>
    <t>80-89</t>
  </si>
  <si>
    <t>Distinction</t>
  </si>
  <si>
    <t>90-100</t>
  </si>
  <si>
    <t>Scholar</t>
  </si>
  <si>
    <t>Comparing VLOOKUP with True and Nested IF</t>
  </si>
  <si>
    <t>Loan Tenure (years)</t>
  </si>
  <si>
    <t>Moratorium Period (years)</t>
  </si>
  <si>
    <t>Operational Phase</t>
  </si>
  <si>
    <r>
      <rPr>
        <b/>
        <sz val="11"/>
        <color theme="1"/>
        <rFont val="Calibri"/>
        <family val="2"/>
        <scheme val="minor"/>
      </rPr>
      <t xml:space="preserve">Flag 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Repayment Years</t>
    </r>
  </si>
  <si>
    <t>Equated Yearly "Principal" Payment</t>
  </si>
  <si>
    <t>Subtraction/Repayment (S)</t>
  </si>
  <si>
    <t>Sum</t>
  </si>
  <si>
    <t>Disc. Rate</t>
  </si>
  <si>
    <t>NPV</t>
  </si>
  <si>
    <t>IRR &amp; NPV</t>
  </si>
  <si>
    <t>Choose Yr.</t>
  </si>
  <si>
    <t>Operational Yr.</t>
  </si>
  <si>
    <t>Frequency (yrs.)</t>
  </si>
  <si>
    <t>Yr. No.</t>
  </si>
  <si>
    <t>Funding Required by Equity</t>
  </si>
  <si>
    <t>Funding Required by Debt</t>
  </si>
  <si>
    <t>Funding Required by Grant</t>
  </si>
  <si>
    <t>Cash Flow</t>
  </si>
  <si>
    <t>Discounted Value</t>
  </si>
  <si>
    <t>Case 1</t>
  </si>
  <si>
    <t>Case 2</t>
  </si>
  <si>
    <t>Case 3</t>
  </si>
  <si>
    <t>Case 4</t>
  </si>
  <si>
    <t>Discount Rate</t>
  </si>
  <si>
    <t xml:space="preserve"> &lt;- Manual Calculation</t>
  </si>
  <si>
    <t xml:space="preserve"> &lt;- NPV Formula</t>
  </si>
  <si>
    <r>
      <t xml:space="preserve">Hydroelectric Power Plant
</t>
    </r>
    <r>
      <rPr>
        <b/>
        <sz val="18"/>
        <color theme="1"/>
        <rFont val="Calibri"/>
        <family val="2"/>
        <scheme val="minor"/>
      </rPr>
      <t>Component Model</t>
    </r>
  </si>
  <si>
    <t>Annual Escalation Rate</t>
  </si>
  <si>
    <t>Ideal Inc. has shared its expected net income for  the next 5 years. The expected dividend payout ratio for this horizon is 40%.</t>
  </si>
  <si>
    <t>Annual Depreciation Rate</t>
  </si>
  <si>
    <t>Loan Amount (USD)</t>
  </si>
  <si>
    <t>Construction Start Date</t>
  </si>
  <si>
    <t>Construction Pd. (months)</t>
  </si>
  <si>
    <t>Property Handover Date</t>
  </si>
  <si>
    <t>- Look up value has to be &gt;=</t>
  </si>
  <si>
    <t>- Slabs based on non-continuous values</t>
  </si>
  <si>
    <t>Prepared by</t>
  </si>
  <si>
    <t>Syed Zaid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</si>
</sst>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.0_);_(* \(#,##0.0\);_(* &quot;-&quot;??_);_(@_)"/>
    <numFmt numFmtId="166" formatCode="0.0%"/>
    <numFmt numFmtId="167" formatCode="_(* #,##0_);_(* \(#,##0\);_(* &quot;-&quot;??_);_(@_)"/>
    <numFmt numFmtId="168" formatCode="_(&quot;$&quot;* #,##0_);_(&quot;$&quot;* \(#,##0\);_(&quot;$&quot;* &quot;-&quot;??_);_(@_)"/>
    <numFmt numFmtId="169" formatCode="&quot;Year&quot;\ 0"/>
    <numFmt numFmtId="170" formatCode="0.0"/>
    <numFmt numFmtId="171" formatCode="#,##0.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color rgb="FF0000FF"/>
      <name val="Calibri"/>
      <family val="2"/>
    </font>
    <font>
      <b/>
      <sz val="10"/>
      <color theme="1"/>
      <name val="Calibri"/>
      <family val="2"/>
    </font>
    <font>
      <b/>
      <sz val="10"/>
      <color rgb="FF00B05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0000CC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u/>
      <sz val="11"/>
      <color rgb="FF0000CC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theme="4" tint="0.59999389629810485"/>
        <bgColor rgb="FFCCCC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22" fillId="0" borderId="0" applyNumberFormat="0" applyFill="0" applyBorder="0" applyAlignment="0" applyProtection="0"/>
    <xf numFmtId="0" fontId="10" fillId="0" borderId="0"/>
  </cellStyleXfs>
  <cellXfs count="201">
    <xf numFmtId="0" fontId="0" fillId="0" borderId="0" xfId="0"/>
    <xf numFmtId="0" fontId="0" fillId="3" borderId="0" xfId="0" applyFill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4" fillId="3" borderId="0" xfId="0" applyFont="1" applyFill="1"/>
    <xf numFmtId="0" fontId="15" fillId="2" borderId="11" xfId="0" applyFont="1" applyFill="1" applyBorder="1" applyAlignment="1">
      <alignment vertical="center"/>
    </xf>
    <xf numFmtId="164" fontId="0" fillId="0" borderId="0" xfId="1" applyNumberFormat="1" applyFont="1"/>
    <xf numFmtId="0" fontId="17" fillId="0" borderId="0" xfId="0" applyFont="1"/>
    <xf numFmtId="0" fontId="16" fillId="0" borderId="0" xfId="0" applyFont="1"/>
    <xf numFmtId="164" fontId="16" fillId="0" borderId="0" xfId="1" applyNumberFormat="1" applyFont="1"/>
    <xf numFmtId="15" fontId="18" fillId="6" borderId="12" xfId="0" applyNumberFormat="1" applyFont="1" applyFill="1" applyBorder="1" applyAlignment="1">
      <alignment horizontal="left" wrapText="1"/>
    </xf>
    <xf numFmtId="164" fontId="18" fillId="6" borderId="12" xfId="1" applyNumberFormat="1" applyFont="1" applyFill="1" applyBorder="1" applyAlignment="1">
      <alignment horizontal="right"/>
    </xf>
    <xf numFmtId="0" fontId="17" fillId="0" borderId="12" xfId="0" applyFont="1" applyBorder="1"/>
    <xf numFmtId="164" fontId="19" fillId="7" borderId="15" xfId="1" applyNumberFormat="1" applyFont="1" applyFill="1" applyBorder="1"/>
    <xf numFmtId="164" fontId="19" fillId="7" borderId="12" xfId="1" applyNumberFormat="1" applyFont="1" applyFill="1" applyBorder="1"/>
    <xf numFmtId="164" fontId="20" fillId="0" borderId="12" xfId="1" applyNumberFormat="1" applyFont="1" applyBorder="1"/>
    <xf numFmtId="0" fontId="21" fillId="0" borderId="0" xfId="0" applyFont="1" applyAlignment="1">
      <alignment horizontal="center"/>
    </xf>
    <xf numFmtId="165" fontId="20" fillId="0" borderId="0" xfId="1" applyNumberFormat="1" applyFont="1" applyBorder="1"/>
    <xf numFmtId="164" fontId="18" fillId="6" borderId="12" xfId="1" applyNumberFormat="1" applyFont="1" applyFill="1" applyBorder="1" applyAlignment="1">
      <alignment horizontal="right" wrapText="1"/>
    </xf>
    <xf numFmtId="0" fontId="0" fillId="0" borderId="12" xfId="0" applyFont="1" applyBorder="1"/>
    <xf numFmtId="166" fontId="19" fillId="7" borderId="12" xfId="3" applyNumberFormat="1" applyFont="1" applyFill="1" applyBorder="1"/>
    <xf numFmtId="164" fontId="16" fillId="0" borderId="12" xfId="1" applyNumberFormat="1" applyFont="1" applyBorder="1"/>
    <xf numFmtId="167" fontId="16" fillId="0" borderId="0" xfId="1" applyNumberFormat="1" applyFont="1"/>
    <xf numFmtId="0" fontId="20" fillId="0" borderId="0" xfId="0" applyFont="1" applyAlignment="1">
      <alignment horizontal="right"/>
    </xf>
    <xf numFmtId="164" fontId="20" fillId="8" borderId="12" xfId="1" applyNumberFormat="1" applyFont="1" applyFill="1" applyBorder="1"/>
    <xf numFmtId="15" fontId="18" fillId="6" borderId="12" xfId="0" applyNumberFormat="1" applyFont="1" applyFill="1" applyBorder="1" applyAlignment="1">
      <alignment horizontal="left"/>
    </xf>
    <xf numFmtId="0" fontId="22" fillId="0" borderId="0" xfId="5"/>
    <xf numFmtId="0" fontId="0" fillId="0" borderId="0" xfId="0" applyFill="1"/>
    <xf numFmtId="0" fontId="4" fillId="0" borderId="12" xfId="0" applyFont="1" applyFill="1" applyBorder="1"/>
    <xf numFmtId="0" fontId="4" fillId="0" borderId="0" xfId="0" applyFont="1" applyFill="1"/>
    <xf numFmtId="0" fontId="23" fillId="0" borderId="0" xfId="0" applyFont="1" applyFill="1"/>
    <xf numFmtId="168" fontId="24" fillId="7" borderId="12" xfId="2" applyNumberFormat="1" applyFont="1" applyFill="1" applyBorder="1"/>
    <xf numFmtId="167" fontId="24" fillId="7" borderId="12" xfId="1" applyNumberFormat="1" applyFont="1" applyFill="1" applyBorder="1"/>
    <xf numFmtId="0" fontId="3" fillId="0" borderId="0" xfId="0" applyFont="1" applyFill="1"/>
    <xf numFmtId="9" fontId="24" fillId="7" borderId="12" xfId="3" applyFont="1" applyFill="1" applyBorder="1"/>
    <xf numFmtId="167" fontId="3" fillId="0" borderId="12" xfId="1" applyNumberFormat="1" applyFont="1" applyFill="1" applyBorder="1"/>
    <xf numFmtId="9" fontId="3" fillId="0" borderId="0" xfId="3" applyFont="1" applyFill="1"/>
    <xf numFmtId="167" fontId="3" fillId="0" borderId="0" xfId="1" applyNumberFormat="1" applyFont="1" applyFill="1"/>
    <xf numFmtId="0" fontId="25" fillId="0" borderId="0" xfId="0" applyFont="1" applyFill="1"/>
    <xf numFmtId="167" fontId="0" fillId="0" borderId="0" xfId="1" applyNumberFormat="1" applyFont="1" applyFill="1"/>
    <xf numFmtId="167" fontId="0" fillId="0" borderId="12" xfId="1" applyNumberFormat="1" applyFont="1" applyFill="1" applyBorder="1"/>
    <xf numFmtId="167" fontId="4" fillId="0" borderId="9" xfId="1" applyNumberFormat="1" applyFont="1" applyFill="1" applyBorder="1"/>
    <xf numFmtId="167" fontId="4" fillId="0" borderId="0" xfId="1" applyNumberFormat="1" applyFont="1" applyFill="1"/>
    <xf numFmtId="0" fontId="4" fillId="0" borderId="12" xfId="0" applyFont="1" applyBorder="1"/>
    <xf numFmtId="0" fontId="0" fillId="0" borderId="12" xfId="0" applyBorder="1"/>
    <xf numFmtId="167" fontId="0" fillId="0" borderId="12" xfId="0" applyNumberFormat="1" applyBorder="1"/>
    <xf numFmtId="0" fontId="26" fillId="0" borderId="0" xfId="0" applyFont="1"/>
    <xf numFmtId="167" fontId="26" fillId="0" borderId="12" xfId="1" applyNumberFormat="1" applyFont="1" applyBorder="1"/>
    <xf numFmtId="15" fontId="27" fillId="7" borderId="12" xfId="0" applyNumberFormat="1" applyFont="1" applyFill="1" applyBorder="1"/>
    <xf numFmtId="0" fontId="28" fillId="7" borderId="12" xfId="0" applyFont="1" applyFill="1" applyBorder="1"/>
    <xf numFmtId="15" fontId="0" fillId="0" borderId="12" xfId="0" applyNumberFormat="1" applyBorder="1"/>
    <xf numFmtId="168" fontId="28" fillId="7" borderId="12" xfId="2" applyNumberFormat="1" applyFont="1" applyFill="1" applyBorder="1"/>
    <xf numFmtId="0" fontId="4" fillId="0" borderId="0" xfId="0" applyFont="1"/>
    <xf numFmtId="168" fontId="0" fillId="0" borderId="12" xfId="2" applyNumberFormat="1" applyFont="1" applyBorder="1"/>
    <xf numFmtId="15" fontId="28" fillId="7" borderId="12" xfId="0" applyNumberFormat="1" applyFont="1" applyFill="1" applyBorder="1"/>
    <xf numFmtId="167" fontId="0" fillId="0" borderId="12" xfId="1" applyNumberFormat="1" applyFont="1" applyBorder="1"/>
    <xf numFmtId="168" fontId="4" fillId="0" borderId="16" xfId="0" applyNumberFormat="1" applyFont="1" applyBorder="1"/>
    <xf numFmtId="0" fontId="0" fillId="0" borderId="0" xfId="0" applyFont="1"/>
    <xf numFmtId="0" fontId="24" fillId="9" borderId="13" xfId="0" applyFont="1" applyFill="1" applyBorder="1"/>
    <xf numFmtId="168" fontId="24" fillId="9" borderId="15" xfId="2" applyNumberFormat="1" applyFont="1" applyFill="1" applyBorder="1"/>
    <xf numFmtId="0" fontId="2" fillId="10" borderId="0" xfId="0" applyFont="1" applyFill="1"/>
    <xf numFmtId="0" fontId="5" fillId="10" borderId="0" xfId="0" applyFont="1" applyFill="1"/>
    <xf numFmtId="0" fontId="0" fillId="0" borderId="0" xfId="0" applyAlignment="1">
      <alignment horizontal="left" indent="2"/>
    </xf>
    <xf numFmtId="167" fontId="4" fillId="0" borderId="12" xfId="1" applyNumberFormat="1" applyFont="1" applyBorder="1"/>
    <xf numFmtId="167" fontId="1" fillId="0" borderId="12" xfId="2" applyNumberFormat="1" applyFont="1" applyBorder="1"/>
    <xf numFmtId="5" fontId="0" fillId="0" borderId="12" xfId="1" applyNumberFormat="1" applyFont="1" applyBorder="1"/>
    <xf numFmtId="167" fontId="0" fillId="0" borderId="12" xfId="2" applyNumberFormat="1" applyFont="1" applyBorder="1"/>
    <xf numFmtId="168" fontId="24" fillId="9" borderId="15" xfId="2" applyNumberFormat="1" applyFont="1" applyFill="1" applyBorder="1" applyAlignment="1">
      <alignment horizontal="center"/>
    </xf>
    <xf numFmtId="9" fontId="24" fillId="9" borderId="14" xfId="2" applyNumberFormat="1" applyFont="1" applyFill="1" applyBorder="1"/>
    <xf numFmtId="167" fontId="24" fillId="9" borderId="13" xfId="1" applyNumberFormat="1" applyFont="1" applyFill="1" applyBorder="1"/>
    <xf numFmtId="167" fontId="0" fillId="0" borderId="0" xfId="1" applyNumberFormat="1" applyFont="1"/>
    <xf numFmtId="167" fontId="0" fillId="0" borderId="0" xfId="1" applyNumberFormat="1" applyFont="1" applyBorder="1"/>
    <xf numFmtId="0" fontId="0" fillId="0" borderId="13" xfId="0" applyBorder="1"/>
    <xf numFmtId="167" fontId="0" fillId="0" borderId="13" xfId="1" applyNumberFormat="1" applyFont="1" applyBorder="1"/>
    <xf numFmtId="169" fontId="0" fillId="0" borderId="12" xfId="0" applyNumberFormat="1" applyBorder="1"/>
    <xf numFmtId="166" fontId="30" fillId="0" borderId="15" xfId="1" applyNumberFormat="1" applyFont="1" applyBorder="1"/>
    <xf numFmtId="167" fontId="1" fillId="0" borderId="12" xfId="1" applyNumberFormat="1" applyFont="1" applyBorder="1"/>
    <xf numFmtId="0" fontId="0" fillId="0" borderId="14" xfId="0" applyBorder="1"/>
    <xf numFmtId="0" fontId="0" fillId="0" borderId="15" xfId="0" applyBorder="1"/>
    <xf numFmtId="166" fontId="24" fillId="9" borderId="15" xfId="2" applyNumberFormat="1" applyFont="1" applyFill="1" applyBorder="1"/>
    <xf numFmtId="169" fontId="2" fillId="10" borderId="0" xfId="0" applyNumberFormat="1" applyFont="1" applyFill="1"/>
    <xf numFmtId="0" fontId="4" fillId="0" borderId="10" xfId="0" applyFont="1" applyBorder="1"/>
    <xf numFmtId="0" fontId="0" fillId="0" borderId="10" xfId="0" applyFont="1" applyBorder="1"/>
    <xf numFmtId="0" fontId="0" fillId="0" borderId="10" xfId="0" applyBorder="1"/>
    <xf numFmtId="0" fontId="4" fillId="0" borderId="7" xfId="0" applyFont="1" applyBorder="1"/>
    <xf numFmtId="0" fontId="0" fillId="0" borderId="7" xfId="0" applyBorder="1"/>
    <xf numFmtId="0" fontId="4" fillId="0" borderId="0" xfId="0" applyFont="1" applyBorder="1"/>
    <xf numFmtId="0" fontId="0" fillId="0" borderId="0" xfId="0" applyFont="1" applyBorder="1"/>
    <xf numFmtId="169" fontId="0" fillId="0" borderId="2" xfId="0" applyNumberFormat="1" applyBorder="1"/>
    <xf numFmtId="0" fontId="0" fillId="0" borderId="2" xfId="0" applyBorder="1"/>
    <xf numFmtId="167" fontId="4" fillId="0" borderId="7" xfId="1" applyNumberFormat="1" applyFont="1" applyBorder="1"/>
    <xf numFmtId="167" fontId="4" fillId="0" borderId="0" xfId="1" applyNumberFormat="1" applyFont="1"/>
    <xf numFmtId="166" fontId="24" fillId="9" borderId="12" xfId="2" applyNumberFormat="1" applyFont="1" applyFill="1" applyBorder="1"/>
    <xf numFmtId="167" fontId="24" fillId="9" borderId="12" xfId="1" applyNumberFormat="1" applyFont="1" applyFill="1" applyBorder="1"/>
    <xf numFmtId="0" fontId="0" fillId="0" borderId="2" xfId="0" applyBorder="1" applyAlignment="1">
      <alignment horizontal="right"/>
    </xf>
    <xf numFmtId="0" fontId="0" fillId="0" borderId="0" xfId="0" applyFill="1" applyBorder="1"/>
    <xf numFmtId="0" fontId="15" fillId="2" borderId="12" xfId="0" applyFont="1" applyFill="1" applyBorder="1" applyAlignment="1">
      <alignment horizontal="center" vertical="center"/>
    </xf>
    <xf numFmtId="15" fontId="18" fillId="6" borderId="12" xfId="0" applyNumberFormat="1" applyFont="1" applyFill="1" applyBorder="1" applyAlignment="1"/>
    <xf numFmtId="165" fontId="19" fillId="7" borderId="12" xfId="1" applyNumberFormat="1" applyFont="1" applyFill="1" applyBorder="1"/>
    <xf numFmtId="0" fontId="9" fillId="0" borderId="0" xfId="0" applyFont="1"/>
    <xf numFmtId="0" fontId="32" fillId="0" borderId="0" xfId="0" applyFont="1"/>
    <xf numFmtId="0" fontId="33" fillId="0" borderId="0" xfId="0" applyFont="1"/>
    <xf numFmtId="0" fontId="36" fillId="0" borderId="1" xfId="6" applyFont="1" applyBorder="1" applyProtection="1"/>
    <xf numFmtId="0" fontId="0" fillId="0" borderId="3" xfId="0" applyBorder="1"/>
    <xf numFmtId="0" fontId="37" fillId="0" borderId="4" xfId="6" quotePrefix="1" applyFont="1" applyBorder="1" applyProtection="1"/>
    <xf numFmtId="0" fontId="37" fillId="0" borderId="6" xfId="6" quotePrefix="1" applyFont="1" applyBorder="1" applyProtection="1"/>
    <xf numFmtId="0" fontId="0" fillId="0" borderId="8" xfId="0" applyBorder="1"/>
    <xf numFmtId="0" fontId="38" fillId="11" borderId="17" xfId="0" applyFont="1" applyFill="1" applyBorder="1"/>
    <xf numFmtId="170" fontId="38" fillId="11" borderId="17" xfId="0" applyNumberFormat="1" applyFont="1" applyFill="1" applyBorder="1" applyAlignment="1">
      <alignment horizontal="center"/>
    </xf>
    <xf numFmtId="0" fontId="35" fillId="0" borderId="0" xfId="6" applyFont="1" applyProtection="1"/>
    <xf numFmtId="0" fontId="34" fillId="3" borderId="17" xfId="0" applyFont="1" applyFill="1" applyBorder="1" applyAlignment="1">
      <alignment horizontal="center"/>
    </xf>
    <xf numFmtId="0" fontId="39" fillId="0" borderId="17" xfId="0" applyFont="1" applyBorder="1"/>
    <xf numFmtId="170" fontId="39" fillId="0" borderId="17" xfId="0" applyNumberFormat="1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40" fillId="14" borderId="12" xfId="0" applyFont="1" applyFill="1" applyBorder="1" applyAlignment="1">
      <alignment horizontal="center"/>
    </xf>
    <xf numFmtId="0" fontId="40" fillId="6" borderId="12" xfId="0" applyFont="1" applyFill="1" applyBorder="1" applyAlignment="1">
      <alignment horizontal="center"/>
    </xf>
    <xf numFmtId="0" fontId="40" fillId="6" borderId="12" xfId="0" applyFont="1" applyFill="1" applyBorder="1"/>
    <xf numFmtId="0" fontId="29" fillId="0" borderId="0" xfId="0" applyFont="1"/>
    <xf numFmtId="0" fontId="41" fillId="6" borderId="12" xfId="0" applyFont="1" applyFill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2" xfId="0" applyFont="1" applyBorder="1"/>
    <xf numFmtId="0" fontId="29" fillId="0" borderId="12" xfId="0" applyFont="1" applyBorder="1" applyAlignment="1">
      <alignment horizontal="left"/>
    </xf>
    <xf numFmtId="170" fontId="38" fillId="12" borderId="17" xfId="0" applyNumberFormat="1" applyFont="1" applyFill="1" applyBorder="1" applyAlignment="1">
      <alignment horizontal="center"/>
    </xf>
    <xf numFmtId="0" fontId="34" fillId="0" borderId="9" xfId="6" applyFont="1" applyBorder="1" applyProtection="1"/>
    <xf numFmtId="0" fontId="35" fillId="0" borderId="11" xfId="6" applyFont="1" applyBorder="1" applyProtection="1"/>
    <xf numFmtId="0" fontId="1" fillId="9" borderId="12" xfId="1" applyNumberFormat="1" applyFont="1" applyFill="1" applyBorder="1"/>
    <xf numFmtId="167" fontId="24" fillId="9" borderId="14" xfId="1" applyNumberFormat="1" applyFont="1" applyFill="1" applyBorder="1"/>
    <xf numFmtId="0" fontId="0" fillId="4" borderId="0" xfId="0" applyFill="1" applyBorder="1"/>
    <xf numFmtId="167" fontId="0" fillId="0" borderId="0" xfId="0" applyNumberFormat="1" applyBorder="1"/>
    <xf numFmtId="0" fontId="4" fillId="0" borderId="2" xfId="0" applyFont="1" applyBorder="1"/>
    <xf numFmtId="167" fontId="4" fillId="0" borderId="2" xfId="0" applyNumberFormat="1" applyFont="1" applyBorder="1"/>
    <xf numFmtId="167" fontId="4" fillId="0" borderId="7" xfId="0" applyNumberFormat="1" applyFont="1" applyBorder="1"/>
    <xf numFmtId="167" fontId="24" fillId="9" borderId="15" xfId="1" applyNumberFormat="1" applyFont="1" applyFill="1" applyBorder="1"/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9" fontId="0" fillId="0" borderId="0" xfId="0" applyNumberFormat="1"/>
    <xf numFmtId="166" fontId="0" fillId="0" borderId="0" xfId="0" applyNumberFormat="1"/>
    <xf numFmtId="0" fontId="0" fillId="0" borderId="1" xfId="0" applyBorder="1"/>
    <xf numFmtId="0" fontId="0" fillId="0" borderId="6" xfId="0" applyBorder="1"/>
    <xf numFmtId="0" fontId="2" fillId="2" borderId="12" xfId="0" applyFont="1" applyFill="1" applyBorder="1" applyAlignment="1">
      <alignment horizontal="right"/>
    </xf>
    <xf numFmtId="166" fontId="24" fillId="9" borderId="14" xfId="2" applyNumberFormat="1" applyFont="1" applyFill="1" applyBorder="1"/>
    <xf numFmtId="166" fontId="24" fillId="9" borderId="8" xfId="2" applyNumberFormat="1" applyFont="1" applyFill="1" applyBorder="1"/>
    <xf numFmtId="165" fontId="24" fillId="9" borderId="8" xfId="1" applyNumberFormat="1" applyFont="1" applyFill="1" applyBorder="1"/>
    <xf numFmtId="165" fontId="24" fillId="9" borderId="5" xfId="1" applyNumberFormat="1" applyFont="1" applyFill="1" applyBorder="1"/>
    <xf numFmtId="166" fontId="0" fillId="0" borderId="13" xfId="0" applyNumberFormat="1" applyBorder="1"/>
    <xf numFmtId="166" fontId="0" fillId="0" borderId="14" xfId="0" applyNumberFormat="1" applyBorder="1"/>
    <xf numFmtId="166" fontId="0" fillId="0" borderId="15" xfId="0" applyNumberFormat="1" applyBorder="1"/>
    <xf numFmtId="169" fontId="2" fillId="10" borderId="12" xfId="0" applyNumberFormat="1" applyFont="1" applyFill="1" applyBorder="1" applyAlignment="1">
      <alignment horizontal="right"/>
    </xf>
    <xf numFmtId="0" fontId="34" fillId="13" borderId="17" xfId="0" applyFont="1" applyFill="1" applyBorder="1" applyAlignment="1">
      <alignment horizontal="center"/>
    </xf>
    <xf numFmtId="0" fontId="4" fillId="2" borderId="0" xfId="0" applyFont="1" applyFill="1"/>
    <xf numFmtId="167" fontId="4" fillId="0" borderId="12" xfId="0" applyNumberFormat="1" applyFont="1" applyBorder="1"/>
    <xf numFmtId="41" fontId="4" fillId="0" borderId="15" xfId="0" applyNumberFormat="1" applyFont="1" applyBorder="1"/>
    <xf numFmtId="41" fontId="0" fillId="0" borderId="2" xfId="0" applyNumberFormat="1" applyBorder="1"/>
    <xf numFmtId="41" fontId="0" fillId="0" borderId="3" xfId="0" applyNumberFormat="1" applyBorder="1"/>
    <xf numFmtId="41" fontId="0" fillId="0" borderId="7" xfId="0" applyNumberFormat="1" applyBorder="1"/>
    <xf numFmtId="41" fontId="0" fillId="0" borderId="8" xfId="0" applyNumberFormat="1" applyBorder="1"/>
    <xf numFmtId="0" fontId="4" fillId="0" borderId="1" xfId="0" applyFont="1" applyBorder="1"/>
    <xf numFmtId="0" fontId="4" fillId="0" borderId="6" xfId="0" applyFont="1" applyBorder="1"/>
    <xf numFmtId="0" fontId="0" fillId="0" borderId="0" xfId="0" applyNumberFormat="1"/>
    <xf numFmtId="169" fontId="0" fillId="0" borderId="0" xfId="0" applyNumberFormat="1"/>
    <xf numFmtId="170" fontId="0" fillId="0" borderId="0" xfId="0" applyNumberFormat="1"/>
    <xf numFmtId="4" fontId="0" fillId="0" borderId="0" xfId="0" applyNumberFormat="1"/>
    <xf numFmtId="171" fontId="0" fillId="0" borderId="0" xfId="0" applyNumberFormat="1"/>
    <xf numFmtId="4" fontId="0" fillId="0" borderId="0" xfId="0" applyNumberFormat="1" applyFont="1"/>
    <xf numFmtId="0" fontId="42" fillId="0" borderId="14" xfId="5" applyFont="1" applyFill="1" applyBorder="1" applyAlignment="1">
      <alignment horizontal="center" vertical="center"/>
    </xf>
    <xf numFmtId="0" fontId="42" fillId="0" borderId="13" xfId="5" applyFont="1" applyFill="1" applyBorder="1" applyAlignment="1">
      <alignment horizontal="center" vertical="center"/>
    </xf>
    <xf numFmtId="0" fontId="42" fillId="0" borderId="15" xfId="5" applyFont="1" applyFill="1" applyBorder="1" applyAlignment="1">
      <alignment horizontal="center" vertical="center"/>
    </xf>
    <xf numFmtId="0" fontId="42" fillId="0" borderId="0" xfId="5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4" borderId="9" xfId="4" applyFont="1" applyFill="1" applyBorder="1" applyAlignment="1">
      <alignment horizontal="center" vertical="center"/>
    </xf>
    <xf numFmtId="0" fontId="11" fillId="4" borderId="10" xfId="4" applyFont="1" applyFill="1" applyBorder="1" applyAlignment="1">
      <alignment horizontal="center" vertical="center"/>
    </xf>
    <xf numFmtId="0" fontId="11" fillId="4" borderId="11" xfId="4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left" wrapText="1"/>
    </xf>
    <xf numFmtId="0" fontId="9" fillId="5" borderId="3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left" wrapText="1"/>
    </xf>
    <xf numFmtId="0" fontId="9" fillId="5" borderId="0" xfId="0" applyFont="1" applyFill="1" applyBorder="1" applyAlignment="1">
      <alignment horizontal="left" wrapText="1"/>
    </xf>
    <xf numFmtId="0" fontId="9" fillId="5" borderId="5" xfId="0" applyFont="1" applyFill="1" applyBorder="1" applyAlignment="1">
      <alignment horizontal="left" wrapText="1"/>
    </xf>
    <xf numFmtId="0" fontId="9" fillId="5" borderId="6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wrapText="1"/>
    </xf>
    <xf numFmtId="0" fontId="9" fillId="5" borderId="8" xfId="0" applyFont="1" applyFill="1" applyBorder="1" applyAlignment="1">
      <alignment horizontal="left" wrapText="1"/>
    </xf>
    <xf numFmtId="0" fontId="4" fillId="15" borderId="9" xfId="0" applyFont="1" applyFill="1" applyBorder="1" applyAlignment="1">
      <alignment horizontal="center"/>
    </xf>
    <xf numFmtId="0" fontId="4" fillId="15" borderId="10" xfId="0" applyFont="1" applyFill="1" applyBorder="1" applyAlignment="1">
      <alignment horizontal="center"/>
    </xf>
    <xf numFmtId="0" fontId="4" fillId="15" borderId="1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0" xfId="0" applyFont="1"/>
  </cellXfs>
  <cellStyles count="7">
    <cellStyle name="Comma" xfId="1" builtinId="3"/>
    <cellStyle name="Currency" xfId="2" builtinId="4"/>
    <cellStyle name="Hyperlink" xfId="5" builtinId="8"/>
    <cellStyle name="Normal" xfId="0" builtinId="0"/>
    <cellStyle name="Normal 2 11" xfId="4" xr:uid="{00000000-0005-0000-0000-000004000000}"/>
    <cellStyle name="Normal 4" xfId="6" xr:uid="{00000000-0005-0000-0000-000005000000}"/>
    <cellStyle name="Percent" xfId="3" builtinId="5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19051</xdr:colOff>
      <xdr:row>4</xdr:row>
      <xdr:rowOff>38100</xdr:rowOff>
    </xdr:from>
    <xdr:to>
      <xdr:col>10</xdr:col>
      <xdr:colOff>252791</xdr:colOff>
      <xdr:row>9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7051" y="800100"/>
          <a:ext cx="4119940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506363</xdr:colOff>
      <xdr:row>13</xdr:row>
      <xdr:rowOff>64294</xdr:rowOff>
    </xdr:from>
    <xdr:to>
      <xdr:col>3</xdr:col>
      <xdr:colOff>484585</xdr:colOff>
      <xdr:row>15</xdr:row>
      <xdr:rowOff>94059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2049413" y="2540794"/>
          <a:ext cx="587822" cy="410765"/>
        </a:xfrm>
        <a:custGeom>
          <a:avLst/>
          <a:gdLst>
            <a:gd name="connsiteX0" fmla="*/ 341362 w 341362"/>
            <a:gd name="connsiteY0" fmla="*/ 351234 h 351234"/>
            <a:gd name="connsiteX1" fmla="*/ 31799 w 341362"/>
            <a:gd name="connsiteY1" fmla="*/ 196453 h 351234"/>
            <a:gd name="connsiteX2" fmla="*/ 25846 w 341362"/>
            <a:gd name="connsiteY2" fmla="*/ 0 h 3512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41362" h="351234">
              <a:moveTo>
                <a:pt x="341362" y="351234"/>
              </a:moveTo>
              <a:cubicBezTo>
                <a:pt x="212873" y="303113"/>
                <a:pt x="84385" y="254992"/>
                <a:pt x="31799" y="196453"/>
              </a:cubicBezTo>
              <a:cubicBezTo>
                <a:pt x="-20787" y="137914"/>
                <a:pt x="2529" y="68957"/>
                <a:pt x="25846" y="0"/>
              </a:cubicBezTo>
            </a:path>
          </a:pathLst>
        </a:cu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27384</xdr:colOff>
      <xdr:row>13</xdr:row>
      <xdr:rowOff>22622</xdr:rowOff>
    </xdr:from>
    <xdr:to>
      <xdr:col>3</xdr:col>
      <xdr:colOff>529828</xdr:colOff>
      <xdr:row>15</xdr:row>
      <xdr:rowOff>16668</xdr:rowOff>
    </xdr:to>
    <xdr:sp macro="" textlink="">
      <xdr:nvSpPr>
        <xdr:cNvPr id="3" name="Freeform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2180034" y="2499122"/>
          <a:ext cx="502444" cy="375046"/>
        </a:xfrm>
        <a:custGeom>
          <a:avLst/>
          <a:gdLst>
            <a:gd name="connsiteX0" fmla="*/ 0 w 255984"/>
            <a:gd name="connsiteY0" fmla="*/ 0 h 315515"/>
            <a:gd name="connsiteX1" fmla="*/ 202406 w 255984"/>
            <a:gd name="connsiteY1" fmla="*/ 107156 h 315515"/>
            <a:gd name="connsiteX2" fmla="*/ 255984 w 255984"/>
            <a:gd name="connsiteY2" fmla="*/ 315515 h 3155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55984" h="315515">
              <a:moveTo>
                <a:pt x="0" y="0"/>
              </a:moveTo>
              <a:cubicBezTo>
                <a:pt x="79871" y="27285"/>
                <a:pt x="159742" y="54570"/>
                <a:pt x="202406" y="107156"/>
              </a:cubicBezTo>
              <a:cubicBezTo>
                <a:pt x="245070" y="159742"/>
                <a:pt x="250527" y="237628"/>
                <a:pt x="255984" y="315515"/>
              </a:cubicBezTo>
            </a:path>
          </a:pathLst>
        </a:cu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506363</xdr:colOff>
      <xdr:row>13</xdr:row>
      <xdr:rowOff>64294</xdr:rowOff>
    </xdr:from>
    <xdr:to>
      <xdr:col>3</xdr:col>
      <xdr:colOff>484585</xdr:colOff>
      <xdr:row>15</xdr:row>
      <xdr:rowOff>94059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049413" y="2540794"/>
          <a:ext cx="587822" cy="410765"/>
        </a:xfrm>
        <a:custGeom>
          <a:avLst/>
          <a:gdLst>
            <a:gd name="connsiteX0" fmla="*/ 341362 w 341362"/>
            <a:gd name="connsiteY0" fmla="*/ 351234 h 351234"/>
            <a:gd name="connsiteX1" fmla="*/ 31799 w 341362"/>
            <a:gd name="connsiteY1" fmla="*/ 196453 h 351234"/>
            <a:gd name="connsiteX2" fmla="*/ 25846 w 341362"/>
            <a:gd name="connsiteY2" fmla="*/ 0 h 3512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41362" h="351234">
              <a:moveTo>
                <a:pt x="341362" y="351234"/>
              </a:moveTo>
              <a:cubicBezTo>
                <a:pt x="212873" y="303113"/>
                <a:pt x="84385" y="254992"/>
                <a:pt x="31799" y="196453"/>
              </a:cubicBezTo>
              <a:cubicBezTo>
                <a:pt x="-20787" y="137914"/>
                <a:pt x="2529" y="68957"/>
                <a:pt x="25846" y="0"/>
              </a:cubicBezTo>
            </a:path>
          </a:pathLst>
        </a:cu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27384</xdr:colOff>
      <xdr:row>13</xdr:row>
      <xdr:rowOff>22622</xdr:rowOff>
    </xdr:from>
    <xdr:to>
      <xdr:col>3</xdr:col>
      <xdr:colOff>529828</xdr:colOff>
      <xdr:row>15</xdr:row>
      <xdr:rowOff>16668</xdr:rowOff>
    </xdr:to>
    <xdr:sp macro="" textlink="">
      <xdr:nvSpPr>
        <xdr:cNvPr id="3" name="Freeform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2180034" y="2499122"/>
          <a:ext cx="502444" cy="375046"/>
        </a:xfrm>
        <a:custGeom>
          <a:avLst/>
          <a:gdLst>
            <a:gd name="connsiteX0" fmla="*/ 0 w 255984"/>
            <a:gd name="connsiteY0" fmla="*/ 0 h 315515"/>
            <a:gd name="connsiteX1" fmla="*/ 202406 w 255984"/>
            <a:gd name="connsiteY1" fmla="*/ 107156 h 315515"/>
            <a:gd name="connsiteX2" fmla="*/ 255984 w 255984"/>
            <a:gd name="connsiteY2" fmla="*/ 315515 h 3155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55984" h="315515">
              <a:moveTo>
                <a:pt x="0" y="0"/>
              </a:moveTo>
              <a:cubicBezTo>
                <a:pt x="79871" y="27285"/>
                <a:pt x="159742" y="54570"/>
                <a:pt x="202406" y="107156"/>
              </a:cubicBezTo>
              <a:cubicBezTo>
                <a:pt x="245070" y="159742"/>
                <a:pt x="250527" y="237628"/>
                <a:pt x="255984" y="315515"/>
              </a:cubicBezTo>
            </a:path>
          </a:pathLst>
        </a:cu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3</xdr:row>
      <xdr:rowOff>142875</xdr:rowOff>
    </xdr:from>
    <xdr:to>
      <xdr:col>19</xdr:col>
      <xdr:colOff>76200</xdr:colOff>
      <xdr:row>9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3A416B-EB6A-406C-9543-A8E4E9285D34}"/>
            </a:ext>
          </a:extLst>
        </xdr:cNvPr>
        <xdr:cNvSpPr txBox="1"/>
      </xdr:nvSpPr>
      <xdr:spPr>
        <a:xfrm>
          <a:off x="9277350" y="714375"/>
          <a:ext cx="308610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IRR (Internal</a:t>
          </a:r>
          <a:r>
            <a:rPr lang="en-US" sz="1100" b="1" u="sng" baseline="0"/>
            <a:t> Rate of Return)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IRR is a measure of an investment’s rate of return.</a:t>
          </a:r>
        </a:p>
        <a:p>
          <a:r>
            <a:rPr lang="en-US" sz="1100"/>
            <a:t>• It is </a:t>
          </a:r>
          <a:r>
            <a:rPr lang="en-US" sz="1100" b="1"/>
            <a:t>the discount rate </a:t>
          </a:r>
          <a:r>
            <a:rPr lang="en-US" sz="1100"/>
            <a:t>that makes the net present value (NPV) of a project zero. </a:t>
          </a:r>
        </a:p>
      </xdr:txBody>
    </xdr:sp>
    <xdr:clientData/>
  </xdr:twoCellAnchor>
  <xdr:twoCellAnchor>
    <xdr:from>
      <xdr:col>14</xdr:col>
      <xdr:colOff>38100</xdr:colOff>
      <xdr:row>11</xdr:row>
      <xdr:rowOff>0</xdr:rowOff>
    </xdr:from>
    <xdr:to>
      <xdr:col>19</xdr:col>
      <xdr:colOff>76200</xdr:colOff>
      <xdr:row>18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CA6453-3E3B-4F5A-886D-3641DF284AAB}"/>
            </a:ext>
          </a:extLst>
        </xdr:cNvPr>
        <xdr:cNvSpPr txBox="1"/>
      </xdr:nvSpPr>
      <xdr:spPr>
        <a:xfrm>
          <a:off x="9277350" y="2095500"/>
          <a:ext cx="3086100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NPV (Net Present Value)</a:t>
          </a:r>
          <a:endParaRPr lang="en-US" sz="1100" b="1" u="sng" baseline="0"/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NPV is used in capital budgeting and investment planning to analyze the profitability of a projected investment or project.</a:t>
          </a:r>
        </a:p>
        <a:p>
          <a:r>
            <a:rPr lang="en-US" sz="1100"/>
            <a:t>• It is the difference between the present value of cash inflows and the present value of cash outflows over a period of time.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3</xdr:row>
      <xdr:rowOff>142875</xdr:rowOff>
    </xdr:from>
    <xdr:to>
      <xdr:col>19</xdr:col>
      <xdr:colOff>76200</xdr:colOff>
      <xdr:row>9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555DD50-670E-47C8-A4D7-6C34681945BE}"/>
            </a:ext>
          </a:extLst>
        </xdr:cNvPr>
        <xdr:cNvSpPr txBox="1"/>
      </xdr:nvSpPr>
      <xdr:spPr>
        <a:xfrm>
          <a:off x="9277350" y="714375"/>
          <a:ext cx="308610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IRR (Internal</a:t>
          </a:r>
          <a:r>
            <a:rPr lang="en-US" sz="1100" b="1" u="sng" baseline="0"/>
            <a:t> Rate of Return)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IRR is a measure of an investment’s rate of return.</a:t>
          </a:r>
        </a:p>
        <a:p>
          <a:r>
            <a:rPr lang="en-US" sz="1100"/>
            <a:t>• It is </a:t>
          </a:r>
          <a:r>
            <a:rPr lang="en-US" sz="1100" b="1"/>
            <a:t>the discount rate </a:t>
          </a:r>
          <a:r>
            <a:rPr lang="en-US" sz="1100"/>
            <a:t>that makes the net present value (NPV) of a project zero. </a:t>
          </a:r>
        </a:p>
      </xdr:txBody>
    </xdr:sp>
    <xdr:clientData/>
  </xdr:twoCellAnchor>
  <xdr:twoCellAnchor>
    <xdr:from>
      <xdr:col>14</xdr:col>
      <xdr:colOff>38100</xdr:colOff>
      <xdr:row>11</xdr:row>
      <xdr:rowOff>0</xdr:rowOff>
    </xdr:from>
    <xdr:to>
      <xdr:col>19</xdr:col>
      <xdr:colOff>76200</xdr:colOff>
      <xdr:row>18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EE54945-130E-4BDA-879C-698131EB19A4}"/>
            </a:ext>
          </a:extLst>
        </xdr:cNvPr>
        <xdr:cNvSpPr txBox="1"/>
      </xdr:nvSpPr>
      <xdr:spPr>
        <a:xfrm>
          <a:off x="9277350" y="2095500"/>
          <a:ext cx="3086100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NPV (Net Present Value)</a:t>
          </a:r>
          <a:endParaRPr lang="en-US" sz="1100" b="1" u="sng" baseline="0"/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NPV is used in capital budgeting and investment planning to analyze the profitability of a projected investment or project.</a:t>
          </a:r>
        </a:p>
        <a:p>
          <a:r>
            <a:rPr lang="en-US" sz="1100"/>
            <a:t>• It is the difference between the present value of cash inflows and the present value of cash outflows over a period of time.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2"/>
  <sheetViews>
    <sheetView showGridLines="0" tabSelected="1" workbookViewId="0"/>
  </sheetViews>
  <sheetFormatPr defaultColWidth="8.85546875" defaultRowHeight="15" x14ac:dyDescent="0.25"/>
  <cols>
    <col min="1" max="1" width="2.7109375" style="1" customWidth="1"/>
    <col min="2" max="16384" width="8.85546875" style="1"/>
  </cols>
  <sheetData>
    <row r="2" spans="2:11" ht="15" customHeight="1" x14ac:dyDescent="0.25">
      <c r="B2" s="172" t="s">
        <v>0</v>
      </c>
      <c r="C2" s="173"/>
      <c r="D2" s="173"/>
      <c r="E2" s="173"/>
      <c r="F2" s="173"/>
      <c r="G2" s="173"/>
      <c r="H2" s="173"/>
      <c r="I2" s="173"/>
      <c r="J2" s="173"/>
      <c r="K2" s="174"/>
    </row>
    <row r="3" spans="2:11" ht="15" customHeight="1" x14ac:dyDescent="0.25">
      <c r="B3" s="175"/>
      <c r="C3" s="176"/>
      <c r="D3" s="176"/>
      <c r="E3" s="176"/>
      <c r="F3" s="176"/>
      <c r="G3" s="176"/>
      <c r="H3" s="176"/>
      <c r="I3" s="176"/>
      <c r="J3" s="176"/>
      <c r="K3" s="177"/>
    </row>
    <row r="4" spans="2:11" ht="15" customHeight="1" x14ac:dyDescent="0.25">
      <c r="B4" s="175"/>
      <c r="C4" s="176"/>
      <c r="D4" s="176"/>
      <c r="E4" s="176"/>
      <c r="F4" s="176"/>
      <c r="G4" s="176"/>
      <c r="H4" s="176"/>
      <c r="I4" s="176"/>
      <c r="J4" s="176"/>
      <c r="K4" s="177"/>
    </row>
    <row r="5" spans="2:11" ht="15" customHeight="1" x14ac:dyDescent="0.25">
      <c r="B5" s="178"/>
      <c r="C5" s="179"/>
      <c r="D5" s="179"/>
      <c r="E5" s="179"/>
      <c r="F5" s="179"/>
      <c r="G5" s="179"/>
      <c r="H5" s="179"/>
      <c r="I5" s="179"/>
      <c r="J5" s="179"/>
      <c r="K5" s="180"/>
    </row>
    <row r="6" spans="2:11" x14ac:dyDescent="0.25">
      <c r="B6" s="2"/>
      <c r="C6" s="3"/>
      <c r="D6" s="3"/>
      <c r="E6" s="3"/>
      <c r="F6" s="3"/>
      <c r="G6" s="3"/>
      <c r="H6" s="3"/>
      <c r="I6" s="3"/>
      <c r="J6" s="3"/>
      <c r="K6" s="4"/>
    </row>
    <row r="7" spans="2:11" x14ac:dyDescent="0.25">
      <c r="B7" s="2"/>
      <c r="C7" s="3"/>
      <c r="D7" s="3"/>
      <c r="E7" s="3"/>
      <c r="F7" s="3"/>
      <c r="G7" s="3"/>
      <c r="H7" s="3"/>
      <c r="I7" s="3"/>
      <c r="J7" s="3"/>
      <c r="K7" s="4"/>
    </row>
    <row r="8" spans="2:11" x14ac:dyDescent="0.25">
      <c r="B8" s="2"/>
      <c r="C8" s="3"/>
      <c r="D8" s="3"/>
      <c r="E8" s="3"/>
      <c r="F8" s="3"/>
      <c r="G8" s="3"/>
      <c r="H8" s="3"/>
      <c r="I8" s="3"/>
      <c r="J8" s="3"/>
      <c r="K8" s="4"/>
    </row>
    <row r="9" spans="2:11" x14ac:dyDescent="0.25">
      <c r="B9" s="2"/>
      <c r="C9" s="3"/>
      <c r="D9" s="3"/>
      <c r="E9" s="3"/>
      <c r="F9" s="3"/>
      <c r="G9" s="3"/>
      <c r="H9" s="3"/>
      <c r="I9" s="3"/>
      <c r="J9" s="3"/>
      <c r="K9" s="4"/>
    </row>
    <row r="10" spans="2:11" ht="15" customHeight="1" x14ac:dyDescent="0.25">
      <c r="B10" s="2"/>
      <c r="C10" s="3"/>
      <c r="D10" s="181" t="s">
        <v>180</v>
      </c>
      <c r="E10" s="181"/>
      <c r="F10" s="181"/>
      <c r="G10" s="181"/>
      <c r="H10" s="181"/>
      <c r="I10" s="181"/>
      <c r="J10" s="3"/>
      <c r="K10" s="4"/>
    </row>
    <row r="11" spans="2:11" ht="15" customHeight="1" x14ac:dyDescent="0.25">
      <c r="B11" s="2"/>
      <c r="C11" s="3"/>
      <c r="D11" s="181"/>
      <c r="E11" s="181"/>
      <c r="F11" s="181"/>
      <c r="G11" s="181"/>
      <c r="H11" s="181"/>
      <c r="I11" s="181"/>
      <c r="J11" s="3"/>
      <c r="K11" s="4"/>
    </row>
    <row r="12" spans="2:11" ht="15" customHeight="1" x14ac:dyDescent="0.25">
      <c r="B12" s="2"/>
      <c r="C12" s="3"/>
      <c r="D12" s="181"/>
      <c r="E12" s="181"/>
      <c r="F12" s="181"/>
      <c r="G12" s="181"/>
      <c r="H12" s="181"/>
      <c r="I12" s="181"/>
      <c r="J12" s="3"/>
      <c r="K12" s="4"/>
    </row>
    <row r="13" spans="2:11" ht="15" customHeight="1" x14ac:dyDescent="0.25">
      <c r="B13" s="2"/>
      <c r="C13" s="3"/>
      <c r="D13" s="181"/>
      <c r="E13" s="181"/>
      <c r="F13" s="181"/>
      <c r="G13" s="181"/>
      <c r="H13" s="181"/>
      <c r="I13" s="181"/>
      <c r="J13" s="3"/>
      <c r="K13" s="4"/>
    </row>
    <row r="14" spans="2:11" x14ac:dyDescent="0.25">
      <c r="B14" s="2"/>
      <c r="C14" s="3"/>
      <c r="D14" s="3"/>
      <c r="E14" s="3"/>
      <c r="F14" s="3"/>
      <c r="G14" s="3"/>
      <c r="H14" s="3"/>
      <c r="I14" s="3"/>
      <c r="J14" s="3"/>
      <c r="K14" s="4"/>
    </row>
    <row r="15" spans="2:11" x14ac:dyDescent="0.25">
      <c r="B15" s="2"/>
      <c r="C15" s="3"/>
      <c r="D15" s="3"/>
      <c r="E15" s="3"/>
      <c r="F15" s="3"/>
      <c r="G15" s="3"/>
      <c r="H15" s="3"/>
      <c r="I15" s="3"/>
      <c r="J15" s="200" t="s">
        <v>190</v>
      </c>
      <c r="K15" s="4"/>
    </row>
    <row r="16" spans="2:11" x14ac:dyDescent="0.25">
      <c r="B16" s="2"/>
      <c r="C16" s="3"/>
      <c r="D16" s="3"/>
      <c r="E16" s="3"/>
      <c r="F16" s="3"/>
      <c r="G16" s="3"/>
      <c r="H16" s="3"/>
      <c r="I16" s="3"/>
      <c r="J16" s="100" t="s">
        <v>191</v>
      </c>
      <c r="K16" s="4"/>
    </row>
    <row r="17" spans="2:11" x14ac:dyDescent="0.25">
      <c r="B17" s="2"/>
      <c r="C17" s="3"/>
      <c r="D17" s="3"/>
      <c r="E17" s="3"/>
      <c r="F17" s="3"/>
      <c r="G17" s="3"/>
      <c r="H17" s="3"/>
      <c r="I17" s="3"/>
      <c r="J17" s="3"/>
      <c r="K17" s="4"/>
    </row>
    <row r="18" spans="2:11" x14ac:dyDescent="0.25">
      <c r="B18" s="182" t="s">
        <v>1</v>
      </c>
      <c r="C18" s="183"/>
      <c r="D18" s="183"/>
      <c r="E18" s="183"/>
      <c r="F18" s="183"/>
      <c r="G18" s="183"/>
      <c r="H18" s="183"/>
      <c r="I18" s="183"/>
      <c r="J18" s="183"/>
      <c r="K18" s="184"/>
    </row>
    <row r="20" spans="2:11" x14ac:dyDescent="0.25">
      <c r="B20" s="185" t="s">
        <v>2</v>
      </c>
      <c r="C20" s="186"/>
      <c r="D20" s="186"/>
      <c r="E20" s="186"/>
      <c r="F20" s="186"/>
      <c r="G20" s="186"/>
      <c r="H20" s="186"/>
      <c r="I20" s="186"/>
      <c r="J20" s="186"/>
      <c r="K20" s="187"/>
    </row>
    <row r="21" spans="2:11" x14ac:dyDescent="0.25">
      <c r="B21" s="188"/>
      <c r="C21" s="189"/>
      <c r="D21" s="189"/>
      <c r="E21" s="189"/>
      <c r="F21" s="189"/>
      <c r="G21" s="189"/>
      <c r="H21" s="189"/>
      <c r="I21" s="189"/>
      <c r="J21" s="189"/>
      <c r="K21" s="190"/>
    </row>
    <row r="22" spans="2:11" x14ac:dyDescent="0.25">
      <c r="B22" s="191"/>
      <c r="C22" s="192"/>
      <c r="D22" s="192"/>
      <c r="E22" s="192"/>
      <c r="F22" s="192"/>
      <c r="G22" s="192"/>
      <c r="H22" s="192"/>
      <c r="I22" s="192"/>
      <c r="J22" s="192"/>
      <c r="K22" s="193"/>
    </row>
  </sheetData>
  <mergeCells count="4">
    <mergeCell ref="B2:K5"/>
    <mergeCell ref="D10:I13"/>
    <mergeCell ref="B18:K18"/>
    <mergeCell ref="B20:K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2"/>
  <sheetViews>
    <sheetView showGridLines="0" workbookViewId="0"/>
  </sheetViews>
  <sheetFormatPr defaultRowHeight="15" x14ac:dyDescent="0.25"/>
  <cols>
    <col min="1" max="1" width="2.7109375" customWidth="1"/>
    <col min="2" max="2" width="25.7109375" customWidth="1"/>
    <col min="3" max="7" width="9.7109375" customWidth="1"/>
  </cols>
  <sheetData>
    <row r="1" spans="2:15" x14ac:dyDescent="0.25">
      <c r="B1" s="27" t="s">
        <v>3</v>
      </c>
    </row>
    <row r="3" spans="2:15" x14ac:dyDescent="0.25">
      <c r="B3" s="61" t="s">
        <v>54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s="73" t="s">
        <v>60</v>
      </c>
      <c r="C5" s="70">
        <v>10000</v>
      </c>
    </row>
    <row r="6" spans="2:15" x14ac:dyDescent="0.25">
      <c r="B6" s="78" t="s">
        <v>181</v>
      </c>
      <c r="C6" s="69">
        <v>0.05</v>
      </c>
    </row>
    <row r="7" spans="2:15" x14ac:dyDescent="0.25">
      <c r="B7" s="79" t="s">
        <v>55</v>
      </c>
      <c r="C7" s="68" t="s">
        <v>56</v>
      </c>
    </row>
    <row r="9" spans="2:15" x14ac:dyDescent="0.25">
      <c r="B9" s="61" t="s">
        <v>61</v>
      </c>
    </row>
    <row r="10" spans="2:15" x14ac:dyDescent="0.25">
      <c r="D10" s="75">
        <v>1</v>
      </c>
      <c r="E10" s="75">
        <v>2</v>
      </c>
      <c r="F10" s="75">
        <v>3</v>
      </c>
      <c r="G10" s="75">
        <v>4</v>
      </c>
      <c r="H10" s="75">
        <v>5</v>
      </c>
    </row>
    <row r="11" spans="2:15" x14ac:dyDescent="0.25">
      <c r="B11" s="53" t="s">
        <v>59</v>
      </c>
      <c r="D11" s="56">
        <f>$C$5*(1+$C$6)^C10</f>
        <v>10000</v>
      </c>
      <c r="E11" s="56">
        <f t="shared" ref="E11:H11" si="0">$C$5*(1+$C$6)^D10</f>
        <v>10500</v>
      </c>
      <c r="F11" s="56">
        <f t="shared" si="0"/>
        <v>11025</v>
      </c>
      <c r="G11" s="56">
        <f t="shared" si="0"/>
        <v>11576.250000000002</v>
      </c>
      <c r="H11" s="56">
        <f t="shared" si="0"/>
        <v>12155.0625</v>
      </c>
    </row>
    <row r="12" spans="2:15" x14ac:dyDescent="0.25">
      <c r="B12" s="58"/>
      <c r="C12" s="58"/>
      <c r="D12" s="58"/>
      <c r="E12" s="58"/>
      <c r="F12" s="58"/>
      <c r="G12" s="58"/>
      <c r="H12" s="58"/>
    </row>
    <row r="13" spans="2:15" x14ac:dyDescent="0.25">
      <c r="B13" s="58"/>
      <c r="C13" s="58"/>
      <c r="D13" s="58"/>
      <c r="E13" s="58"/>
      <c r="F13" s="58"/>
      <c r="G13" s="58"/>
      <c r="H13" s="58"/>
    </row>
    <row r="14" spans="2:15" x14ac:dyDescent="0.25">
      <c r="B14" s="61" t="s">
        <v>57</v>
      </c>
    </row>
    <row r="15" spans="2:15" x14ac:dyDescent="0.25">
      <c r="D15" s="75">
        <v>1</v>
      </c>
      <c r="E15" s="75">
        <v>2</v>
      </c>
      <c r="F15" s="75">
        <v>3</v>
      </c>
      <c r="G15" s="75">
        <v>4</v>
      </c>
      <c r="H15" s="75">
        <v>5</v>
      </c>
    </row>
    <row r="16" spans="2:15" x14ac:dyDescent="0.25">
      <c r="B16" s="53" t="s">
        <v>59</v>
      </c>
      <c r="D16" s="74">
        <f>$C$5</f>
        <v>10000</v>
      </c>
      <c r="E16" s="74">
        <f>D16*(1+E17)</f>
        <v>10500</v>
      </c>
      <c r="F16" s="74">
        <f t="shared" ref="F16:H16" si="1">E16*(1+F17)</f>
        <v>11025</v>
      </c>
      <c r="G16" s="74">
        <f t="shared" si="1"/>
        <v>11576.25</v>
      </c>
      <c r="H16" s="74">
        <f t="shared" si="1"/>
        <v>12155.0625</v>
      </c>
    </row>
    <row r="17" spans="2:8" x14ac:dyDescent="0.25">
      <c r="B17" s="53" t="s">
        <v>54</v>
      </c>
      <c r="D17" s="76">
        <v>0</v>
      </c>
      <c r="E17" s="76">
        <v>0.05</v>
      </c>
      <c r="F17" s="76">
        <v>0.05</v>
      </c>
      <c r="G17" s="76">
        <v>0.05</v>
      </c>
      <c r="H17" s="76">
        <v>0.05</v>
      </c>
    </row>
    <row r="20" spans="2:8" x14ac:dyDescent="0.25">
      <c r="B20" s="61" t="s">
        <v>58</v>
      </c>
    </row>
    <row r="21" spans="2:8" x14ac:dyDescent="0.25">
      <c r="D21" s="75">
        <v>1</v>
      </c>
      <c r="E21" s="75">
        <v>5</v>
      </c>
    </row>
    <row r="22" spans="2:8" x14ac:dyDescent="0.25">
      <c r="B22" s="53" t="s">
        <v>59</v>
      </c>
      <c r="D22" s="77">
        <f>C5</f>
        <v>10000</v>
      </c>
      <c r="E22" s="56">
        <f>D22*(1+C6)^4</f>
        <v>12155.0625</v>
      </c>
    </row>
  </sheetData>
  <hyperlinks>
    <hyperlink ref="B1" location="Index!A1" display="Index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O16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customWidth="1"/>
    <col min="3" max="7" width="9.7109375" customWidth="1"/>
    <col min="8" max="8" width="9.5703125" bestFit="1" customWidth="1"/>
  </cols>
  <sheetData>
    <row r="1" spans="2:15" x14ac:dyDescent="0.25">
      <c r="B1" s="27" t="s">
        <v>3</v>
      </c>
    </row>
    <row r="3" spans="2:15" x14ac:dyDescent="0.25">
      <c r="B3" s="61" t="s">
        <v>74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x14ac:dyDescent="0.25">
      <c r="B4" s="87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5" x14ac:dyDescent="0.25">
      <c r="B5" s="96" t="s">
        <v>182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2:15" x14ac:dyDescent="0.25">
      <c r="B6" s="3" t="s">
        <v>73</v>
      </c>
      <c r="C6" s="3"/>
      <c r="D6" s="3"/>
      <c r="E6" s="3"/>
      <c r="F6" s="3"/>
      <c r="G6" s="3"/>
      <c r="H6" s="3"/>
      <c r="I6" s="3"/>
      <c r="J6" s="3"/>
      <c r="K6" s="3"/>
      <c r="L6" s="3"/>
    </row>
    <row r="8" spans="2:15" x14ac:dyDescent="0.25">
      <c r="B8" s="90"/>
      <c r="C8" s="90"/>
      <c r="D8" s="89">
        <v>1</v>
      </c>
      <c r="E8" s="89">
        <f>D8+1</f>
        <v>2</v>
      </c>
      <c r="F8" s="89">
        <f t="shared" ref="F8:H8" si="0">E8+1</f>
        <v>3</v>
      </c>
      <c r="G8" s="89">
        <f t="shared" si="0"/>
        <v>4</v>
      </c>
      <c r="H8" s="89">
        <f t="shared" si="0"/>
        <v>5</v>
      </c>
      <c r="J8" s="90"/>
      <c r="K8" s="90"/>
      <c r="L8" s="90"/>
      <c r="M8" s="95" t="s">
        <v>71</v>
      </c>
    </row>
    <row r="9" spans="2:15" x14ac:dyDescent="0.25">
      <c r="B9" s="85" t="s">
        <v>69</v>
      </c>
      <c r="C9" s="86"/>
      <c r="D9" s="94">
        <v>150</v>
      </c>
      <c r="E9" s="94">
        <v>175</v>
      </c>
      <c r="F9" s="94">
        <v>200</v>
      </c>
      <c r="G9" s="94">
        <v>220</v>
      </c>
      <c r="H9" s="94">
        <v>250</v>
      </c>
      <c r="J9" s="85" t="s">
        <v>70</v>
      </c>
      <c r="K9" s="86"/>
      <c r="L9" s="86"/>
      <c r="M9" s="93">
        <v>0.4</v>
      </c>
    </row>
    <row r="10" spans="2:15" x14ac:dyDescent="0.25">
      <c r="B10" s="87"/>
      <c r="C10" s="3"/>
      <c r="D10" s="3"/>
      <c r="E10" s="3"/>
      <c r="F10" s="3"/>
      <c r="G10" s="3"/>
      <c r="H10" s="3"/>
      <c r="J10" s="3"/>
      <c r="K10" s="3"/>
      <c r="L10" s="3"/>
      <c r="M10" s="3"/>
    </row>
    <row r="12" spans="2:15" x14ac:dyDescent="0.25">
      <c r="B12" s="61" t="s">
        <v>72</v>
      </c>
      <c r="C12" s="61"/>
      <c r="D12" s="81">
        <v>1</v>
      </c>
      <c r="E12" s="81">
        <f>D12+1</f>
        <v>2</v>
      </c>
      <c r="F12" s="81">
        <f t="shared" ref="F12:H12" si="1">E12+1</f>
        <v>3</v>
      </c>
      <c r="G12" s="81">
        <f t="shared" si="1"/>
        <v>4</v>
      </c>
      <c r="H12" s="81">
        <f t="shared" si="1"/>
        <v>5</v>
      </c>
    </row>
    <row r="13" spans="2:15" x14ac:dyDescent="0.25">
      <c r="B13" s="53" t="s">
        <v>65</v>
      </c>
      <c r="C13" s="53"/>
      <c r="D13" s="92"/>
      <c r="E13" s="92"/>
      <c r="F13" s="92"/>
      <c r="G13" s="92"/>
      <c r="H13" s="92"/>
    </row>
    <row r="14" spans="2:15" x14ac:dyDescent="0.25">
      <c r="B14" s="58" t="s">
        <v>66</v>
      </c>
      <c r="C14" s="58"/>
      <c r="D14" s="71"/>
      <c r="E14" s="71"/>
      <c r="F14" s="71"/>
      <c r="G14" s="71"/>
      <c r="H14" s="71"/>
    </row>
    <row r="15" spans="2:15" s="3" customFormat="1" x14ac:dyDescent="0.25">
      <c r="B15" s="88" t="s">
        <v>67</v>
      </c>
      <c r="C15" s="88"/>
      <c r="D15" s="72"/>
      <c r="E15" s="72"/>
      <c r="F15" s="72"/>
      <c r="G15" s="72"/>
      <c r="H15" s="72"/>
    </row>
    <row r="16" spans="2:15" x14ac:dyDescent="0.25">
      <c r="B16" s="85" t="s">
        <v>68</v>
      </c>
      <c r="C16" s="91">
        <v>1000</v>
      </c>
      <c r="D16" s="91"/>
      <c r="E16" s="91"/>
      <c r="F16" s="91"/>
      <c r="G16" s="91"/>
      <c r="H16" s="91"/>
    </row>
  </sheetData>
  <hyperlinks>
    <hyperlink ref="B1" location="Index!A1" display="Index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O16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customWidth="1"/>
    <col min="3" max="7" width="9.7109375" customWidth="1"/>
    <col min="8" max="8" width="9.5703125" bestFit="1" customWidth="1"/>
  </cols>
  <sheetData>
    <row r="1" spans="2:15" x14ac:dyDescent="0.25">
      <c r="B1" s="27" t="s">
        <v>3</v>
      </c>
    </row>
    <row r="3" spans="2:15" x14ac:dyDescent="0.25">
      <c r="B3" s="61" t="s">
        <v>74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x14ac:dyDescent="0.25">
      <c r="B4" s="87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5" x14ac:dyDescent="0.25">
      <c r="B5" s="96" t="s">
        <v>182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2:15" x14ac:dyDescent="0.25">
      <c r="B6" s="3" t="s">
        <v>73</v>
      </c>
      <c r="C6" s="3"/>
      <c r="D6" s="3"/>
      <c r="E6" s="3"/>
      <c r="F6" s="3"/>
      <c r="G6" s="3"/>
      <c r="H6" s="3"/>
      <c r="I6" s="3"/>
      <c r="J6" s="3"/>
      <c r="K6" s="3"/>
      <c r="L6" s="3"/>
    </row>
    <row r="8" spans="2:15" x14ac:dyDescent="0.25">
      <c r="B8" s="90"/>
      <c r="C8" s="90"/>
      <c r="D8" s="89">
        <v>1</v>
      </c>
      <c r="E8" s="89">
        <f>D8+1</f>
        <v>2</v>
      </c>
      <c r="F8" s="89">
        <f t="shared" ref="F8:H8" si="0">E8+1</f>
        <v>3</v>
      </c>
      <c r="G8" s="89">
        <f t="shared" si="0"/>
        <v>4</v>
      </c>
      <c r="H8" s="89">
        <f t="shared" si="0"/>
        <v>5</v>
      </c>
      <c r="J8" s="90"/>
      <c r="K8" s="90"/>
      <c r="L8" s="90"/>
      <c r="M8" s="95" t="s">
        <v>71</v>
      </c>
    </row>
    <row r="9" spans="2:15" x14ac:dyDescent="0.25">
      <c r="B9" s="85" t="s">
        <v>69</v>
      </c>
      <c r="C9" s="86"/>
      <c r="D9" s="94">
        <v>150</v>
      </c>
      <c r="E9" s="94">
        <v>175</v>
      </c>
      <c r="F9" s="94">
        <v>200</v>
      </c>
      <c r="G9" s="94">
        <v>220</v>
      </c>
      <c r="H9" s="94">
        <v>250</v>
      </c>
      <c r="J9" s="85" t="s">
        <v>70</v>
      </c>
      <c r="K9" s="86"/>
      <c r="L9" s="86"/>
      <c r="M9" s="93">
        <v>0.4</v>
      </c>
    </row>
    <row r="10" spans="2:15" x14ac:dyDescent="0.25">
      <c r="B10" s="87"/>
      <c r="C10" s="3"/>
      <c r="D10" s="3"/>
      <c r="E10" s="3"/>
      <c r="F10" s="3"/>
      <c r="G10" s="3"/>
      <c r="H10" s="3"/>
      <c r="J10" s="3"/>
      <c r="K10" s="3"/>
      <c r="L10" s="3"/>
      <c r="M10" s="3"/>
    </row>
    <row r="12" spans="2:15" x14ac:dyDescent="0.25">
      <c r="B12" s="61" t="s">
        <v>72</v>
      </c>
      <c r="C12" s="61"/>
      <c r="D12" s="81">
        <v>1</v>
      </c>
      <c r="E12" s="81">
        <f>D12+1</f>
        <v>2</v>
      </c>
      <c r="F12" s="81">
        <f t="shared" ref="F12:H12" si="1">E12+1</f>
        <v>3</v>
      </c>
      <c r="G12" s="81">
        <f t="shared" si="1"/>
        <v>4</v>
      </c>
      <c r="H12" s="81">
        <f t="shared" si="1"/>
        <v>5</v>
      </c>
    </row>
    <row r="13" spans="2:15" x14ac:dyDescent="0.25">
      <c r="B13" s="53" t="s">
        <v>65</v>
      </c>
      <c r="C13" s="53"/>
      <c r="D13" s="92">
        <f>C16</f>
        <v>1000</v>
      </c>
      <c r="E13" s="92">
        <f t="shared" ref="E13:H13" si="2">D16</f>
        <v>1090</v>
      </c>
      <c r="F13" s="92">
        <f t="shared" si="2"/>
        <v>1195</v>
      </c>
      <c r="G13" s="92">
        <f t="shared" si="2"/>
        <v>1315</v>
      </c>
      <c r="H13" s="92">
        <f t="shared" si="2"/>
        <v>1447</v>
      </c>
    </row>
    <row r="14" spans="2:15" x14ac:dyDescent="0.25">
      <c r="B14" s="58" t="s">
        <v>66</v>
      </c>
      <c r="C14" s="58"/>
      <c r="D14" s="71">
        <f>D9</f>
        <v>150</v>
      </c>
      <c r="E14" s="71">
        <f t="shared" ref="E14:H14" si="3">E9</f>
        <v>175</v>
      </c>
      <c r="F14" s="71">
        <f t="shared" si="3"/>
        <v>200</v>
      </c>
      <c r="G14" s="71">
        <f t="shared" si="3"/>
        <v>220</v>
      </c>
      <c r="H14" s="71">
        <f t="shared" si="3"/>
        <v>250</v>
      </c>
    </row>
    <row r="15" spans="2:15" s="3" customFormat="1" x14ac:dyDescent="0.25">
      <c r="B15" s="88" t="s">
        <v>67</v>
      </c>
      <c r="C15" s="88"/>
      <c r="D15" s="72">
        <f>D14*$M$9</f>
        <v>60</v>
      </c>
      <c r="E15" s="72">
        <f t="shared" ref="E15:H15" si="4">E14*$M$9</f>
        <v>70</v>
      </c>
      <c r="F15" s="72">
        <f t="shared" si="4"/>
        <v>80</v>
      </c>
      <c r="G15" s="72">
        <f t="shared" si="4"/>
        <v>88</v>
      </c>
      <c r="H15" s="72">
        <f t="shared" si="4"/>
        <v>100</v>
      </c>
    </row>
    <row r="16" spans="2:15" x14ac:dyDescent="0.25">
      <c r="B16" s="85" t="s">
        <v>68</v>
      </c>
      <c r="C16" s="91">
        <v>1000</v>
      </c>
      <c r="D16" s="91">
        <f>D13+D14-D15</f>
        <v>1090</v>
      </c>
      <c r="E16" s="91">
        <f t="shared" ref="E16:H16" si="5">E13+E14-E15</f>
        <v>1195</v>
      </c>
      <c r="F16" s="91">
        <f t="shared" si="5"/>
        <v>1315</v>
      </c>
      <c r="G16" s="91">
        <f t="shared" si="5"/>
        <v>1447</v>
      </c>
      <c r="H16" s="91">
        <f t="shared" si="5"/>
        <v>1597</v>
      </c>
    </row>
  </sheetData>
  <hyperlinks>
    <hyperlink ref="B1" location="Index!A1" display="Index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O13"/>
  <sheetViews>
    <sheetView showGridLines="0" workbookViewId="0"/>
  </sheetViews>
  <sheetFormatPr defaultRowHeight="15" x14ac:dyDescent="0.25"/>
  <cols>
    <col min="1" max="1" width="2.7109375" customWidth="1"/>
    <col min="2" max="2" width="25.7109375" customWidth="1"/>
    <col min="3" max="7" width="9.7109375" customWidth="1"/>
  </cols>
  <sheetData>
    <row r="1" spans="2:15" x14ac:dyDescent="0.25">
      <c r="B1" s="27" t="s">
        <v>3</v>
      </c>
    </row>
    <row r="3" spans="2:15" x14ac:dyDescent="0.25">
      <c r="B3" s="61" t="s">
        <v>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s="73" t="s">
        <v>62</v>
      </c>
      <c r="C5" s="70">
        <v>20000</v>
      </c>
    </row>
    <row r="6" spans="2:15" x14ac:dyDescent="0.25">
      <c r="B6" s="79" t="s">
        <v>183</v>
      </c>
      <c r="C6" s="80">
        <v>0.2</v>
      </c>
    </row>
    <row r="8" spans="2:15" x14ac:dyDescent="0.25">
      <c r="B8" s="61"/>
      <c r="C8" s="61"/>
      <c r="D8" s="81">
        <v>1</v>
      </c>
      <c r="E8" s="81">
        <f>D8+1</f>
        <v>2</v>
      </c>
      <c r="F8" s="81">
        <f t="shared" ref="F8:M8" si="0">E8+1</f>
        <v>3</v>
      </c>
      <c r="G8" s="81">
        <f t="shared" si="0"/>
        <v>4</v>
      </c>
      <c r="H8" s="81">
        <f t="shared" si="0"/>
        <v>5</v>
      </c>
      <c r="I8" s="81">
        <f t="shared" si="0"/>
        <v>6</v>
      </c>
      <c r="J8" s="81">
        <f t="shared" si="0"/>
        <v>7</v>
      </c>
      <c r="K8" s="81">
        <f t="shared" si="0"/>
        <v>8</v>
      </c>
      <c r="L8" s="81">
        <f t="shared" si="0"/>
        <v>9</v>
      </c>
      <c r="M8" s="81">
        <f t="shared" si="0"/>
        <v>10</v>
      </c>
    </row>
    <row r="9" spans="2:15" x14ac:dyDescent="0.25">
      <c r="B9" s="53"/>
      <c r="C9" s="58"/>
      <c r="D9" s="58"/>
      <c r="E9" s="58"/>
      <c r="F9" s="58"/>
      <c r="G9" s="58"/>
      <c r="H9" s="58"/>
    </row>
    <row r="10" spans="2:15" x14ac:dyDescent="0.25">
      <c r="B10" s="82" t="s">
        <v>63</v>
      </c>
      <c r="C10" s="83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2:15" x14ac:dyDescent="0.25">
      <c r="B11" s="53"/>
      <c r="C11" s="58"/>
      <c r="D11" s="58"/>
      <c r="E11" s="58"/>
      <c r="F11" s="58"/>
      <c r="G11" s="58"/>
      <c r="H11" s="58"/>
    </row>
    <row r="12" spans="2:15" x14ac:dyDescent="0.25">
      <c r="B12" s="53"/>
      <c r="C12" s="58"/>
      <c r="D12" s="58"/>
      <c r="E12" s="58"/>
      <c r="F12" s="58"/>
      <c r="G12" s="58"/>
      <c r="H12" s="58"/>
    </row>
    <row r="13" spans="2:15" x14ac:dyDescent="0.25">
      <c r="B13" s="82" t="s">
        <v>64</v>
      </c>
      <c r="C13" s="84"/>
      <c r="D13" s="56"/>
      <c r="E13" s="56"/>
      <c r="F13" s="56"/>
      <c r="G13" s="56"/>
      <c r="H13" s="56"/>
      <c r="I13" s="56"/>
      <c r="J13" s="56"/>
      <c r="K13" s="56"/>
      <c r="L13" s="56"/>
      <c r="M13" s="56"/>
    </row>
  </sheetData>
  <hyperlinks>
    <hyperlink ref="B1" location="Index!A1" display="Index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O13"/>
  <sheetViews>
    <sheetView showGridLines="0" workbookViewId="0"/>
  </sheetViews>
  <sheetFormatPr defaultRowHeight="15" x14ac:dyDescent="0.25"/>
  <cols>
    <col min="1" max="1" width="2.7109375" customWidth="1"/>
    <col min="2" max="2" width="25.7109375" customWidth="1"/>
    <col min="3" max="7" width="9.7109375" customWidth="1"/>
  </cols>
  <sheetData>
    <row r="1" spans="2:15" x14ac:dyDescent="0.25">
      <c r="B1" s="27" t="s">
        <v>3</v>
      </c>
    </row>
    <row r="3" spans="2:15" x14ac:dyDescent="0.25">
      <c r="B3" s="61" t="s">
        <v>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s="73" t="s">
        <v>62</v>
      </c>
      <c r="C5" s="70">
        <v>20000</v>
      </c>
    </row>
    <row r="6" spans="2:15" x14ac:dyDescent="0.25">
      <c r="B6" s="79" t="s">
        <v>183</v>
      </c>
      <c r="C6" s="80">
        <v>0.2</v>
      </c>
    </row>
    <row r="8" spans="2:15" x14ac:dyDescent="0.25">
      <c r="B8" s="61"/>
      <c r="C8" s="61"/>
      <c r="D8" s="81">
        <v>1</v>
      </c>
      <c r="E8" s="81">
        <f>D8+1</f>
        <v>2</v>
      </c>
      <c r="F8" s="81">
        <f t="shared" ref="F8:M8" si="0">E8+1</f>
        <v>3</v>
      </c>
      <c r="G8" s="81">
        <f t="shared" si="0"/>
        <v>4</v>
      </c>
      <c r="H8" s="81">
        <f t="shared" si="0"/>
        <v>5</v>
      </c>
      <c r="I8" s="81">
        <f t="shared" si="0"/>
        <v>6</v>
      </c>
      <c r="J8" s="81">
        <f t="shared" si="0"/>
        <v>7</v>
      </c>
      <c r="K8" s="81">
        <f t="shared" si="0"/>
        <v>8</v>
      </c>
      <c r="L8" s="81">
        <f t="shared" si="0"/>
        <v>9</v>
      </c>
      <c r="M8" s="81">
        <f t="shared" si="0"/>
        <v>10</v>
      </c>
    </row>
    <row r="9" spans="2:15" x14ac:dyDescent="0.25">
      <c r="B9" s="53"/>
      <c r="C9" s="58"/>
      <c r="D9" s="58"/>
      <c r="E9" s="58"/>
      <c r="F9" s="58"/>
      <c r="G9" s="58"/>
      <c r="H9" s="58"/>
    </row>
    <row r="10" spans="2:15" x14ac:dyDescent="0.25">
      <c r="B10" s="82" t="s">
        <v>63</v>
      </c>
      <c r="C10" s="83"/>
      <c r="D10" s="56">
        <f>MIN($C$5*$C$6,$C$5-C13)</f>
        <v>4000</v>
      </c>
      <c r="E10" s="56">
        <f t="shared" ref="E10:M10" si="1">MIN($C$5*$C$6,$C$5-D13)</f>
        <v>4000</v>
      </c>
      <c r="F10" s="56">
        <f t="shared" si="1"/>
        <v>4000</v>
      </c>
      <c r="G10" s="56">
        <f t="shared" si="1"/>
        <v>4000</v>
      </c>
      <c r="H10" s="56">
        <f t="shared" si="1"/>
        <v>4000</v>
      </c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</row>
    <row r="11" spans="2:15" x14ac:dyDescent="0.25">
      <c r="B11" s="53"/>
      <c r="C11" s="58"/>
      <c r="D11" s="58"/>
      <c r="E11" s="58"/>
      <c r="F11" s="58"/>
      <c r="G11" s="58"/>
      <c r="H11" s="58"/>
    </row>
    <row r="12" spans="2:15" x14ac:dyDescent="0.25">
      <c r="B12" s="53"/>
      <c r="C12" s="58"/>
      <c r="D12" s="58"/>
      <c r="E12" s="58"/>
      <c r="F12" s="58"/>
      <c r="G12" s="58"/>
      <c r="H12" s="58"/>
    </row>
    <row r="13" spans="2:15" x14ac:dyDescent="0.25">
      <c r="B13" s="82" t="s">
        <v>64</v>
      </c>
      <c r="C13" s="84"/>
      <c r="D13" s="56">
        <f>D10+C13</f>
        <v>4000</v>
      </c>
      <c r="E13" s="56">
        <f t="shared" ref="E13:M13" si="2">E10+D13</f>
        <v>8000</v>
      </c>
      <c r="F13" s="56">
        <f t="shared" si="2"/>
        <v>12000</v>
      </c>
      <c r="G13" s="56">
        <f t="shared" si="2"/>
        <v>16000</v>
      </c>
      <c r="H13" s="56">
        <f t="shared" si="2"/>
        <v>20000</v>
      </c>
      <c r="I13" s="56">
        <f t="shared" si="2"/>
        <v>20000</v>
      </c>
      <c r="J13" s="56">
        <f t="shared" si="2"/>
        <v>20000</v>
      </c>
      <c r="K13" s="56">
        <f t="shared" si="2"/>
        <v>20000</v>
      </c>
      <c r="L13" s="56">
        <f t="shared" si="2"/>
        <v>20000</v>
      </c>
      <c r="M13" s="56">
        <f t="shared" si="2"/>
        <v>20000</v>
      </c>
    </row>
  </sheetData>
  <hyperlinks>
    <hyperlink ref="B1" location="Index!A1" display="Index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O17"/>
  <sheetViews>
    <sheetView showGridLines="0" zoomScaleNormal="100" workbookViewId="0"/>
  </sheetViews>
  <sheetFormatPr defaultRowHeight="15" x14ac:dyDescent="0.25"/>
  <cols>
    <col min="1" max="1" width="2.7109375" customWidth="1"/>
    <col min="2" max="2" width="20.42578125" bestFit="1" customWidth="1"/>
  </cols>
  <sheetData>
    <row r="1" spans="2:15" x14ac:dyDescent="0.25">
      <c r="B1" s="27" t="s">
        <v>3</v>
      </c>
      <c r="E1" s="7"/>
    </row>
    <row r="2" spans="2:15" x14ac:dyDescent="0.25">
      <c r="B2" s="8"/>
      <c r="C2" s="9"/>
      <c r="D2" s="9"/>
      <c r="E2" s="10"/>
    </row>
    <row r="3" spans="2:15" x14ac:dyDescent="0.25">
      <c r="B3" s="61" t="s">
        <v>34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x14ac:dyDescent="0.25">
      <c r="B4" s="8"/>
      <c r="C4" s="9"/>
      <c r="D4" s="9"/>
      <c r="E4" s="10"/>
    </row>
    <row r="5" spans="2:15" s="58" customFormat="1" x14ac:dyDescent="0.25">
      <c r="B5" s="11" t="s">
        <v>11</v>
      </c>
      <c r="C5" s="9"/>
      <c r="D5" s="9"/>
      <c r="E5" s="12" t="s">
        <v>12</v>
      </c>
      <c r="G5"/>
      <c r="H5"/>
      <c r="I5"/>
      <c r="J5" s="167"/>
    </row>
    <row r="6" spans="2:15" x14ac:dyDescent="0.25">
      <c r="B6" s="13" t="s">
        <v>13</v>
      </c>
      <c r="C6" s="9"/>
      <c r="D6" s="9"/>
      <c r="E6" s="14">
        <v>200</v>
      </c>
      <c r="I6" s="165"/>
      <c r="J6" s="167"/>
    </row>
    <row r="7" spans="2:15" x14ac:dyDescent="0.25">
      <c r="B7" s="13" t="s">
        <v>14</v>
      </c>
      <c r="C7" s="9"/>
      <c r="D7" s="9"/>
      <c r="E7" s="15">
        <v>100</v>
      </c>
      <c r="I7" s="165"/>
      <c r="J7" s="167"/>
    </row>
    <row r="8" spans="2:15" x14ac:dyDescent="0.25">
      <c r="B8" s="13" t="s">
        <v>15</v>
      </c>
      <c r="C8" s="9"/>
      <c r="D8" s="9"/>
      <c r="E8" s="15">
        <v>50</v>
      </c>
      <c r="I8" s="165"/>
      <c r="J8" s="165"/>
      <c r="K8" s="165"/>
    </row>
    <row r="9" spans="2:15" x14ac:dyDescent="0.25">
      <c r="B9" s="13" t="s">
        <v>16</v>
      </c>
      <c r="C9" s="9"/>
      <c r="D9" s="9"/>
      <c r="E9" s="15">
        <v>50</v>
      </c>
      <c r="I9" s="165"/>
      <c r="J9" s="165"/>
      <c r="K9" s="166"/>
    </row>
    <row r="10" spans="2:15" x14ac:dyDescent="0.25">
      <c r="B10" s="9"/>
      <c r="C10" s="9"/>
      <c r="D10" s="9"/>
      <c r="E10" s="16">
        <f>SUM(E6:E9)</f>
        <v>400</v>
      </c>
      <c r="F10" s="17" t="s">
        <v>17</v>
      </c>
      <c r="I10" s="165"/>
      <c r="J10" s="165"/>
    </row>
    <row r="11" spans="2:15" x14ac:dyDescent="0.25">
      <c r="B11" s="9"/>
      <c r="C11" s="18"/>
      <c r="D11" s="9"/>
      <c r="E11" s="10"/>
      <c r="I11" s="165"/>
      <c r="J11" s="165"/>
    </row>
    <row r="12" spans="2:15" x14ac:dyDescent="0.25">
      <c r="B12" s="26" t="s">
        <v>18</v>
      </c>
      <c r="D12" s="9"/>
      <c r="E12" s="19" t="s">
        <v>12</v>
      </c>
      <c r="I12" s="165"/>
      <c r="J12" s="165"/>
    </row>
    <row r="13" spans="2:15" x14ac:dyDescent="0.25">
      <c r="B13" s="20" t="s">
        <v>19</v>
      </c>
      <c r="C13" s="21">
        <v>1.4999999999999999E-2</v>
      </c>
      <c r="D13" s="9"/>
      <c r="E13" s="22"/>
      <c r="I13" s="165"/>
      <c r="J13" s="165"/>
    </row>
    <row r="14" spans="2:15" x14ac:dyDescent="0.25">
      <c r="B14" s="9"/>
      <c r="C14" s="23"/>
      <c r="D14" s="9"/>
      <c r="E14" s="16">
        <f>SUM(E13:E13)</f>
        <v>0</v>
      </c>
      <c r="F14" s="17" t="s">
        <v>20</v>
      </c>
      <c r="I14" s="165"/>
      <c r="J14" s="165"/>
    </row>
    <row r="15" spans="2:15" x14ac:dyDescent="0.25">
      <c r="B15" s="8"/>
      <c r="C15" s="9"/>
      <c r="D15" s="9"/>
      <c r="E15" s="10"/>
      <c r="I15" s="165"/>
      <c r="J15" s="165"/>
    </row>
    <row r="16" spans="2:15" x14ac:dyDescent="0.25">
      <c r="B16" s="8"/>
      <c r="C16" s="24" t="s">
        <v>21</v>
      </c>
      <c r="D16" s="9"/>
      <c r="E16" s="25">
        <f>E10+E14</f>
        <v>400</v>
      </c>
      <c r="F16" s="17" t="s">
        <v>22</v>
      </c>
      <c r="I16" s="165"/>
      <c r="J16" s="165"/>
    </row>
    <row r="17" spans="9:10" x14ac:dyDescent="0.25">
      <c r="I17" s="165"/>
      <c r="J17" s="165"/>
    </row>
  </sheetData>
  <hyperlinks>
    <hyperlink ref="B1" location="Index!A1" display="Index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O16"/>
  <sheetViews>
    <sheetView showGridLines="0" zoomScaleNormal="100" workbookViewId="0"/>
  </sheetViews>
  <sheetFormatPr defaultRowHeight="15" x14ac:dyDescent="0.25"/>
  <cols>
    <col min="1" max="1" width="2.7109375" customWidth="1"/>
    <col min="2" max="2" width="20.42578125" bestFit="1" customWidth="1"/>
  </cols>
  <sheetData>
    <row r="1" spans="2:15" x14ac:dyDescent="0.25">
      <c r="B1" s="27" t="s">
        <v>3</v>
      </c>
      <c r="E1" s="7"/>
    </row>
    <row r="2" spans="2:15" x14ac:dyDescent="0.25">
      <c r="B2" s="8"/>
      <c r="C2" s="9"/>
      <c r="D2" s="9"/>
      <c r="E2" s="10"/>
    </row>
    <row r="3" spans="2:15" x14ac:dyDescent="0.25">
      <c r="B3" s="61" t="s">
        <v>34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x14ac:dyDescent="0.25">
      <c r="B4" s="8"/>
      <c r="C4" s="9"/>
      <c r="D4" s="9"/>
      <c r="E4" s="10"/>
    </row>
    <row r="5" spans="2:15" x14ac:dyDescent="0.25">
      <c r="B5" s="11" t="s">
        <v>11</v>
      </c>
      <c r="C5" s="9"/>
      <c r="D5" s="9"/>
      <c r="E5" s="12" t="s">
        <v>12</v>
      </c>
      <c r="G5" s="98" t="s">
        <v>34</v>
      </c>
      <c r="H5" s="98"/>
      <c r="I5" s="99">
        <v>0</v>
      </c>
    </row>
    <row r="6" spans="2:15" x14ac:dyDescent="0.25">
      <c r="B6" s="13" t="s">
        <v>13</v>
      </c>
      <c r="C6" s="9"/>
      <c r="D6" s="9"/>
      <c r="E6" s="14">
        <v>200</v>
      </c>
    </row>
    <row r="7" spans="2:15" x14ac:dyDescent="0.25">
      <c r="B7" s="13" t="s">
        <v>14</v>
      </c>
      <c r="C7" s="9"/>
      <c r="D7" s="9"/>
      <c r="E7" s="15">
        <v>100</v>
      </c>
      <c r="G7" s="102" t="s">
        <v>80</v>
      </c>
    </row>
    <row r="8" spans="2:15" x14ac:dyDescent="0.25">
      <c r="B8" s="13" t="s">
        <v>15</v>
      </c>
      <c r="C8" s="9"/>
      <c r="D8" s="9"/>
      <c r="E8" s="15">
        <v>50</v>
      </c>
      <c r="G8" s="101" t="s">
        <v>78</v>
      </c>
    </row>
    <row r="9" spans="2:15" x14ac:dyDescent="0.25">
      <c r="B9" s="13" t="s">
        <v>16</v>
      </c>
      <c r="C9" s="9"/>
      <c r="D9" s="9"/>
      <c r="E9" s="15">
        <v>50</v>
      </c>
      <c r="G9" s="101" t="s">
        <v>79</v>
      </c>
    </row>
    <row r="10" spans="2:15" x14ac:dyDescent="0.25">
      <c r="B10" s="9"/>
      <c r="C10" s="9"/>
      <c r="D10" s="9"/>
      <c r="E10" s="16">
        <f>SUM(E6:E9)</f>
        <v>400</v>
      </c>
      <c r="F10" s="17" t="s">
        <v>17</v>
      </c>
    </row>
    <row r="11" spans="2:15" x14ac:dyDescent="0.25">
      <c r="B11" s="9"/>
      <c r="C11" s="18"/>
      <c r="D11" s="9"/>
      <c r="E11" s="10"/>
    </row>
    <row r="12" spans="2:15" x14ac:dyDescent="0.25">
      <c r="B12" s="26" t="s">
        <v>18</v>
      </c>
      <c r="D12" s="9"/>
      <c r="E12" s="19" t="s">
        <v>12</v>
      </c>
    </row>
    <row r="13" spans="2:15" x14ac:dyDescent="0.25">
      <c r="B13" s="20" t="s">
        <v>19</v>
      </c>
      <c r="C13" s="21">
        <v>1.4999999999999999E-2</v>
      </c>
      <c r="D13" s="9"/>
      <c r="E13" s="22">
        <f>IF(circ=0,0,E16*C13)</f>
        <v>0</v>
      </c>
    </row>
    <row r="14" spans="2:15" x14ac:dyDescent="0.25">
      <c r="B14" s="9"/>
      <c r="C14" s="23"/>
      <c r="D14" s="9"/>
      <c r="E14" s="16">
        <f>SUM(E13:E13)</f>
        <v>0</v>
      </c>
      <c r="F14" s="17" t="s">
        <v>20</v>
      </c>
    </row>
    <row r="15" spans="2:15" x14ac:dyDescent="0.25">
      <c r="B15" s="8"/>
      <c r="C15" s="9"/>
      <c r="D15" s="9"/>
      <c r="E15" s="10"/>
    </row>
    <row r="16" spans="2:15" x14ac:dyDescent="0.25">
      <c r="B16" s="8"/>
      <c r="C16" s="24" t="s">
        <v>21</v>
      </c>
      <c r="D16" s="9"/>
      <c r="E16" s="25">
        <f>E10+E14</f>
        <v>400</v>
      </c>
      <c r="F16" s="17" t="s">
        <v>22</v>
      </c>
    </row>
  </sheetData>
  <dataValidations count="1">
    <dataValidation type="list" allowBlank="1" showInputMessage="1" showErrorMessage="1" sqref="I5" xr:uid="{00000000-0002-0000-0F00-000000000000}">
      <formula1>"0,1"</formula1>
    </dataValidation>
  </dataValidations>
  <hyperlinks>
    <hyperlink ref="B1" location="Index!A1" display="Index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O28"/>
  <sheetViews>
    <sheetView showGridLines="0" zoomScaleNormal="100" workbookViewId="0"/>
  </sheetViews>
  <sheetFormatPr defaultRowHeight="15" x14ac:dyDescent="0.25"/>
  <cols>
    <col min="1" max="1" width="2.7109375" customWidth="1"/>
    <col min="2" max="2" width="35.7109375" customWidth="1"/>
  </cols>
  <sheetData>
    <row r="1" spans="2:15" x14ac:dyDescent="0.25">
      <c r="B1" s="27" t="s">
        <v>3</v>
      </c>
    </row>
    <row r="3" spans="2:15" x14ac:dyDescent="0.25">
      <c r="B3" s="61" t="s">
        <v>27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s="28"/>
      <c r="C5" s="28"/>
      <c r="D5" s="28"/>
      <c r="E5" s="28"/>
      <c r="F5" s="29">
        <v>2020</v>
      </c>
      <c r="G5" s="29">
        <v>2021</v>
      </c>
      <c r="H5" s="29">
        <v>2022</v>
      </c>
      <c r="I5" s="29">
        <v>2023</v>
      </c>
      <c r="J5" s="29">
        <v>2024</v>
      </c>
    </row>
    <row r="6" spans="2:15" x14ac:dyDescent="0.25">
      <c r="B6" s="28"/>
      <c r="C6" s="28"/>
      <c r="D6" s="28"/>
      <c r="E6" s="28"/>
      <c r="F6" s="28"/>
      <c r="G6" s="28"/>
      <c r="H6" s="28"/>
      <c r="I6" s="28"/>
      <c r="J6" s="28"/>
    </row>
    <row r="7" spans="2:15" x14ac:dyDescent="0.25">
      <c r="B7" s="30" t="s">
        <v>23</v>
      </c>
      <c r="C7" s="31"/>
      <c r="D7" s="32">
        <v>40000</v>
      </c>
      <c r="E7" s="30"/>
      <c r="F7" s="33">
        <v>7200</v>
      </c>
      <c r="G7" s="33">
        <v>8950</v>
      </c>
      <c r="H7" s="33">
        <v>8950</v>
      </c>
      <c r="I7" s="33">
        <v>7450</v>
      </c>
      <c r="J7" s="33">
        <v>7450</v>
      </c>
    </row>
    <row r="8" spans="2:15" x14ac:dyDescent="0.25">
      <c r="B8" s="28"/>
      <c r="C8" s="34"/>
      <c r="D8" s="34"/>
      <c r="E8" s="28"/>
      <c r="F8" s="28"/>
      <c r="G8" s="28"/>
      <c r="H8" s="28"/>
      <c r="I8" s="28"/>
      <c r="J8" s="28"/>
    </row>
    <row r="9" spans="2:15" x14ac:dyDescent="0.25">
      <c r="B9" s="28" t="s">
        <v>24</v>
      </c>
      <c r="C9" s="35">
        <v>0.4</v>
      </c>
      <c r="D9" s="36"/>
      <c r="E9" s="28"/>
      <c r="F9" s="28"/>
      <c r="G9" s="28"/>
      <c r="H9" s="28"/>
      <c r="I9" s="28"/>
      <c r="J9" s="28"/>
    </row>
    <row r="10" spans="2:15" x14ac:dyDescent="0.25">
      <c r="B10" s="28" t="s">
        <v>25</v>
      </c>
      <c r="C10" s="35">
        <v>0.36</v>
      </c>
      <c r="D10" s="36"/>
      <c r="E10" s="28"/>
      <c r="F10" s="28"/>
      <c r="G10" s="28"/>
      <c r="H10" s="28"/>
      <c r="I10" s="28"/>
      <c r="J10" s="28"/>
    </row>
    <row r="11" spans="2:15" x14ac:dyDescent="0.25">
      <c r="B11" s="28" t="s">
        <v>26</v>
      </c>
      <c r="C11" s="35">
        <v>0.24</v>
      </c>
      <c r="D11" s="36"/>
      <c r="E11" s="28"/>
      <c r="F11" s="28"/>
      <c r="G11" s="28"/>
      <c r="H11" s="28"/>
      <c r="I11" s="28"/>
      <c r="J11" s="28"/>
    </row>
    <row r="12" spans="2:15" x14ac:dyDescent="0.25">
      <c r="B12" s="28"/>
      <c r="C12" s="37"/>
      <c r="D12" s="38"/>
      <c r="E12" s="28"/>
      <c r="F12" s="28"/>
      <c r="G12" s="28"/>
      <c r="H12" s="28"/>
      <c r="I12" s="28"/>
      <c r="J12" s="28"/>
    </row>
    <row r="13" spans="2:15" x14ac:dyDescent="0.25">
      <c r="B13" s="29" t="s">
        <v>27</v>
      </c>
      <c r="C13" s="28"/>
      <c r="D13" s="28"/>
      <c r="E13" s="28"/>
      <c r="F13" s="28"/>
      <c r="G13" s="28"/>
      <c r="H13" s="28"/>
      <c r="I13" s="28"/>
      <c r="J13" s="28"/>
    </row>
    <row r="14" spans="2:15" x14ac:dyDescent="0.25">
      <c r="B14" s="28"/>
      <c r="C14" s="28"/>
      <c r="D14" s="28"/>
      <c r="E14" s="28"/>
      <c r="F14" s="28"/>
      <c r="G14" s="28"/>
      <c r="H14" s="28"/>
      <c r="I14" s="28"/>
      <c r="J14" s="28"/>
    </row>
    <row r="15" spans="2:15" x14ac:dyDescent="0.25">
      <c r="B15" s="39" t="s">
        <v>168</v>
      </c>
      <c r="C15" s="28"/>
      <c r="D15" s="40"/>
      <c r="E15" s="40"/>
      <c r="F15" s="40"/>
      <c r="G15" s="40"/>
      <c r="H15" s="40"/>
      <c r="I15" s="40"/>
      <c r="J15" s="40"/>
    </row>
    <row r="16" spans="2:15" x14ac:dyDescent="0.25">
      <c r="B16" s="28"/>
      <c r="C16" s="28"/>
      <c r="D16" s="40"/>
      <c r="E16" s="40"/>
      <c r="F16" s="40"/>
      <c r="G16" s="40"/>
      <c r="H16" s="40"/>
      <c r="I16" s="40"/>
      <c r="J16" s="40"/>
    </row>
    <row r="17" spans="2:10" x14ac:dyDescent="0.25">
      <c r="B17" s="28" t="s">
        <v>28</v>
      </c>
      <c r="C17" s="28"/>
      <c r="D17" s="40"/>
      <c r="E17" s="40"/>
      <c r="F17" s="41"/>
      <c r="G17" s="41"/>
      <c r="H17" s="41"/>
      <c r="I17" s="41"/>
      <c r="J17" s="41"/>
    </row>
    <row r="18" spans="2:10" x14ac:dyDescent="0.25">
      <c r="B18" s="28" t="s">
        <v>29</v>
      </c>
      <c r="C18" s="28"/>
      <c r="D18" s="40"/>
      <c r="E18" s="42"/>
      <c r="F18" s="41"/>
      <c r="G18" s="41"/>
      <c r="H18" s="41"/>
      <c r="I18" s="41"/>
      <c r="J18" s="41"/>
    </row>
    <row r="19" spans="2:10" x14ac:dyDescent="0.25">
      <c r="B19" s="28"/>
      <c r="C19" s="28"/>
      <c r="D19" s="40"/>
      <c r="E19" s="43"/>
      <c r="F19" s="40"/>
      <c r="G19" s="40"/>
      <c r="H19" s="40"/>
      <c r="I19" s="40"/>
      <c r="J19" s="40"/>
    </row>
    <row r="20" spans="2:10" x14ac:dyDescent="0.25">
      <c r="B20" s="39" t="s">
        <v>169</v>
      </c>
      <c r="C20" s="28"/>
      <c r="D20" s="40"/>
      <c r="E20" s="43"/>
      <c r="F20" s="41"/>
      <c r="G20" s="41"/>
      <c r="H20" s="41"/>
      <c r="I20" s="41"/>
      <c r="J20" s="41"/>
    </row>
    <row r="21" spans="2:10" x14ac:dyDescent="0.25">
      <c r="B21" s="28"/>
      <c r="C21" s="28"/>
      <c r="D21" s="40"/>
      <c r="E21" s="43"/>
      <c r="F21" s="40"/>
      <c r="G21" s="40"/>
      <c r="H21" s="40"/>
      <c r="I21" s="40"/>
      <c r="J21" s="40"/>
    </row>
    <row r="22" spans="2:10" x14ac:dyDescent="0.25">
      <c r="B22" s="28" t="s">
        <v>30</v>
      </c>
      <c r="C22" s="28"/>
      <c r="D22" s="40"/>
      <c r="E22" s="43"/>
      <c r="F22" s="41"/>
      <c r="G22" s="41"/>
      <c r="H22" s="41"/>
      <c r="I22" s="41"/>
      <c r="J22" s="41"/>
    </row>
    <row r="23" spans="2:10" x14ac:dyDescent="0.25">
      <c r="B23" s="28" t="s">
        <v>31</v>
      </c>
      <c r="C23" s="28"/>
      <c r="D23" s="40"/>
      <c r="E23" s="42"/>
      <c r="F23" s="41"/>
      <c r="G23" s="41"/>
      <c r="H23" s="41"/>
      <c r="I23" s="41"/>
      <c r="J23" s="41"/>
    </row>
    <row r="24" spans="2:10" x14ac:dyDescent="0.25">
      <c r="B24" s="28"/>
      <c r="C24" s="28"/>
      <c r="D24" s="40"/>
      <c r="E24" s="43"/>
      <c r="F24" s="40"/>
      <c r="G24" s="40"/>
      <c r="H24" s="40"/>
      <c r="I24" s="40"/>
      <c r="J24" s="40"/>
    </row>
    <row r="25" spans="2:10" x14ac:dyDescent="0.25">
      <c r="B25" s="39" t="s">
        <v>170</v>
      </c>
      <c r="C25" s="28"/>
      <c r="D25" s="40"/>
      <c r="E25" s="43"/>
      <c r="F25" s="41"/>
      <c r="G25" s="41"/>
      <c r="H25" s="41"/>
      <c r="I25" s="41"/>
      <c r="J25" s="41"/>
    </row>
    <row r="26" spans="2:10" x14ac:dyDescent="0.25">
      <c r="B26" s="28"/>
      <c r="C26" s="28"/>
      <c r="D26" s="40"/>
      <c r="E26" s="43"/>
      <c r="F26" s="40"/>
      <c r="G26" s="40"/>
      <c r="H26" s="40"/>
      <c r="I26" s="40"/>
      <c r="J26" s="40"/>
    </row>
    <row r="27" spans="2:10" x14ac:dyDescent="0.25">
      <c r="B27" s="28" t="s">
        <v>32</v>
      </c>
      <c r="C27" s="28"/>
      <c r="D27" s="40"/>
      <c r="E27" s="43"/>
      <c r="F27" s="41"/>
      <c r="G27" s="41"/>
      <c r="H27" s="41"/>
      <c r="I27" s="41"/>
      <c r="J27" s="41"/>
    </row>
    <row r="28" spans="2:10" x14ac:dyDescent="0.25">
      <c r="B28" s="28" t="s">
        <v>33</v>
      </c>
      <c r="C28" s="28"/>
      <c r="D28" s="40"/>
      <c r="E28" s="42"/>
      <c r="F28" s="41"/>
      <c r="G28" s="41"/>
      <c r="H28" s="41"/>
      <c r="I28" s="41"/>
      <c r="J28" s="41"/>
    </row>
  </sheetData>
  <hyperlinks>
    <hyperlink ref="B1" location="Index!A1" display="Index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8"/>
  <sheetViews>
    <sheetView showGridLines="0" workbookViewId="0"/>
  </sheetViews>
  <sheetFormatPr defaultRowHeight="15" x14ac:dyDescent="0.25"/>
  <cols>
    <col min="1" max="1" width="2.7109375" customWidth="1"/>
    <col min="2" max="2" width="35.7109375" customWidth="1"/>
  </cols>
  <sheetData>
    <row r="1" spans="2:15" x14ac:dyDescent="0.25">
      <c r="B1" s="27" t="s">
        <v>3</v>
      </c>
    </row>
    <row r="2" spans="2:15" x14ac:dyDescent="0.25">
      <c r="B2" s="27"/>
    </row>
    <row r="3" spans="2:15" x14ac:dyDescent="0.25">
      <c r="B3" s="61" t="s">
        <v>27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s="28"/>
      <c r="C5" s="28"/>
      <c r="D5" s="28"/>
      <c r="E5" s="28"/>
      <c r="F5" s="29">
        <v>2020</v>
      </c>
      <c r="G5" s="29">
        <v>2021</v>
      </c>
      <c r="H5" s="29">
        <v>2022</v>
      </c>
      <c r="I5" s="29">
        <v>2023</v>
      </c>
      <c r="J5" s="29">
        <v>2024</v>
      </c>
    </row>
    <row r="6" spans="2:15" x14ac:dyDescent="0.25">
      <c r="B6" s="28"/>
      <c r="C6" s="28"/>
      <c r="D6" s="28"/>
      <c r="E6" s="28"/>
      <c r="F6" s="28"/>
      <c r="G6" s="28"/>
      <c r="H6" s="28"/>
      <c r="I6" s="28"/>
      <c r="J6" s="28"/>
    </row>
    <row r="7" spans="2:15" x14ac:dyDescent="0.25">
      <c r="B7" s="30" t="s">
        <v>23</v>
      </c>
      <c r="C7" s="31"/>
      <c r="D7" s="32">
        <v>40000</v>
      </c>
      <c r="E7" s="30" t="b">
        <f>SUM(F7:J7)=D7</f>
        <v>1</v>
      </c>
      <c r="F7" s="33">
        <v>7200</v>
      </c>
      <c r="G7" s="33">
        <v>8950</v>
      </c>
      <c r="H7" s="33">
        <v>8950</v>
      </c>
      <c r="I7" s="33">
        <v>7450</v>
      </c>
      <c r="J7" s="33">
        <v>7450</v>
      </c>
    </row>
    <row r="8" spans="2:15" x14ac:dyDescent="0.25">
      <c r="B8" s="28"/>
      <c r="C8" s="34"/>
      <c r="D8" s="34"/>
      <c r="E8" s="28"/>
      <c r="F8" s="28"/>
      <c r="G8" s="28"/>
      <c r="H8" s="28"/>
      <c r="I8" s="28"/>
      <c r="J8" s="28"/>
    </row>
    <row r="9" spans="2:15" x14ac:dyDescent="0.25">
      <c r="B9" s="28" t="s">
        <v>24</v>
      </c>
      <c r="C9" s="35">
        <v>0.4</v>
      </c>
      <c r="D9" s="36">
        <f>C9*$D$7</f>
        <v>16000</v>
      </c>
      <c r="E9" s="28"/>
      <c r="F9" s="28"/>
      <c r="G9" s="28"/>
      <c r="H9" s="28"/>
      <c r="I9" s="28"/>
      <c r="J9" s="28"/>
    </row>
    <row r="10" spans="2:15" x14ac:dyDescent="0.25">
      <c r="B10" s="28" t="s">
        <v>25</v>
      </c>
      <c r="C10" s="35">
        <v>0.36</v>
      </c>
      <c r="D10" s="36">
        <f>C10*$D$7</f>
        <v>14400</v>
      </c>
      <c r="E10" s="28"/>
      <c r="F10" s="28"/>
      <c r="G10" s="28"/>
      <c r="H10" s="28"/>
      <c r="I10" s="28"/>
      <c r="J10" s="28"/>
    </row>
    <row r="11" spans="2:15" x14ac:dyDescent="0.25">
      <c r="B11" s="28" t="s">
        <v>26</v>
      </c>
      <c r="C11" s="35">
        <v>0.24</v>
      </c>
      <c r="D11" s="36">
        <f>C11*$D$7</f>
        <v>9600</v>
      </c>
      <c r="E11" s="28"/>
      <c r="F11" s="28"/>
      <c r="G11" s="28"/>
      <c r="H11" s="28"/>
      <c r="I11" s="28"/>
      <c r="J11" s="28"/>
    </row>
    <row r="12" spans="2:15" x14ac:dyDescent="0.25">
      <c r="B12" s="28"/>
      <c r="C12" s="37" t="b">
        <f>SUM(C9:C11)=1</f>
        <v>1</v>
      </c>
      <c r="D12" s="38"/>
      <c r="E12" s="28"/>
      <c r="F12" s="28"/>
      <c r="G12" s="28"/>
      <c r="H12" s="28"/>
      <c r="I12" s="28"/>
      <c r="J12" s="28"/>
    </row>
    <row r="13" spans="2:15" x14ac:dyDescent="0.25">
      <c r="B13" s="29" t="s">
        <v>27</v>
      </c>
      <c r="C13" s="28"/>
      <c r="D13" s="28"/>
      <c r="E13" s="28"/>
      <c r="F13" s="28"/>
      <c r="G13" s="28"/>
      <c r="H13" s="28"/>
      <c r="I13" s="28"/>
      <c r="J13" s="28"/>
    </row>
    <row r="14" spans="2:15" x14ac:dyDescent="0.25">
      <c r="B14" s="28"/>
      <c r="C14" s="28"/>
      <c r="D14" s="28"/>
      <c r="E14" s="28"/>
      <c r="F14" s="28"/>
      <c r="G14" s="28"/>
      <c r="H14" s="28"/>
      <c r="I14" s="28"/>
      <c r="J14" s="28"/>
    </row>
    <row r="15" spans="2:15" x14ac:dyDescent="0.25">
      <c r="B15" s="39" t="s">
        <v>168</v>
      </c>
      <c r="C15" s="28"/>
      <c r="D15" s="40"/>
      <c r="E15" s="40"/>
      <c r="F15" s="40"/>
      <c r="G15" s="40"/>
      <c r="H15" s="40"/>
      <c r="I15" s="40"/>
      <c r="J15" s="40"/>
    </row>
    <row r="16" spans="2:15" x14ac:dyDescent="0.25">
      <c r="B16" s="28"/>
      <c r="C16" s="28"/>
      <c r="D16" s="40"/>
      <c r="E16" s="40"/>
      <c r="F16" s="40"/>
      <c r="G16" s="40"/>
      <c r="H16" s="40"/>
      <c r="I16" s="40"/>
      <c r="J16" s="40"/>
    </row>
    <row r="17" spans="2:10" x14ac:dyDescent="0.25">
      <c r="B17" s="28" t="s">
        <v>28</v>
      </c>
      <c r="C17" s="28"/>
      <c r="D17" s="40"/>
      <c r="E17" s="40"/>
      <c r="F17" s="41">
        <f>MIN(F7,E18)</f>
        <v>7200</v>
      </c>
      <c r="G17" s="41">
        <f>MIN(G7,F18)</f>
        <v>8800</v>
      </c>
      <c r="H17" s="41">
        <f>MIN(H7,G18)</f>
        <v>0</v>
      </c>
      <c r="I17" s="41">
        <f>MIN(I7,H18)</f>
        <v>0</v>
      </c>
      <c r="J17" s="41">
        <f>MIN(J7,I18)</f>
        <v>0</v>
      </c>
    </row>
    <row r="18" spans="2:10" x14ac:dyDescent="0.25">
      <c r="B18" s="28" t="s">
        <v>29</v>
      </c>
      <c r="C18" s="28"/>
      <c r="D18" s="40"/>
      <c r="E18" s="42">
        <f>D9</f>
        <v>16000</v>
      </c>
      <c r="F18" s="41">
        <f>E18-F17</f>
        <v>8800</v>
      </c>
      <c r="G18" s="41">
        <f t="shared" ref="G18:J18" si="0">F18-G17</f>
        <v>0</v>
      </c>
      <c r="H18" s="41">
        <f t="shared" si="0"/>
        <v>0</v>
      </c>
      <c r="I18" s="41">
        <f t="shared" si="0"/>
        <v>0</v>
      </c>
      <c r="J18" s="41">
        <f t="shared" si="0"/>
        <v>0</v>
      </c>
    </row>
    <row r="19" spans="2:10" x14ac:dyDescent="0.25">
      <c r="B19" s="28"/>
      <c r="C19" s="28"/>
      <c r="D19" s="40"/>
      <c r="E19" s="43"/>
      <c r="F19" s="40"/>
      <c r="G19" s="40"/>
      <c r="H19" s="40"/>
      <c r="I19" s="40"/>
      <c r="J19" s="40"/>
    </row>
    <row r="20" spans="2:10" x14ac:dyDescent="0.25">
      <c r="B20" s="39" t="s">
        <v>169</v>
      </c>
      <c r="C20" s="28"/>
      <c r="D20" s="40"/>
      <c r="E20" s="43"/>
      <c r="F20" s="41">
        <f>F7-F17</f>
        <v>0</v>
      </c>
      <c r="G20" s="41">
        <f>G7-G17</f>
        <v>150</v>
      </c>
      <c r="H20" s="41">
        <f>H7-H17</f>
        <v>8950</v>
      </c>
      <c r="I20" s="41">
        <f>I7-I17</f>
        <v>7450</v>
      </c>
      <c r="J20" s="41">
        <f>J7-J17</f>
        <v>7450</v>
      </c>
    </row>
    <row r="21" spans="2:10" x14ac:dyDescent="0.25">
      <c r="B21" s="28"/>
      <c r="C21" s="28"/>
      <c r="D21" s="40"/>
      <c r="E21" s="43"/>
      <c r="F21" s="40"/>
      <c r="G21" s="40"/>
      <c r="H21" s="40"/>
      <c r="I21" s="40"/>
      <c r="J21" s="40"/>
    </row>
    <row r="22" spans="2:10" x14ac:dyDescent="0.25">
      <c r="B22" s="28" t="s">
        <v>30</v>
      </c>
      <c r="C22" s="28"/>
      <c r="D22" s="40"/>
      <c r="E22" s="43"/>
      <c r="F22" s="41">
        <f>MIN(F20,E23)</f>
        <v>0</v>
      </c>
      <c r="G22" s="41">
        <f t="shared" ref="G22:J22" si="1">MIN(G20,F23)</f>
        <v>150</v>
      </c>
      <c r="H22" s="41">
        <f t="shared" si="1"/>
        <v>8950</v>
      </c>
      <c r="I22" s="41">
        <f t="shared" si="1"/>
        <v>5300</v>
      </c>
      <c r="J22" s="41">
        <f t="shared" si="1"/>
        <v>0</v>
      </c>
    </row>
    <row r="23" spans="2:10" x14ac:dyDescent="0.25">
      <c r="B23" s="28" t="s">
        <v>31</v>
      </c>
      <c r="C23" s="28"/>
      <c r="D23" s="40"/>
      <c r="E23" s="42">
        <f>D10</f>
        <v>14400</v>
      </c>
      <c r="F23" s="41">
        <f>E23-F22</f>
        <v>14400</v>
      </c>
      <c r="G23" s="41">
        <f t="shared" ref="G23" si="2">F23-G22</f>
        <v>14250</v>
      </c>
      <c r="H23" s="41">
        <f t="shared" ref="H23" si="3">G23-H22</f>
        <v>5300</v>
      </c>
      <c r="I23" s="41">
        <f t="shared" ref="I23" si="4">H23-I22</f>
        <v>0</v>
      </c>
      <c r="J23" s="41">
        <f t="shared" ref="J23" si="5">I23-J22</f>
        <v>0</v>
      </c>
    </row>
    <row r="24" spans="2:10" x14ac:dyDescent="0.25">
      <c r="B24" s="28"/>
      <c r="C24" s="28"/>
      <c r="D24" s="40"/>
      <c r="E24" s="43"/>
      <c r="F24" s="40"/>
      <c r="G24" s="40"/>
      <c r="H24" s="40"/>
      <c r="I24" s="40"/>
      <c r="J24" s="40"/>
    </row>
    <row r="25" spans="2:10" x14ac:dyDescent="0.25">
      <c r="B25" s="39" t="s">
        <v>170</v>
      </c>
      <c r="C25" s="28"/>
      <c r="D25" s="40"/>
      <c r="E25" s="43"/>
      <c r="F25" s="41">
        <f>F7-F17-F22</f>
        <v>0</v>
      </c>
      <c r="G25" s="41">
        <f>G7-G17-G22</f>
        <v>0</v>
      </c>
      <c r="H25" s="41">
        <f>H7-H17-H22</f>
        <v>0</v>
      </c>
      <c r="I25" s="41">
        <f>I7-I17-I22</f>
        <v>2150</v>
      </c>
      <c r="J25" s="41">
        <f>J7-J17-J22</f>
        <v>7450</v>
      </c>
    </row>
    <row r="26" spans="2:10" x14ac:dyDescent="0.25">
      <c r="B26" s="28"/>
      <c r="C26" s="28"/>
      <c r="D26" s="40"/>
      <c r="E26" s="43"/>
      <c r="F26" s="40"/>
      <c r="G26" s="40"/>
      <c r="H26" s="40"/>
      <c r="I26" s="40"/>
      <c r="J26" s="40"/>
    </row>
    <row r="27" spans="2:10" x14ac:dyDescent="0.25">
      <c r="B27" s="28" t="s">
        <v>32</v>
      </c>
      <c r="C27" s="28"/>
      <c r="D27" s="40"/>
      <c r="E27" s="43"/>
      <c r="F27" s="41">
        <f>MIN(F25,E28)</f>
        <v>0</v>
      </c>
      <c r="G27" s="41">
        <f t="shared" ref="G27:J27" si="6">MIN(G25,F28)</f>
        <v>0</v>
      </c>
      <c r="H27" s="41">
        <f t="shared" si="6"/>
        <v>0</v>
      </c>
      <c r="I27" s="41">
        <f t="shared" si="6"/>
        <v>2150</v>
      </c>
      <c r="J27" s="41">
        <f t="shared" si="6"/>
        <v>7450</v>
      </c>
    </row>
    <row r="28" spans="2:10" x14ac:dyDescent="0.25">
      <c r="B28" s="28" t="s">
        <v>33</v>
      </c>
      <c r="C28" s="28"/>
      <c r="D28" s="40"/>
      <c r="E28" s="42">
        <f>D11</f>
        <v>9600</v>
      </c>
      <c r="F28" s="41">
        <f>E28-F27</f>
        <v>9600</v>
      </c>
      <c r="G28" s="41">
        <f t="shared" ref="G28" si="7">F28-G27</f>
        <v>9600</v>
      </c>
      <c r="H28" s="41">
        <f t="shared" ref="H28" si="8">G28-H27</f>
        <v>9600</v>
      </c>
      <c r="I28" s="41">
        <f t="shared" ref="I28" si="9">H28-I27</f>
        <v>7450</v>
      </c>
      <c r="J28" s="41">
        <f t="shared" ref="J28" si="10">I28-J27</f>
        <v>0</v>
      </c>
    </row>
  </sheetData>
  <hyperlinks>
    <hyperlink ref="B1" location="Index!A1" display="Index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19"/>
  <sheetViews>
    <sheetView showGridLines="0" workbookViewId="0"/>
  </sheetViews>
  <sheetFormatPr defaultRowHeight="15" x14ac:dyDescent="0.25"/>
  <cols>
    <col min="1" max="1" width="2.7109375" customWidth="1"/>
    <col min="2" max="2" width="25.7109375" customWidth="1"/>
  </cols>
  <sheetData>
    <row r="1" spans="2:15" x14ac:dyDescent="0.25">
      <c r="B1" s="27" t="s">
        <v>3</v>
      </c>
    </row>
    <row r="3" spans="2:15" x14ac:dyDescent="0.25">
      <c r="B3" s="61" t="s">
        <v>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s="73" t="s">
        <v>184</v>
      </c>
      <c r="C5" s="70">
        <v>20000</v>
      </c>
    </row>
    <row r="6" spans="2:15" x14ac:dyDescent="0.25">
      <c r="B6" s="78" t="s">
        <v>154</v>
      </c>
      <c r="C6" s="127">
        <v>4</v>
      </c>
    </row>
    <row r="7" spans="2:15" x14ac:dyDescent="0.25">
      <c r="B7" s="79" t="s">
        <v>155</v>
      </c>
      <c r="C7" s="133">
        <v>2</v>
      </c>
      <c r="D7" s="100" t="str">
        <f>"Loan repayment to begin after "&amp;TEXT(C7,"0")&amp;" year(s) of operation"</f>
        <v>Loan repayment to begin after 2 year(s) of operation</v>
      </c>
    </row>
    <row r="9" spans="2:15" x14ac:dyDescent="0.25">
      <c r="D9" s="194" t="s">
        <v>156</v>
      </c>
      <c r="E9" s="195"/>
      <c r="F9" s="195"/>
      <c r="G9" s="195"/>
      <c r="H9" s="195"/>
      <c r="I9" s="195"/>
      <c r="J9" s="195"/>
      <c r="K9" s="195"/>
      <c r="L9" s="195"/>
      <c r="M9" s="196"/>
    </row>
    <row r="10" spans="2:15" x14ac:dyDescent="0.25">
      <c r="D10" s="81">
        <v>1</v>
      </c>
      <c r="E10" s="81">
        <v>2</v>
      </c>
      <c r="F10" s="81">
        <v>3</v>
      </c>
      <c r="G10" s="81">
        <v>4</v>
      </c>
      <c r="H10" s="81">
        <v>5</v>
      </c>
      <c r="I10" s="81">
        <v>6</v>
      </c>
      <c r="J10" s="81">
        <v>7</v>
      </c>
      <c r="K10" s="81">
        <v>8</v>
      </c>
      <c r="L10" s="81">
        <v>9</v>
      </c>
      <c r="M10" s="81">
        <v>10</v>
      </c>
    </row>
    <row r="12" spans="2:15" x14ac:dyDescent="0.25">
      <c r="B12" s="84" t="s">
        <v>157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4" spans="2:15" x14ac:dyDescent="0.25">
      <c r="B14" s="128" t="s">
        <v>158</v>
      </c>
      <c r="D14" s="94">
        <f>C5/C6</f>
        <v>5000</v>
      </c>
    </row>
    <row r="16" spans="2:15" x14ac:dyDescent="0.25">
      <c r="B16" s="130" t="s">
        <v>65</v>
      </c>
      <c r="C16" s="130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2:13" x14ac:dyDescent="0.25">
      <c r="B17" s="3" t="s">
        <v>66</v>
      </c>
      <c r="C17" s="3"/>
      <c r="D17" s="129"/>
      <c r="E17" s="129"/>
      <c r="F17" s="129"/>
      <c r="G17" s="129"/>
      <c r="H17" s="129"/>
      <c r="I17" s="129"/>
      <c r="J17" s="129"/>
      <c r="K17" s="129"/>
      <c r="L17" s="129"/>
      <c r="M17" s="129"/>
    </row>
    <row r="18" spans="2:13" x14ac:dyDescent="0.25">
      <c r="B18" s="3" t="s">
        <v>159</v>
      </c>
      <c r="C18" s="3"/>
      <c r="D18" s="129"/>
      <c r="E18" s="129"/>
      <c r="F18" s="129"/>
      <c r="G18" s="129"/>
      <c r="H18" s="129"/>
      <c r="I18" s="129"/>
      <c r="J18" s="129"/>
      <c r="K18" s="129"/>
      <c r="L18" s="129"/>
      <c r="M18" s="129"/>
    </row>
    <row r="19" spans="2:13" x14ac:dyDescent="0.25">
      <c r="B19" s="85" t="s">
        <v>68</v>
      </c>
      <c r="C19" s="132">
        <f>$C$5</f>
        <v>20000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</row>
  </sheetData>
  <mergeCells count="1">
    <mergeCell ref="D9:M9"/>
  </mergeCells>
  <conditionalFormatting sqref="D12:M12">
    <cfRule type="cellIs" dxfId="1" priority="1" operator="equal">
      <formula>TRUE</formula>
    </cfRule>
  </conditionalFormatting>
  <hyperlinks>
    <hyperlink ref="B1" location="Index!A1" display="Index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4"/>
  <sheetViews>
    <sheetView showGridLines="0" workbookViewId="0"/>
  </sheetViews>
  <sheetFormatPr defaultRowHeight="15" x14ac:dyDescent="0.25"/>
  <cols>
    <col min="1" max="1" width="2.7109375" style="1" customWidth="1"/>
    <col min="2" max="2" width="9.140625" style="1"/>
    <col min="3" max="3" width="40.7109375" style="1" customWidth="1"/>
    <col min="4" max="16384" width="9.140625" style="1"/>
  </cols>
  <sheetData>
    <row r="2" spans="2:5" ht="21" x14ac:dyDescent="0.35">
      <c r="B2" s="5" t="s">
        <v>3</v>
      </c>
    </row>
    <row r="3" spans="2:5" ht="30" customHeight="1" x14ac:dyDescent="0.25">
      <c r="B3" s="97" t="s">
        <v>4</v>
      </c>
      <c r="C3" s="6" t="s">
        <v>5</v>
      </c>
      <c r="D3" s="6" t="s">
        <v>36</v>
      </c>
      <c r="E3" s="6" t="s">
        <v>9</v>
      </c>
    </row>
    <row r="4" spans="2:5" ht="23.1" customHeight="1" x14ac:dyDescent="0.25">
      <c r="B4" s="138">
        <f>MATCH(C4,$C$4:$C$14,0)</f>
        <v>1</v>
      </c>
      <c r="C4" s="135" t="s">
        <v>51</v>
      </c>
      <c r="D4" s="169" t="s">
        <v>10</v>
      </c>
      <c r="E4" s="169" t="s">
        <v>10</v>
      </c>
    </row>
    <row r="5" spans="2:5" ht="23.1" customHeight="1" x14ac:dyDescent="0.25">
      <c r="B5" s="134">
        <f t="shared" ref="B5:B14" si="0">MATCH(C5,$C$4:$C$14,0)</f>
        <v>2</v>
      </c>
      <c r="C5" s="135" t="s">
        <v>52</v>
      </c>
      <c r="D5" s="168" t="s">
        <v>10</v>
      </c>
      <c r="E5" s="168" t="s">
        <v>10</v>
      </c>
    </row>
    <row r="6" spans="2:5" ht="23.1" customHeight="1" x14ac:dyDescent="0.25">
      <c r="B6" s="134">
        <f t="shared" si="0"/>
        <v>3</v>
      </c>
      <c r="C6" s="135" t="s">
        <v>53</v>
      </c>
      <c r="D6" s="168" t="s">
        <v>10</v>
      </c>
      <c r="E6" s="168" t="s">
        <v>10</v>
      </c>
    </row>
    <row r="7" spans="2:5" ht="23.1" customHeight="1" x14ac:dyDescent="0.25">
      <c r="B7" s="134">
        <f t="shared" si="0"/>
        <v>4</v>
      </c>
      <c r="C7" s="135" t="s">
        <v>54</v>
      </c>
      <c r="D7" s="168" t="s">
        <v>10</v>
      </c>
      <c r="E7" s="168" t="s">
        <v>10</v>
      </c>
    </row>
    <row r="8" spans="2:5" ht="23.1" customHeight="1" x14ac:dyDescent="0.25">
      <c r="B8" s="134">
        <f t="shared" si="0"/>
        <v>5</v>
      </c>
      <c r="C8" s="135" t="s">
        <v>37</v>
      </c>
      <c r="D8" s="168" t="s">
        <v>10</v>
      </c>
      <c r="E8" s="168" t="s">
        <v>10</v>
      </c>
    </row>
    <row r="9" spans="2:5" ht="23.1" customHeight="1" x14ac:dyDescent="0.25">
      <c r="B9" s="134">
        <f t="shared" si="0"/>
        <v>6</v>
      </c>
      <c r="C9" s="135" t="s">
        <v>6</v>
      </c>
      <c r="D9" s="168" t="s">
        <v>10</v>
      </c>
      <c r="E9" s="168" t="s">
        <v>10</v>
      </c>
    </row>
    <row r="10" spans="2:5" ht="23.1" customHeight="1" x14ac:dyDescent="0.25">
      <c r="B10" s="134">
        <f t="shared" si="0"/>
        <v>7</v>
      </c>
      <c r="C10" s="135" t="s">
        <v>34</v>
      </c>
      <c r="D10" s="168" t="s">
        <v>10</v>
      </c>
      <c r="E10" s="168" t="s">
        <v>10</v>
      </c>
    </row>
    <row r="11" spans="2:5" ht="23.1" customHeight="1" x14ac:dyDescent="0.25">
      <c r="B11" s="134">
        <f t="shared" si="0"/>
        <v>8</v>
      </c>
      <c r="C11" s="135" t="s">
        <v>27</v>
      </c>
      <c r="D11" s="168" t="s">
        <v>10</v>
      </c>
      <c r="E11" s="168" t="s">
        <v>10</v>
      </c>
    </row>
    <row r="12" spans="2:5" ht="23.1" customHeight="1" x14ac:dyDescent="0.25">
      <c r="B12" s="134">
        <f t="shared" si="0"/>
        <v>9</v>
      </c>
      <c r="C12" s="135" t="s">
        <v>8</v>
      </c>
      <c r="D12" s="168" t="s">
        <v>10</v>
      </c>
      <c r="E12" s="168" t="s">
        <v>10</v>
      </c>
    </row>
    <row r="13" spans="2:5" ht="23.1" customHeight="1" x14ac:dyDescent="0.25">
      <c r="B13" s="134">
        <f t="shared" si="0"/>
        <v>10</v>
      </c>
      <c r="C13" s="135" t="s">
        <v>35</v>
      </c>
      <c r="D13" s="168" t="s">
        <v>10</v>
      </c>
      <c r="E13" s="168" t="s">
        <v>10</v>
      </c>
    </row>
    <row r="14" spans="2:5" ht="23.1" customHeight="1" x14ac:dyDescent="0.25">
      <c r="B14" s="137">
        <f t="shared" si="0"/>
        <v>11</v>
      </c>
      <c r="C14" s="136" t="s">
        <v>163</v>
      </c>
      <c r="D14" s="170" t="s">
        <v>10</v>
      </c>
      <c r="E14" s="170" t="s">
        <v>10</v>
      </c>
    </row>
  </sheetData>
  <hyperlinks>
    <hyperlink ref="D10" location="'CS P'!A1" display="Click" xr:uid="{00000000-0004-0000-0100-000000000000}"/>
    <hyperlink ref="D11" location="'WS P'!A1" display="Click" xr:uid="{00000000-0004-0000-0100-000001000000}"/>
    <hyperlink ref="E11" location="'WS S'!A1" display="Click" xr:uid="{00000000-0004-0000-0100-000002000000}"/>
    <hyperlink ref="E10" location="'CS S'!A1" display="Click" xr:uid="{00000000-0004-0000-0100-000003000000}"/>
    <hyperlink ref="D4" location="'Flags 1 P'!A1" display="Click" xr:uid="{00000000-0004-0000-0100-000004000000}"/>
    <hyperlink ref="E4" location="'Flags 1 S'!A1" display="Click" xr:uid="{00000000-0004-0000-0100-000005000000}"/>
    <hyperlink ref="D5" location="'Flags 2 P'!A1" display="Click" xr:uid="{00000000-0004-0000-0100-000006000000}"/>
    <hyperlink ref="E5" location="'Flags 2 S'!A1" display="Click" xr:uid="{00000000-0004-0000-0100-000007000000}"/>
    <hyperlink ref="D6" location="'Flags 3 P'!A1" display="Click" xr:uid="{00000000-0004-0000-0100-000008000000}"/>
    <hyperlink ref="E6" location="'Flags 3 S'!A1" display="Click" xr:uid="{00000000-0004-0000-0100-000009000000}"/>
    <hyperlink ref="D7" location="'ER P'!A1" display="Click" xr:uid="{00000000-0004-0000-0100-00000A000000}"/>
    <hyperlink ref="E7" location="'ER S'!A1" display="Click" xr:uid="{00000000-0004-0000-0100-00000B000000}"/>
    <hyperlink ref="D9" location="'DC P'!A1" display="Click" xr:uid="{00000000-0004-0000-0100-00000C000000}"/>
    <hyperlink ref="E9" location="'DC S'!A1" display="Click" xr:uid="{00000000-0004-0000-0100-00000D000000}"/>
    <hyperlink ref="D8" location="'BC P'!A1" display="Click" xr:uid="{00000000-0004-0000-0100-00000E000000}"/>
    <hyperlink ref="E8" location="'BC S'!A1" display="Click" xr:uid="{00000000-0004-0000-0100-00000F000000}"/>
    <hyperlink ref="D13" location="'VT P'!A1" display="Click" xr:uid="{00000000-0004-0000-0100-000010000000}"/>
    <hyperlink ref="E13" location="'VT S'!A1" display="Click" xr:uid="{00000000-0004-0000-0100-000011000000}"/>
    <hyperlink ref="D12" location="'LR P'!A1" display="Click" xr:uid="{00000000-0004-0000-0100-000012000000}"/>
    <hyperlink ref="E12" location="'LR S'!A1" display="Click" xr:uid="{00000000-0004-0000-0100-000013000000}"/>
    <hyperlink ref="D14" location="'IRR &amp; NPV P'!A1" display="Click" xr:uid="{00000000-0004-0000-0100-000014000000}"/>
    <hyperlink ref="E14" location="'IRR &amp; NPV S'!A1" display="Click" xr:uid="{00000000-0004-0000-0100-00001500000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O19"/>
  <sheetViews>
    <sheetView showGridLines="0" workbookViewId="0"/>
  </sheetViews>
  <sheetFormatPr defaultRowHeight="15" x14ac:dyDescent="0.25"/>
  <cols>
    <col min="1" max="1" width="2.7109375" customWidth="1"/>
    <col min="2" max="2" width="25.7109375" customWidth="1"/>
  </cols>
  <sheetData>
    <row r="1" spans="2:15" x14ac:dyDescent="0.25">
      <c r="B1" s="27" t="s">
        <v>3</v>
      </c>
    </row>
    <row r="3" spans="2:15" x14ac:dyDescent="0.25">
      <c r="B3" s="61" t="s">
        <v>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s="73" t="s">
        <v>184</v>
      </c>
      <c r="C5" s="70">
        <v>20000</v>
      </c>
    </row>
    <row r="6" spans="2:15" x14ac:dyDescent="0.25">
      <c r="B6" s="78" t="s">
        <v>154</v>
      </c>
      <c r="C6" s="127">
        <v>4</v>
      </c>
    </row>
    <row r="7" spans="2:15" x14ac:dyDescent="0.25">
      <c r="B7" s="79" t="s">
        <v>155</v>
      </c>
      <c r="C7" s="133">
        <v>2</v>
      </c>
      <c r="D7" s="100" t="str">
        <f>"Loan repayment to begin after "&amp;TEXT(C7,"0")&amp;" year(s) of operation"</f>
        <v>Loan repayment to begin after 2 year(s) of operation</v>
      </c>
    </row>
    <row r="9" spans="2:15" x14ac:dyDescent="0.25">
      <c r="D9" s="194" t="s">
        <v>156</v>
      </c>
      <c r="E9" s="195"/>
      <c r="F9" s="195"/>
      <c r="G9" s="195"/>
      <c r="H9" s="195"/>
      <c r="I9" s="195"/>
      <c r="J9" s="195"/>
      <c r="K9" s="195"/>
      <c r="L9" s="195"/>
      <c r="M9" s="196"/>
    </row>
    <row r="10" spans="2:15" x14ac:dyDescent="0.25">
      <c r="D10" s="81">
        <v>1</v>
      </c>
      <c r="E10" s="81">
        <v>2</v>
      </c>
      <c r="F10" s="81">
        <v>3</v>
      </c>
      <c r="G10" s="81">
        <v>4</v>
      </c>
      <c r="H10" s="81">
        <v>5</v>
      </c>
      <c r="I10" s="81">
        <v>6</v>
      </c>
      <c r="J10" s="81">
        <v>7</v>
      </c>
      <c r="K10" s="81">
        <v>8</v>
      </c>
      <c r="L10" s="81">
        <v>9</v>
      </c>
      <c r="M10" s="81">
        <v>10</v>
      </c>
    </row>
    <row r="12" spans="2:15" x14ac:dyDescent="0.25">
      <c r="B12" s="84" t="s">
        <v>157</v>
      </c>
      <c r="C12" s="84"/>
      <c r="D12" s="84" t="b">
        <f>AND(D10&gt;$C$7,D10&lt;=($C$6+$C$7))</f>
        <v>0</v>
      </c>
      <c r="E12" s="84" t="b">
        <f t="shared" ref="E12:M12" si="0">AND(E10&gt;$C$7,E10&lt;=($C$6+$C$7))</f>
        <v>0</v>
      </c>
      <c r="F12" s="84" t="b">
        <f t="shared" si="0"/>
        <v>1</v>
      </c>
      <c r="G12" s="84" t="b">
        <f t="shared" si="0"/>
        <v>1</v>
      </c>
      <c r="H12" s="84" t="b">
        <f t="shared" si="0"/>
        <v>1</v>
      </c>
      <c r="I12" s="84" t="b">
        <f t="shared" si="0"/>
        <v>1</v>
      </c>
      <c r="J12" s="84" t="b">
        <f t="shared" si="0"/>
        <v>0</v>
      </c>
      <c r="K12" s="84" t="b">
        <f t="shared" si="0"/>
        <v>0</v>
      </c>
      <c r="L12" s="84" t="b">
        <f t="shared" si="0"/>
        <v>0</v>
      </c>
      <c r="M12" s="84" t="b">
        <f t="shared" si="0"/>
        <v>0</v>
      </c>
    </row>
    <row r="14" spans="2:15" x14ac:dyDescent="0.25">
      <c r="B14" s="128" t="s">
        <v>158</v>
      </c>
      <c r="D14" s="94">
        <f>C5/C6</f>
        <v>5000</v>
      </c>
    </row>
    <row r="16" spans="2:15" x14ac:dyDescent="0.25">
      <c r="B16" s="130" t="s">
        <v>65</v>
      </c>
      <c r="C16" s="130"/>
      <c r="D16" s="131">
        <f>C19</f>
        <v>20000</v>
      </c>
      <c r="E16" s="131">
        <f t="shared" ref="E16:M16" si="1">D19</f>
        <v>20000</v>
      </c>
      <c r="F16" s="131">
        <f t="shared" si="1"/>
        <v>20000</v>
      </c>
      <c r="G16" s="131">
        <f t="shared" si="1"/>
        <v>15000</v>
      </c>
      <c r="H16" s="131">
        <f t="shared" si="1"/>
        <v>10000</v>
      </c>
      <c r="I16" s="131">
        <f t="shared" si="1"/>
        <v>5000</v>
      </c>
      <c r="J16" s="131">
        <f t="shared" si="1"/>
        <v>0</v>
      </c>
      <c r="K16" s="131">
        <f t="shared" si="1"/>
        <v>0</v>
      </c>
      <c r="L16" s="131">
        <f t="shared" si="1"/>
        <v>0</v>
      </c>
      <c r="M16" s="131">
        <f t="shared" si="1"/>
        <v>0</v>
      </c>
    </row>
    <row r="17" spans="2:13" x14ac:dyDescent="0.25">
      <c r="B17" s="3" t="s">
        <v>66</v>
      </c>
      <c r="C17" s="3"/>
      <c r="D17" s="129">
        <v>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</row>
    <row r="18" spans="2:13" x14ac:dyDescent="0.25">
      <c r="B18" s="3" t="s">
        <v>159</v>
      </c>
      <c r="C18" s="3"/>
      <c r="D18" s="129">
        <f>$D$14*D12</f>
        <v>0</v>
      </c>
      <c r="E18" s="129">
        <f t="shared" ref="E18:M18" si="2">$D$14*E12</f>
        <v>0</v>
      </c>
      <c r="F18" s="129">
        <f t="shared" si="2"/>
        <v>5000</v>
      </c>
      <c r="G18" s="129">
        <f t="shared" si="2"/>
        <v>5000</v>
      </c>
      <c r="H18" s="129">
        <f t="shared" si="2"/>
        <v>5000</v>
      </c>
      <c r="I18" s="129">
        <f t="shared" si="2"/>
        <v>5000</v>
      </c>
      <c r="J18" s="129">
        <f t="shared" si="2"/>
        <v>0</v>
      </c>
      <c r="K18" s="129">
        <f t="shared" si="2"/>
        <v>0</v>
      </c>
      <c r="L18" s="129">
        <f t="shared" si="2"/>
        <v>0</v>
      </c>
      <c r="M18" s="129">
        <f t="shared" si="2"/>
        <v>0</v>
      </c>
    </row>
    <row r="19" spans="2:13" x14ac:dyDescent="0.25">
      <c r="B19" s="85" t="s">
        <v>68</v>
      </c>
      <c r="C19" s="132">
        <f>C5</f>
        <v>20000</v>
      </c>
      <c r="D19" s="132">
        <f>D16+D17-D18</f>
        <v>20000</v>
      </c>
      <c r="E19" s="132">
        <f t="shared" ref="E19:M19" si="3">E16+E17-E18</f>
        <v>20000</v>
      </c>
      <c r="F19" s="132">
        <f t="shared" si="3"/>
        <v>15000</v>
      </c>
      <c r="G19" s="132">
        <f t="shared" si="3"/>
        <v>10000</v>
      </c>
      <c r="H19" s="132">
        <f t="shared" si="3"/>
        <v>5000</v>
      </c>
      <c r="I19" s="132">
        <f t="shared" si="3"/>
        <v>0</v>
      </c>
      <c r="J19" s="132">
        <f t="shared" si="3"/>
        <v>0</v>
      </c>
      <c r="K19" s="132">
        <f t="shared" si="3"/>
        <v>0</v>
      </c>
      <c r="L19" s="132">
        <f t="shared" si="3"/>
        <v>0</v>
      </c>
      <c r="M19" s="132">
        <f t="shared" si="3"/>
        <v>0</v>
      </c>
    </row>
  </sheetData>
  <mergeCells count="1">
    <mergeCell ref="D9:M9"/>
  </mergeCells>
  <conditionalFormatting sqref="D12:M12">
    <cfRule type="cellIs" dxfId="0" priority="1" operator="equal">
      <formula>TRUE</formula>
    </cfRule>
  </conditionalFormatting>
  <hyperlinks>
    <hyperlink ref="B1" location="Index!A1" display="Index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P56"/>
  <sheetViews>
    <sheetView showGridLines="0" workbookViewId="0"/>
  </sheetViews>
  <sheetFormatPr defaultRowHeight="15" x14ac:dyDescent="0.25"/>
  <cols>
    <col min="1" max="1" width="2.7109375" customWidth="1"/>
    <col min="2" max="2" width="25.7109375" customWidth="1"/>
    <col min="3" max="6" width="9.7109375" customWidth="1"/>
    <col min="7" max="7" width="11.7109375" bestFit="1" customWidth="1"/>
    <col min="8" max="8" width="9.5703125" bestFit="1" customWidth="1"/>
    <col min="12" max="12" width="12.5703125" bestFit="1" customWidth="1"/>
    <col min="14" max="14" width="15.5703125" bestFit="1" customWidth="1"/>
    <col min="15" max="16" width="12.5703125" bestFit="1" customWidth="1"/>
  </cols>
  <sheetData>
    <row r="1" spans="2:16" x14ac:dyDescent="0.25">
      <c r="B1" s="27" t="s">
        <v>3</v>
      </c>
    </row>
    <row r="3" spans="2:16" x14ac:dyDescent="0.25">
      <c r="B3" s="61" t="s">
        <v>35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2:16" x14ac:dyDescent="0.25">
      <c r="B4" s="87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6" x14ac:dyDescent="0.25">
      <c r="B5" s="103" t="s">
        <v>81</v>
      </c>
      <c r="C5" s="104"/>
      <c r="D5" s="3"/>
      <c r="E5" s="3"/>
      <c r="F5" s="3"/>
      <c r="G5" s="3"/>
      <c r="H5" s="3"/>
      <c r="I5" s="3"/>
      <c r="J5" s="3"/>
      <c r="K5" s="3"/>
      <c r="L5" s="3"/>
    </row>
    <row r="6" spans="2:16" x14ac:dyDescent="0.25">
      <c r="B6" s="105" t="s">
        <v>189</v>
      </c>
      <c r="C6" s="4"/>
    </row>
    <row r="7" spans="2:16" x14ac:dyDescent="0.25">
      <c r="B7" s="105" t="s">
        <v>82</v>
      </c>
      <c r="C7" s="4"/>
    </row>
    <row r="8" spans="2:16" x14ac:dyDescent="0.25">
      <c r="B8" s="106" t="s">
        <v>188</v>
      </c>
      <c r="C8" s="107"/>
    </row>
    <row r="10" spans="2:16" x14ac:dyDescent="0.25">
      <c r="B10" s="126" t="s">
        <v>83</v>
      </c>
      <c r="C10" s="94"/>
      <c r="D10" s="94"/>
    </row>
    <row r="12" spans="2:16" x14ac:dyDescent="0.25">
      <c r="B12" s="108" t="s">
        <v>84</v>
      </c>
      <c r="C12" s="109" t="s">
        <v>85</v>
      </c>
      <c r="D12" s="123" t="s">
        <v>86</v>
      </c>
      <c r="E12" s="110"/>
      <c r="F12" s="152"/>
      <c r="G12" s="111" t="s">
        <v>87</v>
      </c>
      <c r="H12" s="111" t="s">
        <v>86</v>
      </c>
    </row>
    <row r="13" spans="2:16" x14ac:dyDescent="0.25">
      <c r="B13" s="112" t="s">
        <v>88</v>
      </c>
      <c r="C13" s="113">
        <v>3.5</v>
      </c>
      <c r="D13" s="113"/>
      <c r="E13" s="110"/>
      <c r="F13" s="114"/>
      <c r="G13" s="114" t="s">
        <v>89</v>
      </c>
      <c r="H13" s="114" t="s">
        <v>90</v>
      </c>
    </row>
    <row r="14" spans="2:16" x14ac:dyDescent="0.25">
      <c r="B14" s="112" t="s">
        <v>91</v>
      </c>
      <c r="C14" s="113">
        <v>3.9</v>
      </c>
      <c r="D14" s="113"/>
      <c r="E14" s="110"/>
      <c r="F14" s="114"/>
      <c r="G14" s="114" t="s">
        <v>92</v>
      </c>
      <c r="H14" s="114" t="s">
        <v>93</v>
      </c>
    </row>
    <row r="15" spans="2:16" x14ac:dyDescent="0.25">
      <c r="B15" s="112" t="s">
        <v>94</v>
      </c>
      <c r="C15" s="113">
        <v>3.7</v>
      </c>
      <c r="D15" s="113"/>
      <c r="E15" s="110"/>
      <c r="F15" s="114"/>
      <c r="G15" s="114" t="s">
        <v>95</v>
      </c>
      <c r="H15" s="114" t="s">
        <v>96</v>
      </c>
    </row>
    <row r="16" spans="2:16" x14ac:dyDescent="0.25">
      <c r="B16" s="112" t="s">
        <v>97</v>
      </c>
      <c r="C16" s="113">
        <v>2</v>
      </c>
      <c r="D16" s="113"/>
      <c r="E16" s="110"/>
      <c r="F16" s="114"/>
      <c r="G16" s="114" t="s">
        <v>98</v>
      </c>
      <c r="H16" s="114" t="s">
        <v>20</v>
      </c>
    </row>
    <row r="17" spans="2:8" x14ac:dyDescent="0.25">
      <c r="B17" s="112" t="s">
        <v>99</v>
      </c>
      <c r="C17" s="113">
        <v>4.8</v>
      </c>
      <c r="D17" s="113"/>
      <c r="E17" s="110"/>
      <c r="F17" s="114"/>
      <c r="G17" s="114" t="s">
        <v>100</v>
      </c>
      <c r="H17" s="114" t="s">
        <v>17</v>
      </c>
    </row>
    <row r="18" spans="2:8" x14ac:dyDescent="0.25">
      <c r="B18" s="112" t="s">
        <v>101</v>
      </c>
      <c r="C18" s="113">
        <v>5</v>
      </c>
      <c r="D18" s="113"/>
      <c r="E18" s="110"/>
      <c r="F18" s="114"/>
      <c r="G18" s="114">
        <v>5</v>
      </c>
      <c r="H18" s="114" t="s">
        <v>102</v>
      </c>
    </row>
    <row r="19" spans="2:8" x14ac:dyDescent="0.25">
      <c r="B19" s="112" t="s">
        <v>103</v>
      </c>
      <c r="C19" s="113">
        <v>3.4</v>
      </c>
      <c r="D19" s="113"/>
      <c r="E19" s="110"/>
      <c r="F19" s="110"/>
      <c r="G19" s="110"/>
      <c r="H19" s="110"/>
    </row>
    <row r="20" spans="2:8" x14ac:dyDescent="0.25">
      <c r="B20" s="112" t="s">
        <v>104</v>
      </c>
      <c r="C20" s="113">
        <v>5</v>
      </c>
      <c r="D20" s="113"/>
      <c r="E20" s="110"/>
      <c r="F20" s="124" t="s">
        <v>9</v>
      </c>
      <c r="G20" s="125"/>
      <c r="H20" s="94"/>
    </row>
    <row r="21" spans="2:8" x14ac:dyDescent="0.25">
      <c r="B21" s="112" t="s">
        <v>105</v>
      </c>
      <c r="C21" s="113">
        <v>4</v>
      </c>
      <c r="D21" s="113"/>
      <c r="E21" s="110"/>
      <c r="F21" s="110"/>
      <c r="G21" s="110"/>
      <c r="H21" s="110"/>
    </row>
    <row r="22" spans="2:8" x14ac:dyDescent="0.25">
      <c r="B22" s="112" t="s">
        <v>106</v>
      </c>
      <c r="C22" s="113">
        <v>4.3</v>
      </c>
      <c r="D22" s="113"/>
      <c r="E22" s="110"/>
      <c r="F22" s="110"/>
      <c r="G22" s="110"/>
      <c r="H22" s="110"/>
    </row>
    <row r="23" spans="2:8" x14ac:dyDescent="0.25">
      <c r="B23" s="112" t="s">
        <v>107</v>
      </c>
      <c r="C23" s="113">
        <v>4.5999999999999996</v>
      </c>
      <c r="D23" s="113"/>
      <c r="E23" s="110"/>
      <c r="F23" s="110"/>
      <c r="G23" s="110"/>
      <c r="H23" s="110"/>
    </row>
    <row r="24" spans="2:8" x14ac:dyDescent="0.25">
      <c r="B24" s="112" t="s">
        <v>108</v>
      </c>
      <c r="C24" s="113">
        <v>4.9000000000000004</v>
      </c>
      <c r="D24" s="113"/>
      <c r="E24" s="110"/>
      <c r="F24" s="110"/>
      <c r="G24" s="110"/>
      <c r="H24" s="110"/>
    </row>
    <row r="25" spans="2:8" x14ac:dyDescent="0.25">
      <c r="B25" s="112" t="s">
        <v>109</v>
      </c>
      <c r="C25" s="113">
        <v>3.8</v>
      </c>
      <c r="D25" s="113"/>
      <c r="E25" s="110"/>
      <c r="F25" s="110"/>
      <c r="G25" s="110"/>
      <c r="H25" s="110"/>
    </row>
    <row r="26" spans="2:8" x14ac:dyDescent="0.25">
      <c r="B26" s="112" t="s">
        <v>110</v>
      </c>
      <c r="C26" s="113">
        <v>4.7</v>
      </c>
      <c r="D26" s="113"/>
      <c r="E26" s="110"/>
      <c r="F26" s="110"/>
      <c r="G26" s="110"/>
      <c r="H26" s="110"/>
    </row>
    <row r="27" spans="2:8" x14ac:dyDescent="0.25">
      <c r="B27" s="112" t="s">
        <v>111</v>
      </c>
      <c r="C27" s="113">
        <v>3.8</v>
      </c>
      <c r="D27" s="113"/>
      <c r="E27" s="110"/>
      <c r="F27" s="110"/>
      <c r="G27" s="110"/>
      <c r="H27" s="110"/>
    </row>
    <row r="28" spans="2:8" x14ac:dyDescent="0.25">
      <c r="B28" s="112" t="s">
        <v>112</v>
      </c>
      <c r="C28" s="113">
        <v>4.2</v>
      </c>
      <c r="D28" s="113"/>
      <c r="E28" s="110"/>
      <c r="F28" s="110"/>
      <c r="G28" s="110"/>
      <c r="H28" s="110"/>
    </row>
    <row r="29" spans="2:8" x14ac:dyDescent="0.25">
      <c r="B29" s="112" t="s">
        <v>113</v>
      </c>
      <c r="C29" s="113">
        <v>4.3</v>
      </c>
      <c r="D29" s="113"/>
      <c r="E29" s="110"/>
      <c r="F29" s="110"/>
      <c r="G29" s="110"/>
      <c r="H29" s="110"/>
    </row>
    <row r="30" spans="2:8" x14ac:dyDescent="0.25">
      <c r="B30" s="112" t="s">
        <v>114</v>
      </c>
      <c r="C30" s="113">
        <v>4.2</v>
      </c>
      <c r="D30" s="113"/>
      <c r="E30" s="110"/>
      <c r="F30" s="110"/>
      <c r="G30" s="110"/>
      <c r="H30" s="110"/>
    </row>
    <row r="31" spans="2:8" x14ac:dyDescent="0.25">
      <c r="B31" s="112" t="s">
        <v>115</v>
      </c>
      <c r="C31" s="113">
        <v>3.4</v>
      </c>
      <c r="D31" s="113"/>
      <c r="E31" s="110"/>
      <c r="F31" s="110"/>
      <c r="G31" s="110"/>
      <c r="H31" s="110"/>
    </row>
    <row r="32" spans="2:8" x14ac:dyDescent="0.25">
      <c r="B32" s="112" t="s">
        <v>116</v>
      </c>
      <c r="C32" s="113">
        <v>3.9</v>
      </c>
      <c r="D32" s="113"/>
      <c r="E32" s="110"/>
      <c r="F32" s="110"/>
      <c r="G32" s="110"/>
      <c r="H32" s="110"/>
    </row>
    <row r="33" spans="2:8" x14ac:dyDescent="0.25">
      <c r="B33" s="112" t="s">
        <v>117</v>
      </c>
      <c r="C33" s="113">
        <v>3</v>
      </c>
      <c r="D33" s="113"/>
      <c r="E33" s="110"/>
      <c r="F33" s="110"/>
      <c r="G33" s="110"/>
      <c r="H33" s="110"/>
    </row>
    <row r="34" spans="2:8" x14ac:dyDescent="0.25">
      <c r="B34" s="112" t="s">
        <v>118</v>
      </c>
      <c r="C34" s="113">
        <v>4.5999999999999996</v>
      </c>
      <c r="D34" s="113"/>
      <c r="E34" s="110"/>
      <c r="F34" s="110"/>
      <c r="G34" s="110"/>
      <c r="H34" s="110"/>
    </row>
    <row r="35" spans="2:8" x14ac:dyDescent="0.25">
      <c r="B35" s="112" t="s">
        <v>119</v>
      </c>
      <c r="C35" s="113">
        <v>4.4000000000000004</v>
      </c>
      <c r="D35" s="113"/>
      <c r="E35" s="110"/>
      <c r="F35" s="110"/>
      <c r="G35" s="110"/>
      <c r="H35" s="110"/>
    </row>
    <row r="36" spans="2:8" x14ac:dyDescent="0.25">
      <c r="B36" s="112" t="s">
        <v>120</v>
      </c>
      <c r="C36" s="113">
        <v>3.3</v>
      </c>
      <c r="D36" s="113"/>
      <c r="E36" s="110"/>
      <c r="F36" s="110"/>
      <c r="G36" s="110"/>
      <c r="H36" s="110"/>
    </row>
    <row r="37" spans="2:8" x14ac:dyDescent="0.25">
      <c r="B37" s="112" t="s">
        <v>121</v>
      </c>
      <c r="C37" s="113">
        <v>3.3</v>
      </c>
      <c r="D37" s="113"/>
      <c r="E37" s="110"/>
      <c r="F37" s="110"/>
      <c r="G37" s="110"/>
      <c r="H37" s="110"/>
    </row>
    <row r="38" spans="2:8" x14ac:dyDescent="0.25">
      <c r="B38" s="112" t="s">
        <v>122</v>
      </c>
      <c r="C38" s="113">
        <v>3.9</v>
      </c>
      <c r="D38" s="113"/>
      <c r="E38" s="110"/>
      <c r="F38" s="110"/>
      <c r="G38" s="110"/>
      <c r="H38" s="110"/>
    </row>
    <row r="39" spans="2:8" x14ac:dyDescent="0.25">
      <c r="B39" s="112" t="s">
        <v>123</v>
      </c>
      <c r="C39" s="113">
        <v>3.3</v>
      </c>
      <c r="D39" s="113"/>
      <c r="E39" s="110"/>
      <c r="F39" s="110"/>
      <c r="G39" s="110"/>
      <c r="H39" s="110"/>
    </row>
    <row r="40" spans="2:8" x14ac:dyDescent="0.25">
      <c r="B40" s="112" t="s">
        <v>124</v>
      </c>
      <c r="C40" s="113">
        <v>3.3</v>
      </c>
      <c r="D40" s="113"/>
      <c r="E40" s="110"/>
      <c r="F40" s="110"/>
      <c r="G40" s="110"/>
      <c r="H40" s="110"/>
    </row>
    <row r="41" spans="2:8" x14ac:dyDescent="0.25">
      <c r="B41" s="112" t="s">
        <v>125</v>
      </c>
      <c r="C41" s="113">
        <v>4.3</v>
      </c>
      <c r="D41" s="113"/>
      <c r="E41" s="110"/>
      <c r="F41" s="110"/>
      <c r="G41" s="110"/>
      <c r="H41" s="110"/>
    </row>
    <row r="42" spans="2:8" x14ac:dyDescent="0.25">
      <c r="B42" s="112" t="s">
        <v>126</v>
      </c>
      <c r="C42" s="113">
        <v>5</v>
      </c>
      <c r="D42" s="113"/>
      <c r="E42" s="110"/>
      <c r="F42" s="110"/>
      <c r="G42" s="110"/>
      <c r="H42" s="110"/>
    </row>
    <row r="43" spans="2:8" x14ac:dyDescent="0.25">
      <c r="B43" s="112" t="s">
        <v>127</v>
      </c>
      <c r="C43" s="113">
        <v>4.8</v>
      </c>
      <c r="D43" s="113"/>
      <c r="E43" s="110"/>
      <c r="F43" s="110"/>
      <c r="G43" s="110"/>
      <c r="H43" s="110"/>
    </row>
    <row r="44" spans="2:8" x14ac:dyDescent="0.25">
      <c r="B44" s="112" t="s">
        <v>128</v>
      </c>
      <c r="C44" s="113">
        <v>4.5</v>
      </c>
      <c r="D44" s="113"/>
      <c r="E44" s="110"/>
      <c r="F44" s="110"/>
      <c r="G44" s="110"/>
      <c r="H44" s="110"/>
    </row>
    <row r="45" spans="2:8" x14ac:dyDescent="0.25">
      <c r="B45" s="112" t="s">
        <v>129</v>
      </c>
      <c r="C45" s="113">
        <v>4.3</v>
      </c>
      <c r="D45" s="113"/>
      <c r="E45" s="110"/>
      <c r="F45" s="110"/>
      <c r="G45" s="110"/>
      <c r="H45" s="110"/>
    </row>
    <row r="46" spans="2:8" x14ac:dyDescent="0.25">
      <c r="B46" s="112" t="s">
        <v>130</v>
      </c>
      <c r="C46" s="113">
        <v>3.9</v>
      </c>
      <c r="D46" s="113"/>
      <c r="E46" s="110"/>
      <c r="F46" s="110"/>
      <c r="G46" s="110"/>
      <c r="H46" s="110"/>
    </row>
    <row r="47" spans="2:8" x14ac:dyDescent="0.25">
      <c r="B47" s="112" t="s">
        <v>131</v>
      </c>
      <c r="C47" s="113">
        <v>4.7</v>
      </c>
      <c r="D47" s="113"/>
      <c r="E47" s="110"/>
      <c r="F47" s="110"/>
      <c r="G47" s="110"/>
      <c r="H47" s="110"/>
    </row>
    <row r="48" spans="2:8" x14ac:dyDescent="0.25">
      <c r="B48" s="112" t="s">
        <v>132</v>
      </c>
      <c r="C48" s="113">
        <v>4.5</v>
      </c>
      <c r="D48" s="113"/>
      <c r="E48" s="110"/>
      <c r="F48" s="110"/>
      <c r="G48" s="110"/>
      <c r="H48" s="110"/>
    </row>
    <row r="49" spans="2:8" x14ac:dyDescent="0.25">
      <c r="B49" s="112" t="s">
        <v>133</v>
      </c>
      <c r="C49" s="113">
        <v>3.1</v>
      </c>
      <c r="D49" s="113"/>
      <c r="E49" s="110"/>
      <c r="F49" s="110"/>
      <c r="G49" s="110"/>
      <c r="H49" s="110"/>
    </row>
    <row r="50" spans="2:8" x14ac:dyDescent="0.25">
      <c r="B50" s="112" t="s">
        <v>134</v>
      </c>
      <c r="C50" s="113">
        <v>3.3</v>
      </c>
      <c r="D50" s="113"/>
      <c r="E50" s="110"/>
      <c r="F50" s="110"/>
      <c r="G50" s="110"/>
      <c r="H50" s="110"/>
    </row>
    <row r="51" spans="2:8" x14ac:dyDescent="0.25">
      <c r="B51" s="112" t="s">
        <v>135</v>
      </c>
      <c r="C51" s="113">
        <v>4.2</v>
      </c>
      <c r="D51" s="113"/>
      <c r="E51" s="110"/>
      <c r="F51" s="110"/>
      <c r="G51" s="110"/>
      <c r="H51" s="110"/>
    </row>
    <row r="52" spans="2:8" x14ac:dyDescent="0.25">
      <c r="B52" s="112" t="s">
        <v>136</v>
      </c>
      <c r="C52" s="113">
        <v>3</v>
      </c>
      <c r="D52" s="113"/>
      <c r="E52" s="110"/>
      <c r="F52" s="110"/>
      <c r="G52" s="110"/>
      <c r="H52" s="110"/>
    </row>
    <row r="53" spans="2:8" x14ac:dyDescent="0.25">
      <c r="B53" s="112" t="s">
        <v>137</v>
      </c>
      <c r="C53" s="113">
        <v>3.2</v>
      </c>
      <c r="D53" s="113"/>
      <c r="E53" s="110"/>
      <c r="F53" s="110"/>
      <c r="G53" s="110"/>
      <c r="H53" s="110"/>
    </row>
    <row r="54" spans="2:8" x14ac:dyDescent="0.25">
      <c r="B54" s="112" t="s">
        <v>138</v>
      </c>
      <c r="C54" s="113">
        <v>4.0999999999999996</v>
      </c>
      <c r="D54" s="113"/>
      <c r="E54" s="110"/>
      <c r="F54" s="110"/>
      <c r="G54" s="110"/>
      <c r="H54" s="110"/>
    </row>
    <row r="55" spans="2:8" x14ac:dyDescent="0.25">
      <c r="C55" s="164"/>
    </row>
    <row r="56" spans="2:8" x14ac:dyDescent="0.25">
      <c r="C56" s="164"/>
    </row>
  </sheetData>
  <hyperlinks>
    <hyperlink ref="B1" location="Index!A1" display="Index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P54"/>
  <sheetViews>
    <sheetView showGridLines="0" zoomScaleNormal="100" workbookViewId="0"/>
  </sheetViews>
  <sheetFormatPr defaultRowHeight="15" x14ac:dyDescent="0.25"/>
  <cols>
    <col min="1" max="1" width="2.7109375" customWidth="1"/>
    <col min="2" max="2" width="25.7109375" customWidth="1"/>
    <col min="3" max="6" width="9.7109375" customWidth="1"/>
    <col min="7" max="7" width="11.7109375" bestFit="1" customWidth="1"/>
    <col min="8" max="8" width="9.5703125" bestFit="1" customWidth="1"/>
    <col min="12" max="12" width="12.5703125" bestFit="1" customWidth="1"/>
    <col min="14" max="14" width="15.5703125" bestFit="1" customWidth="1"/>
    <col min="15" max="16" width="12.5703125" bestFit="1" customWidth="1"/>
  </cols>
  <sheetData>
    <row r="1" spans="2:16" x14ac:dyDescent="0.25">
      <c r="B1" s="27" t="s">
        <v>3</v>
      </c>
    </row>
    <row r="3" spans="2:16" x14ac:dyDescent="0.25">
      <c r="B3" s="61" t="s">
        <v>35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2:16" x14ac:dyDescent="0.25">
      <c r="B4" s="87"/>
      <c r="C4" s="3"/>
      <c r="D4" s="3"/>
      <c r="E4" s="3"/>
      <c r="F4" s="3"/>
      <c r="G4" s="3"/>
      <c r="H4" s="3"/>
      <c r="I4" s="3"/>
      <c r="J4" s="3"/>
      <c r="K4" s="3"/>
    </row>
    <row r="5" spans="2:16" x14ac:dyDescent="0.25">
      <c r="B5" s="103" t="s">
        <v>81</v>
      </c>
      <c r="C5" s="104"/>
      <c r="D5" s="3"/>
      <c r="E5" s="3"/>
      <c r="F5" s="3"/>
      <c r="G5" s="3"/>
      <c r="H5" s="3"/>
      <c r="I5" s="3"/>
    </row>
    <row r="6" spans="2:16" x14ac:dyDescent="0.25">
      <c r="B6" s="105" t="s">
        <v>189</v>
      </c>
      <c r="C6" s="4"/>
    </row>
    <row r="7" spans="2:16" x14ac:dyDescent="0.25">
      <c r="B7" s="105" t="s">
        <v>82</v>
      </c>
      <c r="C7" s="4"/>
    </row>
    <row r="8" spans="2:16" x14ac:dyDescent="0.25">
      <c r="B8" s="106" t="s">
        <v>188</v>
      </c>
      <c r="C8" s="107"/>
    </row>
    <row r="10" spans="2:16" x14ac:dyDescent="0.25">
      <c r="B10" s="126" t="s">
        <v>83</v>
      </c>
      <c r="C10" s="94"/>
      <c r="D10" s="94"/>
      <c r="J10" s="197" t="s">
        <v>153</v>
      </c>
      <c r="K10" s="198"/>
      <c r="L10" s="198"/>
      <c r="M10" s="198"/>
      <c r="N10" s="198"/>
      <c r="O10" s="198"/>
      <c r="P10" s="199"/>
    </row>
    <row r="12" spans="2:16" x14ac:dyDescent="0.25">
      <c r="B12" s="108" t="s">
        <v>84</v>
      </c>
      <c r="C12" s="109" t="s">
        <v>85</v>
      </c>
      <c r="D12" s="123" t="s">
        <v>86</v>
      </c>
      <c r="E12" s="110"/>
      <c r="F12" s="152"/>
      <c r="G12" s="111" t="s">
        <v>87</v>
      </c>
      <c r="H12" s="111" t="s">
        <v>86</v>
      </c>
      <c r="J12" s="115" t="s">
        <v>139</v>
      </c>
      <c r="K12" s="116" t="s">
        <v>140</v>
      </c>
      <c r="L12" s="117" t="s">
        <v>141</v>
      </c>
      <c r="M12" s="118"/>
      <c r="N12" s="116" t="s">
        <v>142</v>
      </c>
      <c r="O12" s="119" t="s">
        <v>141</v>
      </c>
      <c r="P12" s="119" t="s">
        <v>141</v>
      </c>
    </row>
    <row r="13" spans="2:16" x14ac:dyDescent="0.25">
      <c r="B13" s="112" t="s">
        <v>88</v>
      </c>
      <c r="C13" s="113">
        <v>3.5</v>
      </c>
      <c r="D13" s="113" t="str">
        <f>VLOOKUP(C13,$F$13:$H$18,3,1)</f>
        <v>D</v>
      </c>
      <c r="E13" s="110"/>
      <c r="F13" s="114">
        <v>0</v>
      </c>
      <c r="G13" s="114" t="s">
        <v>89</v>
      </c>
      <c r="H13" s="114" t="s">
        <v>90</v>
      </c>
      <c r="J13" s="120">
        <v>0</v>
      </c>
      <c r="K13" s="120" t="s">
        <v>143</v>
      </c>
      <c r="L13" s="121" t="s">
        <v>144</v>
      </c>
      <c r="M13" s="118"/>
      <c r="N13" s="120">
        <v>54</v>
      </c>
      <c r="O13" s="122" t="str">
        <f>IF(N13&lt;40,"Fail",IF(N13&lt;60,"Pass with Div 2",IF(N13&lt;80,"Pass with Div 1",IF(N13&lt;90,"Distinction","Scholar"))))</f>
        <v>Pass with Div 2</v>
      </c>
      <c r="P13" s="120" t="str">
        <f t="shared" ref="P13:P18" si="0">VLOOKUP(N13,$J$13:$L$17,3,1)</f>
        <v>Pass with Div 2</v>
      </c>
    </row>
    <row r="14" spans="2:16" x14ac:dyDescent="0.25">
      <c r="B14" s="112" t="s">
        <v>91</v>
      </c>
      <c r="C14" s="113">
        <v>3.9</v>
      </c>
      <c r="D14" s="113" t="str">
        <f t="shared" ref="D14:D54" si="1">VLOOKUP(C14,$F$13:$H$18,3,1)</f>
        <v>C</v>
      </c>
      <c r="E14" s="110"/>
      <c r="F14" s="114">
        <v>3.1</v>
      </c>
      <c r="G14" s="114" t="s">
        <v>92</v>
      </c>
      <c r="H14" s="114" t="s">
        <v>93</v>
      </c>
      <c r="J14" s="120">
        <v>40</v>
      </c>
      <c r="K14" s="120" t="s">
        <v>145</v>
      </c>
      <c r="L14" s="121" t="s">
        <v>146</v>
      </c>
      <c r="M14" s="118"/>
      <c r="N14" s="120">
        <v>12</v>
      </c>
      <c r="O14" s="122" t="str">
        <f t="shared" ref="O14:O18" si="2">IF(N14&lt;40,"Fail",IF(N14&lt;60,"Pass with Div 2",IF(N14&lt;80,"Pass with Div 1",IF(N14&lt;90,"Distinction","Scholar"))))</f>
        <v>Fail</v>
      </c>
      <c r="P14" s="120" t="str">
        <f t="shared" si="0"/>
        <v>Fail</v>
      </c>
    </row>
    <row r="15" spans="2:16" x14ac:dyDescent="0.25">
      <c r="B15" s="112" t="s">
        <v>94</v>
      </c>
      <c r="C15" s="113">
        <v>3.7</v>
      </c>
      <c r="D15" s="113" t="str">
        <f t="shared" si="1"/>
        <v>C</v>
      </c>
      <c r="E15" s="110"/>
      <c r="F15" s="114">
        <v>3.6</v>
      </c>
      <c r="G15" s="114" t="s">
        <v>95</v>
      </c>
      <c r="H15" s="114" t="s">
        <v>96</v>
      </c>
      <c r="J15" s="120">
        <v>60</v>
      </c>
      <c r="K15" s="120" t="s">
        <v>147</v>
      </c>
      <c r="L15" s="121" t="s">
        <v>148</v>
      </c>
      <c r="M15" s="118"/>
      <c r="N15" s="120">
        <v>78</v>
      </c>
      <c r="O15" s="122" t="str">
        <f t="shared" si="2"/>
        <v>Pass with Div 1</v>
      </c>
      <c r="P15" s="120" t="str">
        <f t="shared" si="0"/>
        <v>Pass with Div 1</v>
      </c>
    </row>
    <row r="16" spans="2:16" x14ac:dyDescent="0.25">
      <c r="B16" s="112" t="s">
        <v>97</v>
      </c>
      <c r="C16" s="113">
        <v>2</v>
      </c>
      <c r="D16" s="113" t="str">
        <f t="shared" si="1"/>
        <v>E</v>
      </c>
      <c r="E16" s="110"/>
      <c r="F16" s="114">
        <v>4.0999999999999996</v>
      </c>
      <c r="G16" s="114" t="s">
        <v>98</v>
      </c>
      <c r="H16" s="114" t="s">
        <v>20</v>
      </c>
      <c r="J16" s="120">
        <v>80</v>
      </c>
      <c r="K16" s="120" t="s">
        <v>149</v>
      </c>
      <c r="L16" s="121" t="s">
        <v>150</v>
      </c>
      <c r="M16" s="118"/>
      <c r="N16" s="120">
        <v>98</v>
      </c>
      <c r="O16" s="122" t="str">
        <f t="shared" si="2"/>
        <v>Scholar</v>
      </c>
      <c r="P16" s="120" t="str">
        <f t="shared" si="0"/>
        <v>Scholar</v>
      </c>
    </row>
    <row r="17" spans="2:16" x14ac:dyDescent="0.25">
      <c r="B17" s="112" t="s">
        <v>99</v>
      </c>
      <c r="C17" s="113">
        <v>4.8</v>
      </c>
      <c r="D17" s="113" t="str">
        <f t="shared" si="1"/>
        <v>A</v>
      </c>
      <c r="E17" s="110"/>
      <c r="F17" s="114">
        <v>4.5999999999999996</v>
      </c>
      <c r="G17" s="114" t="s">
        <v>100</v>
      </c>
      <c r="H17" s="114" t="s">
        <v>17</v>
      </c>
      <c r="J17" s="120">
        <v>90</v>
      </c>
      <c r="K17" s="120" t="s">
        <v>151</v>
      </c>
      <c r="L17" s="121" t="s">
        <v>152</v>
      </c>
      <c r="M17" s="118"/>
      <c r="N17" s="120">
        <v>40</v>
      </c>
      <c r="O17" s="122" t="str">
        <f t="shared" si="2"/>
        <v>Pass with Div 2</v>
      </c>
      <c r="P17" s="120" t="str">
        <f t="shared" si="0"/>
        <v>Pass with Div 2</v>
      </c>
    </row>
    <row r="18" spans="2:16" x14ac:dyDescent="0.25">
      <c r="B18" s="112" t="s">
        <v>101</v>
      </c>
      <c r="C18" s="113">
        <v>5</v>
      </c>
      <c r="D18" s="113" t="str">
        <f t="shared" si="1"/>
        <v>A+</v>
      </c>
      <c r="E18" s="110"/>
      <c r="F18" s="114">
        <v>5</v>
      </c>
      <c r="G18" s="114">
        <v>5</v>
      </c>
      <c r="H18" s="114" t="s">
        <v>102</v>
      </c>
      <c r="J18" s="118"/>
      <c r="K18" s="118"/>
      <c r="L18" s="118"/>
      <c r="M18" s="118"/>
      <c r="N18" s="120">
        <v>39</v>
      </c>
      <c r="O18" s="122" t="str">
        <f t="shared" si="2"/>
        <v>Fail</v>
      </c>
      <c r="P18" s="120" t="str">
        <f t="shared" si="0"/>
        <v>Fail</v>
      </c>
    </row>
    <row r="19" spans="2:16" x14ac:dyDescent="0.25">
      <c r="B19" s="112" t="s">
        <v>103</v>
      </c>
      <c r="C19" s="113">
        <v>3.4</v>
      </c>
      <c r="D19" s="113" t="str">
        <f t="shared" si="1"/>
        <v>D</v>
      </c>
      <c r="E19" s="110"/>
      <c r="F19" s="110"/>
      <c r="G19" s="110"/>
      <c r="H19" s="110"/>
    </row>
    <row r="20" spans="2:16" x14ac:dyDescent="0.25">
      <c r="B20" s="112" t="s">
        <v>104</v>
      </c>
      <c r="C20" s="113">
        <v>5</v>
      </c>
      <c r="D20" s="113" t="str">
        <f t="shared" si="1"/>
        <v>A+</v>
      </c>
      <c r="E20" s="110"/>
      <c r="F20" s="124" t="s">
        <v>9</v>
      </c>
      <c r="G20" s="125"/>
      <c r="H20" s="94">
        <f>COUNTIF(D13:D54,"B")</f>
        <v>11</v>
      </c>
    </row>
    <row r="21" spans="2:16" x14ac:dyDescent="0.25">
      <c r="B21" s="112" t="s">
        <v>105</v>
      </c>
      <c r="C21" s="113">
        <v>4</v>
      </c>
      <c r="D21" s="113" t="str">
        <f t="shared" si="1"/>
        <v>C</v>
      </c>
      <c r="E21" s="110"/>
      <c r="F21" s="110"/>
      <c r="G21" s="110"/>
      <c r="H21" s="110"/>
    </row>
    <row r="22" spans="2:16" x14ac:dyDescent="0.25">
      <c r="B22" s="112" t="s">
        <v>106</v>
      </c>
      <c r="C22" s="113">
        <v>4.3</v>
      </c>
      <c r="D22" s="113" t="str">
        <f t="shared" si="1"/>
        <v>B</v>
      </c>
      <c r="E22" s="110"/>
      <c r="F22" s="110"/>
      <c r="G22" s="110"/>
      <c r="H22" s="110"/>
    </row>
    <row r="23" spans="2:16" x14ac:dyDescent="0.25">
      <c r="B23" s="112" t="s">
        <v>107</v>
      </c>
      <c r="C23" s="113">
        <v>4.5999999999999996</v>
      </c>
      <c r="D23" s="113" t="str">
        <f t="shared" si="1"/>
        <v>A</v>
      </c>
      <c r="E23" s="110"/>
      <c r="F23" s="110"/>
      <c r="G23" s="110"/>
      <c r="H23" s="110"/>
    </row>
    <row r="24" spans="2:16" x14ac:dyDescent="0.25">
      <c r="B24" s="112" t="s">
        <v>108</v>
      </c>
      <c r="C24" s="113">
        <v>4.9000000000000004</v>
      </c>
      <c r="D24" s="113" t="str">
        <f t="shared" si="1"/>
        <v>A</v>
      </c>
      <c r="E24" s="110"/>
      <c r="F24" s="110"/>
      <c r="G24" s="110"/>
      <c r="H24" s="110"/>
    </row>
    <row r="25" spans="2:16" x14ac:dyDescent="0.25">
      <c r="B25" s="112" t="s">
        <v>109</v>
      </c>
      <c r="C25" s="113">
        <v>3.8</v>
      </c>
      <c r="D25" s="113" t="str">
        <f t="shared" si="1"/>
        <v>C</v>
      </c>
      <c r="E25" s="110"/>
      <c r="F25" s="110"/>
      <c r="G25" s="110"/>
      <c r="H25" s="110"/>
    </row>
    <row r="26" spans="2:16" x14ac:dyDescent="0.25">
      <c r="B26" s="112" t="s">
        <v>110</v>
      </c>
      <c r="C26" s="113">
        <v>4.7</v>
      </c>
      <c r="D26" s="113" t="str">
        <f t="shared" si="1"/>
        <v>A</v>
      </c>
      <c r="E26" s="110"/>
      <c r="F26" s="110"/>
      <c r="G26" s="110"/>
      <c r="H26" s="110"/>
    </row>
    <row r="27" spans="2:16" x14ac:dyDescent="0.25">
      <c r="B27" s="112" t="s">
        <v>111</v>
      </c>
      <c r="C27" s="113">
        <v>3.8</v>
      </c>
      <c r="D27" s="113" t="str">
        <f t="shared" si="1"/>
        <v>C</v>
      </c>
      <c r="E27" s="110"/>
      <c r="F27" s="110"/>
      <c r="G27" s="110"/>
      <c r="H27" s="110"/>
    </row>
    <row r="28" spans="2:16" x14ac:dyDescent="0.25">
      <c r="B28" s="112" t="s">
        <v>112</v>
      </c>
      <c r="C28" s="113">
        <v>4.2</v>
      </c>
      <c r="D28" s="113" t="str">
        <f t="shared" si="1"/>
        <v>B</v>
      </c>
      <c r="E28" s="110"/>
      <c r="F28" s="110"/>
      <c r="G28" s="110"/>
      <c r="H28" s="110"/>
    </row>
    <row r="29" spans="2:16" x14ac:dyDescent="0.25">
      <c r="B29" s="112" t="s">
        <v>113</v>
      </c>
      <c r="C29" s="113">
        <v>4.3</v>
      </c>
      <c r="D29" s="113" t="str">
        <f t="shared" si="1"/>
        <v>B</v>
      </c>
      <c r="E29" s="110"/>
      <c r="F29" s="110"/>
      <c r="G29" s="110"/>
      <c r="H29" s="110"/>
    </row>
    <row r="30" spans="2:16" x14ac:dyDescent="0.25">
      <c r="B30" s="112" t="s">
        <v>114</v>
      </c>
      <c r="C30" s="113">
        <v>4.2</v>
      </c>
      <c r="D30" s="113" t="str">
        <f t="shared" si="1"/>
        <v>B</v>
      </c>
      <c r="E30" s="110"/>
      <c r="F30" s="110"/>
      <c r="G30" s="110"/>
      <c r="H30" s="110"/>
    </row>
    <row r="31" spans="2:16" x14ac:dyDescent="0.25">
      <c r="B31" s="112" t="s">
        <v>115</v>
      </c>
      <c r="C31" s="113">
        <v>3.4</v>
      </c>
      <c r="D31" s="113" t="str">
        <f t="shared" si="1"/>
        <v>D</v>
      </c>
      <c r="E31" s="110"/>
      <c r="F31" s="110"/>
      <c r="G31" s="110"/>
      <c r="H31" s="110"/>
    </row>
    <row r="32" spans="2:16" x14ac:dyDescent="0.25">
      <c r="B32" s="112" t="s">
        <v>116</v>
      </c>
      <c r="C32" s="113">
        <v>3.9</v>
      </c>
      <c r="D32" s="113" t="str">
        <f t="shared" si="1"/>
        <v>C</v>
      </c>
      <c r="E32" s="110"/>
      <c r="F32" s="110"/>
      <c r="G32" s="110"/>
      <c r="H32" s="110"/>
    </row>
    <row r="33" spans="2:8" x14ac:dyDescent="0.25">
      <c r="B33" s="112" t="s">
        <v>117</v>
      </c>
      <c r="C33" s="113">
        <v>3</v>
      </c>
      <c r="D33" s="113" t="str">
        <f t="shared" si="1"/>
        <v>E</v>
      </c>
      <c r="E33" s="110"/>
      <c r="F33" s="110"/>
      <c r="G33" s="110"/>
      <c r="H33" s="110"/>
    </row>
    <row r="34" spans="2:8" x14ac:dyDescent="0.25">
      <c r="B34" s="112" t="s">
        <v>118</v>
      </c>
      <c r="C34" s="113">
        <v>4.5999999999999996</v>
      </c>
      <c r="D34" s="113" t="str">
        <f t="shared" si="1"/>
        <v>A</v>
      </c>
      <c r="E34" s="110"/>
      <c r="F34" s="110"/>
      <c r="G34" s="110"/>
      <c r="H34" s="110"/>
    </row>
    <row r="35" spans="2:8" x14ac:dyDescent="0.25">
      <c r="B35" s="112" t="s">
        <v>119</v>
      </c>
      <c r="C35" s="113">
        <v>4.4000000000000004</v>
      </c>
      <c r="D35" s="113" t="str">
        <f t="shared" si="1"/>
        <v>B</v>
      </c>
      <c r="E35" s="110"/>
      <c r="F35" s="110"/>
      <c r="G35" s="110"/>
      <c r="H35" s="110"/>
    </row>
    <row r="36" spans="2:8" x14ac:dyDescent="0.25">
      <c r="B36" s="112" t="s">
        <v>120</v>
      </c>
      <c r="C36" s="113">
        <v>3.3</v>
      </c>
      <c r="D36" s="113" t="str">
        <f t="shared" si="1"/>
        <v>D</v>
      </c>
      <c r="E36" s="110"/>
      <c r="F36" s="110"/>
      <c r="G36" s="110"/>
      <c r="H36" s="110"/>
    </row>
    <row r="37" spans="2:8" x14ac:dyDescent="0.25">
      <c r="B37" s="112" t="s">
        <v>121</v>
      </c>
      <c r="C37" s="113">
        <v>3.3</v>
      </c>
      <c r="D37" s="113" t="str">
        <f t="shared" si="1"/>
        <v>D</v>
      </c>
      <c r="E37" s="110"/>
      <c r="F37" s="110"/>
      <c r="G37" s="110"/>
      <c r="H37" s="110"/>
    </row>
    <row r="38" spans="2:8" x14ac:dyDescent="0.25">
      <c r="B38" s="112" t="s">
        <v>122</v>
      </c>
      <c r="C38" s="113">
        <v>3.9</v>
      </c>
      <c r="D38" s="113" t="str">
        <f t="shared" si="1"/>
        <v>C</v>
      </c>
      <c r="E38" s="110"/>
      <c r="F38" s="110"/>
      <c r="G38" s="110"/>
      <c r="H38" s="110"/>
    </row>
    <row r="39" spans="2:8" x14ac:dyDescent="0.25">
      <c r="B39" s="112" t="s">
        <v>123</v>
      </c>
      <c r="C39" s="113">
        <v>3.3</v>
      </c>
      <c r="D39" s="113" t="str">
        <f t="shared" si="1"/>
        <v>D</v>
      </c>
      <c r="E39" s="110"/>
      <c r="F39" s="110"/>
      <c r="G39" s="110"/>
      <c r="H39" s="110"/>
    </row>
    <row r="40" spans="2:8" x14ac:dyDescent="0.25">
      <c r="B40" s="112" t="s">
        <v>124</v>
      </c>
      <c r="C40" s="113">
        <v>3.3</v>
      </c>
      <c r="D40" s="113" t="str">
        <f t="shared" si="1"/>
        <v>D</v>
      </c>
      <c r="E40" s="110"/>
      <c r="F40" s="110"/>
      <c r="G40" s="110"/>
      <c r="H40" s="110"/>
    </row>
    <row r="41" spans="2:8" x14ac:dyDescent="0.25">
      <c r="B41" s="112" t="s">
        <v>125</v>
      </c>
      <c r="C41" s="113">
        <v>4.3</v>
      </c>
      <c r="D41" s="113" t="str">
        <f t="shared" si="1"/>
        <v>B</v>
      </c>
      <c r="E41" s="110"/>
      <c r="F41" s="110"/>
      <c r="G41" s="110"/>
      <c r="H41" s="110"/>
    </row>
    <row r="42" spans="2:8" x14ac:dyDescent="0.25">
      <c r="B42" s="112" t="s">
        <v>126</v>
      </c>
      <c r="C42" s="113">
        <v>5</v>
      </c>
      <c r="D42" s="113" t="str">
        <f t="shared" si="1"/>
        <v>A+</v>
      </c>
      <c r="E42" s="110"/>
      <c r="F42" s="110"/>
      <c r="G42" s="110"/>
      <c r="H42" s="110"/>
    </row>
    <row r="43" spans="2:8" x14ac:dyDescent="0.25">
      <c r="B43" s="112" t="s">
        <v>127</v>
      </c>
      <c r="C43" s="113">
        <v>4.8</v>
      </c>
      <c r="D43" s="113" t="str">
        <f t="shared" si="1"/>
        <v>A</v>
      </c>
      <c r="E43" s="110"/>
      <c r="F43" s="110"/>
      <c r="G43" s="110"/>
      <c r="H43" s="110"/>
    </row>
    <row r="44" spans="2:8" x14ac:dyDescent="0.25">
      <c r="B44" s="112" t="s">
        <v>128</v>
      </c>
      <c r="C44" s="113">
        <v>4.5</v>
      </c>
      <c r="D44" s="113" t="str">
        <f t="shared" si="1"/>
        <v>B</v>
      </c>
      <c r="E44" s="110"/>
      <c r="F44" s="110"/>
      <c r="G44" s="110"/>
      <c r="H44" s="110"/>
    </row>
    <row r="45" spans="2:8" x14ac:dyDescent="0.25">
      <c r="B45" s="112" t="s">
        <v>129</v>
      </c>
      <c r="C45" s="113">
        <v>4.3</v>
      </c>
      <c r="D45" s="113" t="str">
        <f t="shared" si="1"/>
        <v>B</v>
      </c>
      <c r="E45" s="110"/>
      <c r="F45" s="110"/>
      <c r="G45" s="110"/>
      <c r="H45" s="110"/>
    </row>
    <row r="46" spans="2:8" x14ac:dyDescent="0.25">
      <c r="B46" s="112" t="s">
        <v>130</v>
      </c>
      <c r="C46" s="113">
        <v>3.9</v>
      </c>
      <c r="D46" s="113" t="str">
        <f t="shared" si="1"/>
        <v>C</v>
      </c>
      <c r="E46" s="110"/>
      <c r="F46" s="110"/>
      <c r="G46" s="110"/>
      <c r="H46" s="110"/>
    </row>
    <row r="47" spans="2:8" x14ac:dyDescent="0.25">
      <c r="B47" s="112" t="s">
        <v>131</v>
      </c>
      <c r="C47" s="113">
        <v>4.7</v>
      </c>
      <c r="D47" s="113" t="str">
        <f t="shared" si="1"/>
        <v>A</v>
      </c>
      <c r="E47" s="110"/>
      <c r="F47" s="110"/>
      <c r="G47" s="110"/>
      <c r="H47" s="110"/>
    </row>
    <row r="48" spans="2:8" x14ac:dyDescent="0.25">
      <c r="B48" s="112" t="s">
        <v>132</v>
      </c>
      <c r="C48" s="113">
        <v>4.5</v>
      </c>
      <c r="D48" s="113" t="str">
        <f t="shared" si="1"/>
        <v>B</v>
      </c>
      <c r="E48" s="110"/>
      <c r="F48" s="110"/>
      <c r="G48" s="110"/>
      <c r="H48" s="110"/>
    </row>
    <row r="49" spans="2:8" x14ac:dyDescent="0.25">
      <c r="B49" s="112" t="s">
        <v>133</v>
      </c>
      <c r="C49" s="113">
        <v>3.1</v>
      </c>
      <c r="D49" s="113" t="str">
        <f t="shared" si="1"/>
        <v>D</v>
      </c>
      <c r="E49" s="110"/>
      <c r="F49" s="110"/>
      <c r="G49" s="110"/>
      <c r="H49" s="110"/>
    </row>
    <row r="50" spans="2:8" x14ac:dyDescent="0.25">
      <c r="B50" s="112" t="s">
        <v>134</v>
      </c>
      <c r="C50" s="113">
        <v>3.3</v>
      </c>
      <c r="D50" s="113" t="str">
        <f t="shared" si="1"/>
        <v>D</v>
      </c>
      <c r="E50" s="110"/>
      <c r="F50" s="110"/>
      <c r="G50" s="110"/>
      <c r="H50" s="110"/>
    </row>
    <row r="51" spans="2:8" x14ac:dyDescent="0.25">
      <c r="B51" s="112" t="s">
        <v>135</v>
      </c>
      <c r="C51" s="113">
        <v>4.2</v>
      </c>
      <c r="D51" s="113" t="str">
        <f t="shared" si="1"/>
        <v>B</v>
      </c>
      <c r="E51" s="110"/>
      <c r="F51" s="110"/>
      <c r="G51" s="110"/>
      <c r="H51" s="110"/>
    </row>
    <row r="52" spans="2:8" x14ac:dyDescent="0.25">
      <c r="B52" s="112" t="s">
        <v>136</v>
      </c>
      <c r="C52" s="113">
        <v>3</v>
      </c>
      <c r="D52" s="113" t="str">
        <f t="shared" si="1"/>
        <v>E</v>
      </c>
      <c r="E52" s="110"/>
      <c r="F52" s="110"/>
      <c r="G52" s="110"/>
      <c r="H52" s="110"/>
    </row>
    <row r="53" spans="2:8" x14ac:dyDescent="0.25">
      <c r="B53" s="112" t="s">
        <v>137</v>
      </c>
      <c r="C53" s="113">
        <v>3.2</v>
      </c>
      <c r="D53" s="113" t="str">
        <f t="shared" si="1"/>
        <v>D</v>
      </c>
      <c r="E53" s="110"/>
      <c r="F53" s="110"/>
      <c r="G53" s="110"/>
      <c r="H53" s="110"/>
    </row>
    <row r="54" spans="2:8" x14ac:dyDescent="0.25">
      <c r="B54" s="112" t="s">
        <v>138</v>
      </c>
      <c r="C54" s="113">
        <v>4.0999999999999996</v>
      </c>
      <c r="D54" s="113" t="str">
        <f t="shared" si="1"/>
        <v>B</v>
      </c>
      <c r="E54" s="110"/>
      <c r="F54" s="110"/>
      <c r="G54" s="110"/>
      <c r="H54" s="110"/>
    </row>
  </sheetData>
  <mergeCells count="1">
    <mergeCell ref="J10:P10"/>
  </mergeCells>
  <hyperlinks>
    <hyperlink ref="B1" location="Index!A1" display="Index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1"/>
  <sheetViews>
    <sheetView showGridLines="0" workbookViewId="0"/>
  </sheetViews>
  <sheetFormatPr defaultRowHeight="15" x14ac:dyDescent="0.25"/>
  <cols>
    <col min="1" max="1" width="2.7109375" customWidth="1"/>
    <col min="2" max="2" width="25.7109375" customWidth="1"/>
    <col min="3" max="7" width="9.140625" customWidth="1"/>
    <col min="12" max="12" width="9.5703125" bestFit="1" customWidth="1"/>
  </cols>
  <sheetData>
    <row r="1" spans="2:15" x14ac:dyDescent="0.25">
      <c r="B1" s="27" t="s">
        <v>3</v>
      </c>
    </row>
    <row r="3" spans="2:15" x14ac:dyDescent="0.25">
      <c r="B3" s="61" t="s">
        <v>163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s="53"/>
      <c r="C5" s="81">
        <v>0</v>
      </c>
      <c r="D5" s="81">
        <f>C5+1</f>
        <v>1</v>
      </c>
      <c r="E5" s="81">
        <f t="shared" ref="E5:G5" si="0">D5+1</f>
        <v>2</v>
      </c>
      <c r="F5" s="81">
        <f t="shared" si="0"/>
        <v>3</v>
      </c>
      <c r="G5" s="81">
        <f t="shared" si="0"/>
        <v>4</v>
      </c>
      <c r="I5" s="151" t="s">
        <v>160</v>
      </c>
      <c r="J5" s="143" t="s">
        <v>7</v>
      </c>
      <c r="L5" s="151" t="s">
        <v>161</v>
      </c>
      <c r="M5" s="143" t="s">
        <v>162</v>
      </c>
    </row>
    <row r="6" spans="2:15" x14ac:dyDescent="0.25">
      <c r="B6" s="141" t="s">
        <v>173</v>
      </c>
      <c r="C6" s="90">
        <v>-100</v>
      </c>
      <c r="D6" s="90">
        <v>100</v>
      </c>
      <c r="E6" s="90"/>
      <c r="F6" s="90"/>
      <c r="G6" s="104"/>
      <c r="I6" s="78">
        <f>SUM(C6:G6)</f>
        <v>0</v>
      </c>
      <c r="J6" s="144"/>
      <c r="K6" s="139"/>
      <c r="L6" s="148">
        <f>J6</f>
        <v>0</v>
      </c>
      <c r="M6" s="147"/>
    </row>
    <row r="7" spans="2:15" x14ac:dyDescent="0.25">
      <c r="B7" s="2"/>
      <c r="C7" s="3"/>
      <c r="D7" s="3"/>
      <c r="E7" s="3"/>
      <c r="F7" s="3"/>
      <c r="G7" s="4"/>
      <c r="I7" s="78"/>
      <c r="J7" s="144"/>
      <c r="K7" s="139"/>
      <c r="L7" s="149"/>
      <c r="M7" s="147"/>
    </row>
    <row r="8" spans="2:15" x14ac:dyDescent="0.25">
      <c r="B8" s="2" t="s">
        <v>174</v>
      </c>
      <c r="C8" s="3">
        <v>-100</v>
      </c>
      <c r="D8" s="3">
        <v>25</v>
      </c>
      <c r="E8" s="3">
        <v>25</v>
      </c>
      <c r="F8" s="3">
        <v>25</v>
      </c>
      <c r="G8" s="4">
        <v>25</v>
      </c>
      <c r="I8" s="78">
        <f>SUM(C8:G8)</f>
        <v>0</v>
      </c>
      <c r="J8" s="144"/>
      <c r="K8" s="139"/>
      <c r="L8" s="149">
        <v>0</v>
      </c>
      <c r="M8" s="147"/>
    </row>
    <row r="9" spans="2:15" x14ac:dyDescent="0.25">
      <c r="B9" s="2"/>
      <c r="C9" s="3"/>
      <c r="D9" s="3"/>
      <c r="E9" s="3"/>
      <c r="F9" s="3"/>
      <c r="G9" s="4"/>
      <c r="I9" s="78"/>
      <c r="J9" s="144"/>
      <c r="K9" s="139"/>
      <c r="L9" s="149"/>
      <c r="M9" s="147"/>
    </row>
    <row r="10" spans="2:15" x14ac:dyDescent="0.25">
      <c r="B10" s="2" t="s">
        <v>175</v>
      </c>
      <c r="C10" s="3">
        <v>-100</v>
      </c>
      <c r="D10" s="3">
        <v>25</v>
      </c>
      <c r="E10" s="3">
        <v>25</v>
      </c>
      <c r="F10" s="3">
        <v>25</v>
      </c>
      <c r="G10" s="4">
        <v>45</v>
      </c>
      <c r="I10" s="78">
        <f>SUM(C10:G10)</f>
        <v>20</v>
      </c>
      <c r="J10" s="144"/>
      <c r="K10" s="140"/>
      <c r="L10" s="149">
        <v>0.05</v>
      </c>
      <c r="M10" s="147"/>
    </row>
    <row r="11" spans="2:15" x14ac:dyDescent="0.25">
      <c r="B11" s="2"/>
      <c r="C11" s="3"/>
      <c r="D11" s="3"/>
      <c r="E11" s="3"/>
      <c r="F11" s="3"/>
      <c r="G11" s="4"/>
      <c r="I11" s="78"/>
      <c r="J11" s="144"/>
      <c r="K11" s="140"/>
      <c r="L11" s="149"/>
      <c r="M11" s="147"/>
    </row>
    <row r="12" spans="2:15" x14ac:dyDescent="0.25">
      <c r="B12" s="142" t="s">
        <v>176</v>
      </c>
      <c r="C12" s="86">
        <v>-100</v>
      </c>
      <c r="D12" s="86">
        <v>45</v>
      </c>
      <c r="E12" s="86">
        <v>25</v>
      </c>
      <c r="F12" s="86">
        <v>25</v>
      </c>
      <c r="G12" s="107">
        <v>25</v>
      </c>
      <c r="I12" s="79">
        <f>SUM(C12:G12)</f>
        <v>20</v>
      </c>
      <c r="J12" s="80"/>
      <c r="K12" s="140"/>
      <c r="L12" s="150">
        <v>0.05</v>
      </c>
      <c r="M12" s="146"/>
    </row>
    <row r="16" spans="2:15" x14ac:dyDescent="0.25">
      <c r="C16" s="81">
        <v>0</v>
      </c>
      <c r="D16" s="81">
        <v>1</v>
      </c>
      <c r="E16" s="81">
        <f>D16+1</f>
        <v>2</v>
      </c>
      <c r="F16" s="81">
        <f t="shared" ref="F16:H16" si="1">E16+1</f>
        <v>3</v>
      </c>
      <c r="G16" s="81">
        <f t="shared" si="1"/>
        <v>4</v>
      </c>
      <c r="H16" s="81">
        <f t="shared" si="1"/>
        <v>5</v>
      </c>
      <c r="J16" s="81" t="s">
        <v>177</v>
      </c>
      <c r="K16" s="81"/>
      <c r="L16" s="93">
        <v>0.1</v>
      </c>
    </row>
    <row r="17" spans="2:8" x14ac:dyDescent="0.25">
      <c r="B17" s="160" t="s">
        <v>171</v>
      </c>
      <c r="C17" s="156">
        <v>-15000</v>
      </c>
      <c r="D17" s="156">
        <v>2500</v>
      </c>
      <c r="E17" s="156">
        <v>2500</v>
      </c>
      <c r="F17" s="156">
        <v>7500</v>
      </c>
      <c r="G17" s="156">
        <v>7500</v>
      </c>
      <c r="H17" s="157">
        <v>1500</v>
      </c>
    </row>
    <row r="18" spans="2:8" x14ac:dyDescent="0.25">
      <c r="B18" s="161" t="s">
        <v>172</v>
      </c>
      <c r="C18" s="158"/>
      <c r="D18" s="158"/>
      <c r="E18" s="158"/>
      <c r="F18" s="158"/>
      <c r="G18" s="158"/>
      <c r="H18" s="159"/>
    </row>
    <row r="19" spans="2:8" x14ac:dyDescent="0.25">
      <c r="B19" s="153" t="s">
        <v>162</v>
      </c>
      <c r="C19" s="155"/>
      <c r="D19" t="s">
        <v>178</v>
      </c>
    </row>
    <row r="21" spans="2:8" x14ac:dyDescent="0.25">
      <c r="B21" s="153" t="s">
        <v>162</v>
      </c>
      <c r="C21" s="154"/>
      <c r="D21" t="s">
        <v>179</v>
      </c>
    </row>
  </sheetData>
  <hyperlinks>
    <hyperlink ref="B1" location="Index!A1" display="Index" xr:uid="{00000000-0004-0000-1600-000000000000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O21"/>
  <sheetViews>
    <sheetView showGridLines="0" workbookViewId="0"/>
  </sheetViews>
  <sheetFormatPr defaultRowHeight="15" x14ac:dyDescent="0.25"/>
  <cols>
    <col min="1" max="1" width="2.7109375" customWidth="1"/>
    <col min="2" max="2" width="25.7109375" customWidth="1"/>
    <col min="3" max="7" width="9.140625" customWidth="1"/>
    <col min="12" max="12" width="9.5703125" bestFit="1" customWidth="1"/>
  </cols>
  <sheetData>
    <row r="1" spans="2:15" x14ac:dyDescent="0.25">
      <c r="B1" s="27" t="s">
        <v>3</v>
      </c>
    </row>
    <row r="3" spans="2:15" x14ac:dyDescent="0.25">
      <c r="B3" s="61" t="s">
        <v>163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s="53"/>
      <c r="C5" s="81">
        <v>1</v>
      </c>
      <c r="D5" s="81">
        <f>C5+1</f>
        <v>2</v>
      </c>
      <c r="E5" s="81">
        <f t="shared" ref="E5:G5" si="0">D5+1</f>
        <v>3</v>
      </c>
      <c r="F5" s="81">
        <f t="shared" si="0"/>
        <v>4</v>
      </c>
      <c r="G5" s="81">
        <f t="shared" si="0"/>
        <v>5</v>
      </c>
      <c r="I5" s="151" t="s">
        <v>160</v>
      </c>
      <c r="J5" s="143" t="s">
        <v>7</v>
      </c>
      <c r="L5" s="151" t="s">
        <v>161</v>
      </c>
      <c r="M5" s="143" t="s">
        <v>162</v>
      </c>
    </row>
    <row r="6" spans="2:15" x14ac:dyDescent="0.25">
      <c r="B6" s="141" t="s">
        <v>173</v>
      </c>
      <c r="C6" s="90">
        <v>-100</v>
      </c>
      <c r="D6" s="90">
        <v>100</v>
      </c>
      <c r="E6" s="90"/>
      <c r="F6" s="90"/>
      <c r="G6" s="104"/>
      <c r="I6" s="78">
        <f>SUM(C6:G6)</f>
        <v>0</v>
      </c>
      <c r="J6" s="144">
        <f>IRR(C6:G6)</f>
        <v>0</v>
      </c>
      <c r="K6" s="139"/>
      <c r="L6" s="148">
        <v>0</v>
      </c>
      <c r="M6" s="147">
        <f>NPV(L6,C6:G6)</f>
        <v>0</v>
      </c>
    </row>
    <row r="7" spans="2:15" x14ac:dyDescent="0.25">
      <c r="B7" s="2"/>
      <c r="C7" s="3"/>
      <c r="D7" s="3"/>
      <c r="E7" s="3"/>
      <c r="F7" s="3"/>
      <c r="G7" s="4"/>
      <c r="I7" s="78"/>
      <c r="J7" s="144"/>
      <c r="K7" s="139"/>
      <c r="L7" s="149"/>
      <c r="M7" s="147"/>
    </row>
    <row r="8" spans="2:15" x14ac:dyDescent="0.25">
      <c r="B8" s="2" t="s">
        <v>174</v>
      </c>
      <c r="C8" s="3">
        <v>-100</v>
      </c>
      <c r="D8" s="3">
        <v>25</v>
      </c>
      <c r="E8" s="3">
        <v>25</v>
      </c>
      <c r="F8" s="3">
        <v>25</v>
      </c>
      <c r="G8" s="4">
        <v>25</v>
      </c>
      <c r="I8" s="78">
        <f>SUM(C8:G8)</f>
        <v>0</v>
      </c>
      <c r="J8" s="144">
        <f>IRR(C8:G8)</f>
        <v>5.6843418860808015E-14</v>
      </c>
      <c r="K8" s="139"/>
      <c r="L8" s="149">
        <v>0</v>
      </c>
      <c r="M8" s="147">
        <f t="shared" ref="M8:M12" si="1">NPV(L8,C8:G8)</f>
        <v>0</v>
      </c>
    </row>
    <row r="9" spans="2:15" x14ac:dyDescent="0.25">
      <c r="B9" s="2"/>
      <c r="C9" s="3"/>
      <c r="D9" s="3"/>
      <c r="E9" s="3"/>
      <c r="F9" s="3"/>
      <c r="G9" s="4"/>
      <c r="I9" s="78"/>
      <c r="J9" s="144"/>
      <c r="K9" s="139"/>
      <c r="L9" s="149"/>
      <c r="M9" s="147"/>
    </row>
    <row r="10" spans="2:15" x14ac:dyDescent="0.25">
      <c r="B10" s="2" t="s">
        <v>175</v>
      </c>
      <c r="C10" s="3">
        <v>-100</v>
      </c>
      <c r="D10" s="3">
        <v>25</v>
      </c>
      <c r="E10" s="3">
        <v>25</v>
      </c>
      <c r="F10" s="3">
        <v>25</v>
      </c>
      <c r="G10" s="4">
        <v>45</v>
      </c>
      <c r="I10" s="78">
        <f>SUM(C10:G10)</f>
        <v>20</v>
      </c>
      <c r="J10" s="144">
        <f>IRR(C10:G10)</f>
        <v>6.9751075964677556E-2</v>
      </c>
      <c r="K10" s="140"/>
      <c r="L10" s="149">
        <v>0.05</v>
      </c>
      <c r="M10" s="147">
        <f t="shared" si="1"/>
        <v>4.8598210475206116</v>
      </c>
    </row>
    <row r="11" spans="2:15" x14ac:dyDescent="0.25">
      <c r="B11" s="2"/>
      <c r="C11" s="3"/>
      <c r="D11" s="3"/>
      <c r="E11" s="3"/>
      <c r="F11" s="3"/>
      <c r="G11" s="4"/>
      <c r="I11" s="78"/>
      <c r="J11" s="144"/>
      <c r="K11" s="140"/>
      <c r="L11" s="149"/>
      <c r="M11" s="147"/>
    </row>
    <row r="12" spans="2:15" x14ac:dyDescent="0.25">
      <c r="B12" s="142" t="s">
        <v>176</v>
      </c>
      <c r="C12" s="86">
        <v>-100</v>
      </c>
      <c r="D12" s="86">
        <v>45</v>
      </c>
      <c r="E12" s="86">
        <v>25</v>
      </c>
      <c r="F12" s="86">
        <v>25</v>
      </c>
      <c r="G12" s="107">
        <v>25</v>
      </c>
      <c r="I12" s="79">
        <f>SUM(C12:G12)</f>
        <v>20</v>
      </c>
      <c r="J12" s="145">
        <f>IRR(C12:G12)</f>
        <v>8.663647074994163E-2</v>
      </c>
      <c r="K12" s="140"/>
      <c r="L12" s="150">
        <v>0.05</v>
      </c>
      <c r="M12" s="146">
        <f t="shared" si="1"/>
        <v>7.3298872873124203</v>
      </c>
    </row>
    <row r="16" spans="2:15" x14ac:dyDescent="0.25">
      <c r="C16" s="81">
        <v>0</v>
      </c>
      <c r="D16" s="81">
        <v>1</v>
      </c>
      <c r="E16" s="81">
        <f>D16+1</f>
        <v>2</v>
      </c>
      <c r="F16" s="81">
        <f t="shared" ref="F16" si="2">E16+1</f>
        <v>3</v>
      </c>
      <c r="G16" s="81">
        <f t="shared" ref="G16" si="3">F16+1</f>
        <v>4</v>
      </c>
      <c r="H16" s="81">
        <f t="shared" ref="H16" si="4">G16+1</f>
        <v>5</v>
      </c>
      <c r="J16" s="81" t="s">
        <v>177</v>
      </c>
      <c r="K16" s="81"/>
      <c r="L16" s="93">
        <v>0.1</v>
      </c>
    </row>
    <row r="17" spans="2:8" x14ac:dyDescent="0.25">
      <c r="B17" s="160" t="s">
        <v>171</v>
      </c>
      <c r="C17" s="156">
        <v>-15000</v>
      </c>
      <c r="D17" s="156">
        <v>2500</v>
      </c>
      <c r="E17" s="156">
        <v>2500</v>
      </c>
      <c r="F17" s="156">
        <v>7500</v>
      </c>
      <c r="G17" s="156">
        <v>7500</v>
      </c>
      <c r="H17" s="157">
        <v>1500</v>
      </c>
    </row>
    <row r="18" spans="2:8" x14ac:dyDescent="0.25">
      <c r="B18" s="161" t="s">
        <v>172</v>
      </c>
      <c r="C18" s="158">
        <f>C17/(1+$L$16)^C16</f>
        <v>-15000</v>
      </c>
      <c r="D18" s="158">
        <f t="shared" ref="D18:H18" si="5">D17/(1+$L$16)^D16</f>
        <v>2272.7272727272725</v>
      </c>
      <c r="E18" s="158">
        <f t="shared" si="5"/>
        <v>2066.1157024793383</v>
      </c>
      <c r="F18" s="158">
        <f t="shared" si="5"/>
        <v>5634.861006761831</v>
      </c>
      <c r="G18" s="158">
        <f t="shared" si="5"/>
        <v>5122.6009152380284</v>
      </c>
      <c r="H18" s="159">
        <f t="shared" si="5"/>
        <v>931.38198458873239</v>
      </c>
    </row>
    <row r="19" spans="2:8" x14ac:dyDescent="0.25">
      <c r="B19" s="153" t="s">
        <v>162</v>
      </c>
      <c r="C19" s="155">
        <f>SUM(C18:H18)</f>
        <v>1027.6868817952031</v>
      </c>
      <c r="D19" t="s">
        <v>178</v>
      </c>
    </row>
    <row r="21" spans="2:8" x14ac:dyDescent="0.25">
      <c r="B21" s="153" t="s">
        <v>162</v>
      </c>
      <c r="C21" s="154">
        <f>NPV(L16,D17:H17)+C17</f>
        <v>1027.6868817952036</v>
      </c>
      <c r="D21" t="s">
        <v>179</v>
      </c>
    </row>
  </sheetData>
  <hyperlinks>
    <hyperlink ref="B1" location="Index!A1" display="Index" xr:uid="{00000000-0004-0000-1700-000000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3"/>
  <sheetViews>
    <sheetView showGridLines="0" workbookViewId="0"/>
  </sheetViews>
  <sheetFormatPr defaultRowHeight="15" x14ac:dyDescent="0.25"/>
  <cols>
    <col min="1" max="1" width="2.7109375" customWidth="1"/>
    <col min="2" max="2" width="20.7109375" customWidth="1"/>
    <col min="3" max="7" width="9.7109375" customWidth="1"/>
  </cols>
  <sheetData>
    <row r="1" spans="2:15" x14ac:dyDescent="0.25">
      <c r="B1" s="171" t="s">
        <v>3</v>
      </c>
    </row>
    <row r="3" spans="2:15" x14ac:dyDescent="0.25">
      <c r="B3" s="61" t="s">
        <v>75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t="s">
        <v>164</v>
      </c>
      <c r="C5" s="59">
        <v>2</v>
      </c>
    </row>
    <row r="6" spans="2:15" x14ac:dyDescent="0.25">
      <c r="B6" t="s">
        <v>38</v>
      </c>
      <c r="C6" s="60">
        <v>10000</v>
      </c>
    </row>
    <row r="9" spans="2:15" x14ac:dyDescent="0.25">
      <c r="C9" s="44">
        <v>1</v>
      </c>
      <c r="D9" s="44">
        <v>2</v>
      </c>
      <c r="E9" s="44">
        <v>3</v>
      </c>
      <c r="F9" s="44">
        <v>4</v>
      </c>
      <c r="G9" s="44">
        <v>5</v>
      </c>
    </row>
    <row r="11" spans="2:15" x14ac:dyDescent="0.25">
      <c r="B11" t="s">
        <v>39</v>
      </c>
      <c r="C11" s="45"/>
      <c r="D11" s="45"/>
      <c r="E11" s="45"/>
      <c r="F11" s="45"/>
      <c r="G11" s="45"/>
    </row>
    <row r="12" spans="2:15" x14ac:dyDescent="0.25">
      <c r="I12" s="162"/>
    </row>
    <row r="13" spans="2:15" x14ac:dyDescent="0.25">
      <c r="B13" t="s">
        <v>38</v>
      </c>
      <c r="C13" s="46"/>
      <c r="D13" s="46"/>
      <c r="E13" s="46"/>
      <c r="F13" s="46"/>
      <c r="G13" s="46"/>
    </row>
  </sheetData>
  <conditionalFormatting sqref="C11:G11">
    <cfRule type="cellIs" dxfId="7" priority="1" operator="equal">
      <formula>TRUE</formula>
    </cfRule>
  </conditionalFormatting>
  <dataValidations count="1">
    <dataValidation type="list" allowBlank="1" showInputMessage="1" showErrorMessage="1" sqref="C5" xr:uid="{00000000-0002-0000-0200-000000000000}">
      <formula1>"1,2,3,4,5"</formula1>
    </dataValidation>
  </dataValidations>
  <hyperlinks>
    <hyperlink ref="B1" location="Index!A1" display="Index" xr:uid="{00000000-0004-0000-02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16"/>
  <sheetViews>
    <sheetView showGridLines="0" workbookViewId="0"/>
  </sheetViews>
  <sheetFormatPr defaultRowHeight="15" x14ac:dyDescent="0.25"/>
  <cols>
    <col min="1" max="1" width="2.7109375" customWidth="1"/>
    <col min="2" max="2" width="20.7109375" customWidth="1"/>
    <col min="3" max="7" width="9.7109375" customWidth="1"/>
  </cols>
  <sheetData>
    <row r="1" spans="2:15" x14ac:dyDescent="0.25">
      <c r="B1" s="27" t="s">
        <v>3</v>
      </c>
    </row>
    <row r="3" spans="2:15" x14ac:dyDescent="0.25">
      <c r="B3" s="61" t="s">
        <v>75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t="s">
        <v>164</v>
      </c>
      <c r="C5" s="59">
        <v>2</v>
      </c>
    </row>
    <row r="6" spans="2:15" x14ac:dyDescent="0.25">
      <c r="B6" t="s">
        <v>38</v>
      </c>
      <c r="C6" s="60">
        <v>10000</v>
      </c>
    </row>
    <row r="9" spans="2:15" x14ac:dyDescent="0.25">
      <c r="C9" s="44">
        <v>1</v>
      </c>
      <c r="D9" s="44">
        <v>2</v>
      </c>
      <c r="E9" s="44">
        <v>3</v>
      </c>
      <c r="F9" s="44">
        <v>4</v>
      </c>
      <c r="G9" s="44">
        <v>5</v>
      </c>
    </row>
    <row r="11" spans="2:15" x14ac:dyDescent="0.25">
      <c r="B11" t="s">
        <v>39</v>
      </c>
      <c r="C11" s="45" t="b">
        <f>C9=$C$5</f>
        <v>0</v>
      </c>
      <c r="D11" s="45" t="b">
        <f t="shared" ref="D11:G11" si="0">D9=$C$5</f>
        <v>1</v>
      </c>
      <c r="E11" s="45" t="b">
        <f t="shared" si="0"/>
        <v>0</v>
      </c>
      <c r="F11" s="45" t="b">
        <f t="shared" si="0"/>
        <v>0</v>
      </c>
      <c r="G11" s="45" t="b">
        <f t="shared" si="0"/>
        <v>0</v>
      </c>
    </row>
    <row r="13" spans="2:15" x14ac:dyDescent="0.25">
      <c r="B13" t="s">
        <v>38</v>
      </c>
      <c r="C13" s="46">
        <f>-C11*$C$6</f>
        <v>0</v>
      </c>
      <c r="D13" s="46">
        <f t="shared" ref="D13:G13" si="1">-D11*$C$6</f>
        <v>-10000</v>
      </c>
      <c r="E13" s="46">
        <f t="shared" si="1"/>
        <v>0</v>
      </c>
      <c r="F13" s="46">
        <f t="shared" si="1"/>
        <v>0</v>
      </c>
      <c r="G13" s="46">
        <f t="shared" si="1"/>
        <v>0</v>
      </c>
    </row>
    <row r="16" spans="2:15" x14ac:dyDescent="0.25">
      <c r="B16" s="47" t="s">
        <v>38</v>
      </c>
      <c r="C16" s="48">
        <f>IF(C9=$C$5,-$C$6,0)</f>
        <v>0</v>
      </c>
      <c r="D16" s="48">
        <f t="shared" ref="D16:G16" si="2">IF(D9=$C$5,-$C$6,0)</f>
        <v>-10000</v>
      </c>
      <c r="E16" s="48">
        <f t="shared" si="2"/>
        <v>0</v>
      </c>
      <c r="F16" s="48">
        <f t="shared" si="2"/>
        <v>0</v>
      </c>
      <c r="G16" s="48">
        <f t="shared" si="2"/>
        <v>0</v>
      </c>
    </row>
  </sheetData>
  <conditionalFormatting sqref="C11:G11">
    <cfRule type="cellIs" dxfId="6" priority="1" operator="equal">
      <formula>TRUE</formula>
    </cfRule>
  </conditionalFormatting>
  <dataValidations count="1">
    <dataValidation type="list" allowBlank="1" showInputMessage="1" showErrorMessage="1" sqref="C5" xr:uid="{00000000-0002-0000-0300-000000000000}">
      <formula1>"1,2,3,4,5"</formula1>
    </dataValidation>
  </dataValidations>
  <hyperlinks>
    <hyperlink ref="B1" location="Index!A1" display="Index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24"/>
  <sheetViews>
    <sheetView showGridLines="0" zoomScaleNormal="100" workbookViewId="0"/>
  </sheetViews>
  <sheetFormatPr defaultRowHeight="15" x14ac:dyDescent="0.25"/>
  <cols>
    <col min="1" max="1" width="2.7109375" customWidth="1"/>
    <col min="2" max="2" width="24.140625" bestFit="1" customWidth="1"/>
    <col min="4" max="10" width="9.7109375" customWidth="1"/>
  </cols>
  <sheetData>
    <row r="1" spans="2:15" x14ac:dyDescent="0.25">
      <c r="B1" s="171" t="s">
        <v>3</v>
      </c>
    </row>
    <row r="3" spans="2:15" x14ac:dyDescent="0.25">
      <c r="B3" s="61" t="s">
        <v>76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t="s">
        <v>185</v>
      </c>
      <c r="C5" s="55">
        <v>44197</v>
      </c>
    </row>
    <row r="6" spans="2:15" x14ac:dyDescent="0.25">
      <c r="B6" t="s">
        <v>186</v>
      </c>
      <c r="C6" s="50">
        <v>24</v>
      </c>
    </row>
    <row r="7" spans="2:15" x14ac:dyDescent="0.25">
      <c r="B7" t="s">
        <v>187</v>
      </c>
      <c r="C7" s="51">
        <f>EDATE(C5,C6)</f>
        <v>44927</v>
      </c>
    </row>
    <row r="8" spans="2:15" x14ac:dyDescent="0.25">
      <c r="B8" t="s">
        <v>40</v>
      </c>
      <c r="C8" s="52">
        <v>10000</v>
      </c>
    </row>
    <row r="9" spans="2:15" x14ac:dyDescent="0.25">
      <c r="B9" t="s">
        <v>41</v>
      </c>
      <c r="C9" s="52">
        <v>20</v>
      </c>
    </row>
    <row r="12" spans="2:15" x14ac:dyDescent="0.25">
      <c r="C12" t="s">
        <v>42</v>
      </c>
      <c r="D12" s="49">
        <f>DATE(YEAR(C5),1,1)</f>
        <v>44197</v>
      </c>
      <c r="E12" s="51"/>
      <c r="F12" s="51"/>
      <c r="G12" s="51"/>
      <c r="H12" s="51"/>
      <c r="I12" s="51"/>
      <c r="J12" s="51"/>
    </row>
    <row r="13" spans="2:15" x14ac:dyDescent="0.25">
      <c r="C13" t="s">
        <v>43</v>
      </c>
      <c r="D13" s="51"/>
      <c r="E13" s="51"/>
      <c r="F13" s="51"/>
      <c r="G13" s="51"/>
      <c r="H13" s="51"/>
      <c r="I13" s="51"/>
      <c r="J13" s="51"/>
    </row>
    <row r="15" spans="2:15" x14ac:dyDescent="0.25">
      <c r="B15" s="58" t="s">
        <v>44</v>
      </c>
      <c r="D15" s="45"/>
      <c r="E15" s="45"/>
      <c r="F15" s="45"/>
      <c r="G15" s="45"/>
      <c r="H15" s="45"/>
      <c r="I15" s="45"/>
      <c r="J15" s="45"/>
    </row>
    <row r="16" spans="2:15" x14ac:dyDescent="0.25">
      <c r="B16" s="58" t="s">
        <v>45</v>
      </c>
      <c r="D16" s="45"/>
      <c r="E16" s="45"/>
      <c r="F16" s="45"/>
      <c r="G16" s="45"/>
      <c r="H16" s="45"/>
      <c r="I16" s="45"/>
      <c r="J16" s="45"/>
    </row>
    <row r="17" spans="2:10" x14ac:dyDescent="0.25">
      <c r="B17" s="58" t="s">
        <v>46</v>
      </c>
      <c r="D17" s="56"/>
      <c r="E17" s="56"/>
      <c r="F17" s="56"/>
      <c r="G17" s="56"/>
      <c r="H17" s="56"/>
      <c r="I17" s="56"/>
      <c r="J17" s="56"/>
    </row>
    <row r="18" spans="2:10" x14ac:dyDescent="0.25">
      <c r="B18" s="58" t="s">
        <v>47</v>
      </c>
      <c r="C18" s="53"/>
      <c r="D18" s="64"/>
      <c r="E18" s="64"/>
      <c r="F18" s="64"/>
      <c r="G18" s="64"/>
      <c r="H18" s="64"/>
      <c r="I18" s="64"/>
      <c r="J18" s="64"/>
    </row>
    <row r="19" spans="2:10" x14ac:dyDescent="0.25">
      <c r="B19" s="58" t="s">
        <v>165</v>
      </c>
      <c r="D19" s="56"/>
      <c r="E19" s="56"/>
      <c r="F19" s="56"/>
      <c r="G19" s="56"/>
      <c r="H19" s="56"/>
      <c r="I19" s="56"/>
      <c r="J19" s="56"/>
    </row>
    <row r="21" spans="2:10" x14ac:dyDescent="0.25">
      <c r="B21" t="s">
        <v>40</v>
      </c>
      <c r="D21" s="54"/>
      <c r="E21" s="54"/>
      <c r="F21" s="54"/>
      <c r="G21" s="54"/>
      <c r="H21" s="54"/>
      <c r="I21" s="54"/>
      <c r="J21" s="54"/>
    </row>
    <row r="22" spans="2:10" x14ac:dyDescent="0.25">
      <c r="B22" t="s">
        <v>48</v>
      </c>
      <c r="D22" s="54"/>
      <c r="E22" s="54"/>
      <c r="F22" s="54"/>
      <c r="G22" s="54"/>
      <c r="H22" s="54"/>
      <c r="I22" s="54"/>
      <c r="J22" s="54"/>
    </row>
    <row r="23" spans="2:10" ht="15.75" thickBot="1" x14ac:dyDescent="0.3">
      <c r="D23" s="57"/>
      <c r="E23" s="57"/>
      <c r="F23" s="57"/>
      <c r="G23" s="57"/>
      <c r="H23" s="57"/>
      <c r="I23" s="57"/>
      <c r="J23" s="57"/>
    </row>
    <row r="24" spans="2:10" ht="15.75" thickTop="1" x14ac:dyDescent="0.25"/>
  </sheetData>
  <conditionalFormatting sqref="D15:J17">
    <cfRule type="cellIs" dxfId="5" priority="1" operator="equal">
      <formula>TRUE</formula>
    </cfRule>
  </conditionalFormatting>
  <hyperlinks>
    <hyperlink ref="B1" location="Index!A1" display="Index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4"/>
  <sheetViews>
    <sheetView showGridLines="0" workbookViewId="0"/>
  </sheetViews>
  <sheetFormatPr defaultRowHeight="15" x14ac:dyDescent="0.25"/>
  <cols>
    <col min="1" max="1" width="2.7109375" customWidth="1"/>
    <col min="2" max="2" width="24.140625" bestFit="1" customWidth="1"/>
    <col min="4" max="10" width="9.7109375" customWidth="1"/>
  </cols>
  <sheetData>
    <row r="1" spans="2:15" x14ac:dyDescent="0.25">
      <c r="B1" s="27" t="s">
        <v>3</v>
      </c>
    </row>
    <row r="3" spans="2:15" x14ac:dyDescent="0.25">
      <c r="B3" s="61" t="s">
        <v>76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t="s">
        <v>185</v>
      </c>
      <c r="C5" s="55">
        <v>44197</v>
      </c>
    </row>
    <row r="6" spans="2:15" x14ac:dyDescent="0.25">
      <c r="B6" t="s">
        <v>186</v>
      </c>
      <c r="C6" s="50">
        <v>24</v>
      </c>
    </row>
    <row r="7" spans="2:15" x14ac:dyDescent="0.25">
      <c r="B7" t="s">
        <v>187</v>
      </c>
      <c r="C7" s="51">
        <f>EDATE(C5,C6)</f>
        <v>44927</v>
      </c>
    </row>
    <row r="8" spans="2:15" x14ac:dyDescent="0.25">
      <c r="B8" t="s">
        <v>40</v>
      </c>
      <c r="C8" s="52">
        <v>10000</v>
      </c>
    </row>
    <row r="9" spans="2:15" x14ac:dyDescent="0.25">
      <c r="B9" t="s">
        <v>41</v>
      </c>
      <c r="C9" s="52">
        <v>20</v>
      </c>
    </row>
    <row r="12" spans="2:15" x14ac:dyDescent="0.25">
      <c r="C12" t="s">
        <v>42</v>
      </c>
      <c r="D12" s="55">
        <f>DATE(YEAR(C5),1,1)</f>
        <v>44197</v>
      </c>
      <c r="E12" s="51">
        <f>D13+1</f>
        <v>44562</v>
      </c>
      <c r="F12" s="51">
        <f t="shared" ref="F12:J12" si="0">E13+1</f>
        <v>44927</v>
      </c>
      <c r="G12" s="51">
        <f t="shared" si="0"/>
        <v>45292</v>
      </c>
      <c r="H12" s="51">
        <f t="shared" si="0"/>
        <v>45658</v>
      </c>
      <c r="I12" s="51">
        <f t="shared" si="0"/>
        <v>46023</v>
      </c>
      <c r="J12" s="51">
        <f t="shared" si="0"/>
        <v>46388</v>
      </c>
    </row>
    <row r="13" spans="2:15" x14ac:dyDescent="0.25">
      <c r="C13" t="s">
        <v>43</v>
      </c>
      <c r="D13" s="51">
        <f>EDATE(D12,12)-1</f>
        <v>44561</v>
      </c>
      <c r="E13" s="51">
        <f>EDATE(E12,12)-1</f>
        <v>44926</v>
      </c>
      <c r="F13" s="51">
        <f t="shared" ref="F13:J13" si="1">EDATE(F12,12)-1</f>
        <v>45291</v>
      </c>
      <c r="G13" s="51">
        <f t="shared" si="1"/>
        <v>45657</v>
      </c>
      <c r="H13" s="51">
        <f t="shared" si="1"/>
        <v>46022</v>
      </c>
      <c r="I13" s="51">
        <f t="shared" si="1"/>
        <v>46387</v>
      </c>
      <c r="J13" s="51">
        <f t="shared" si="1"/>
        <v>46752</v>
      </c>
    </row>
    <row r="15" spans="2:15" x14ac:dyDescent="0.25">
      <c r="B15" s="58" t="s">
        <v>44</v>
      </c>
      <c r="D15" s="45" t="b">
        <f>AND(D13&gt;=$C$7,D12&lt;=$C$7)</f>
        <v>0</v>
      </c>
      <c r="E15" s="45" t="b">
        <f t="shared" ref="E15:J15" si="2">AND(E13&gt;=$C$7,E12&lt;=$C$7)</f>
        <v>0</v>
      </c>
      <c r="F15" s="45" t="b">
        <f t="shared" si="2"/>
        <v>1</v>
      </c>
      <c r="G15" s="45" t="b">
        <f t="shared" si="2"/>
        <v>0</v>
      </c>
      <c r="H15" s="45" t="b">
        <f t="shared" si="2"/>
        <v>0</v>
      </c>
      <c r="I15" s="45" t="b">
        <f t="shared" si="2"/>
        <v>0</v>
      </c>
      <c r="J15" s="45" t="b">
        <f t="shared" si="2"/>
        <v>0</v>
      </c>
    </row>
    <row r="16" spans="2:15" x14ac:dyDescent="0.25">
      <c r="B16" s="58" t="s">
        <v>45</v>
      </c>
      <c r="D16" s="45" t="b">
        <f>$C$7&lt;=D13</f>
        <v>0</v>
      </c>
      <c r="E16" s="45" t="b">
        <f t="shared" ref="E16:J16" si="3">$C$7&lt;=E13</f>
        <v>0</v>
      </c>
      <c r="F16" s="45" t="b">
        <f t="shared" si="3"/>
        <v>1</v>
      </c>
      <c r="G16" s="45" t="b">
        <f t="shared" si="3"/>
        <v>1</v>
      </c>
      <c r="H16" s="45" t="b">
        <f t="shared" si="3"/>
        <v>1</v>
      </c>
      <c r="I16" s="45" t="b">
        <f t="shared" si="3"/>
        <v>1</v>
      </c>
      <c r="J16" s="45" t="b">
        <f t="shared" si="3"/>
        <v>1</v>
      </c>
    </row>
    <row r="17" spans="2:10" x14ac:dyDescent="0.25">
      <c r="B17" s="58" t="s">
        <v>46</v>
      </c>
      <c r="D17" s="56">
        <f>D13-D12+1</f>
        <v>365</v>
      </c>
      <c r="E17" s="56">
        <f t="shared" ref="E17:J17" si="4">E13-E12+1</f>
        <v>365</v>
      </c>
      <c r="F17" s="56">
        <f t="shared" si="4"/>
        <v>365</v>
      </c>
      <c r="G17" s="56">
        <f t="shared" si="4"/>
        <v>366</v>
      </c>
      <c r="H17" s="56">
        <f t="shared" si="4"/>
        <v>365</v>
      </c>
      <c r="I17" s="56">
        <f t="shared" si="4"/>
        <v>365</v>
      </c>
      <c r="J17" s="56">
        <f t="shared" si="4"/>
        <v>365</v>
      </c>
    </row>
    <row r="18" spans="2:10" x14ac:dyDescent="0.25">
      <c r="B18" s="58" t="s">
        <v>47</v>
      </c>
      <c r="D18" s="56">
        <f>MIN(D13-$C$7+1,D17)*D16</f>
        <v>0</v>
      </c>
      <c r="E18" s="56">
        <f t="shared" ref="E18:J18" si="5">MIN(E13-$C$7+1,E17)*E16</f>
        <v>0</v>
      </c>
      <c r="F18" s="56">
        <f t="shared" si="5"/>
        <v>365</v>
      </c>
      <c r="G18" s="56">
        <f t="shared" si="5"/>
        <v>366</v>
      </c>
      <c r="H18" s="56">
        <f t="shared" si="5"/>
        <v>365</v>
      </c>
      <c r="I18" s="56">
        <f t="shared" si="5"/>
        <v>365</v>
      </c>
      <c r="J18" s="56">
        <f t="shared" si="5"/>
        <v>365</v>
      </c>
    </row>
    <row r="19" spans="2:10" x14ac:dyDescent="0.25">
      <c r="B19" s="58" t="s">
        <v>165</v>
      </c>
      <c r="D19" s="56">
        <f t="shared" ref="D19:J19" si="6">(C19)+D16*1</f>
        <v>0</v>
      </c>
      <c r="E19" s="56">
        <f t="shared" si="6"/>
        <v>0</v>
      </c>
      <c r="F19" s="56">
        <f t="shared" si="6"/>
        <v>1</v>
      </c>
      <c r="G19" s="56">
        <f t="shared" si="6"/>
        <v>2</v>
      </c>
      <c r="H19" s="56">
        <f t="shared" si="6"/>
        <v>3</v>
      </c>
      <c r="I19" s="56">
        <f t="shared" si="6"/>
        <v>4</v>
      </c>
      <c r="J19" s="56">
        <f t="shared" si="6"/>
        <v>5</v>
      </c>
    </row>
    <row r="21" spans="2:10" x14ac:dyDescent="0.25">
      <c r="B21" t="s">
        <v>40</v>
      </c>
      <c r="D21" s="54">
        <f>-D15*$C$8</f>
        <v>0</v>
      </c>
      <c r="E21" s="54">
        <f t="shared" ref="E21:J21" si="7">-E15*$C$8</f>
        <v>0</v>
      </c>
      <c r="F21" s="54">
        <f t="shared" si="7"/>
        <v>-10000</v>
      </c>
      <c r="G21" s="54">
        <f t="shared" si="7"/>
        <v>0</v>
      </c>
      <c r="H21" s="54">
        <f t="shared" si="7"/>
        <v>0</v>
      </c>
      <c r="I21" s="54">
        <f t="shared" si="7"/>
        <v>0</v>
      </c>
      <c r="J21" s="54">
        <f t="shared" si="7"/>
        <v>0</v>
      </c>
    </row>
    <row r="22" spans="2:10" x14ac:dyDescent="0.25">
      <c r="B22" t="s">
        <v>48</v>
      </c>
      <c r="D22" s="54">
        <f>$C$9*D18</f>
        <v>0</v>
      </c>
      <c r="E22" s="54">
        <f t="shared" ref="E22:J22" si="8">$C$9*E18</f>
        <v>0</v>
      </c>
      <c r="F22" s="54">
        <f t="shared" si="8"/>
        <v>7300</v>
      </c>
      <c r="G22" s="54">
        <f t="shared" si="8"/>
        <v>7320</v>
      </c>
      <c r="H22" s="54">
        <f t="shared" si="8"/>
        <v>7300</v>
      </c>
      <c r="I22" s="54">
        <f t="shared" si="8"/>
        <v>7300</v>
      </c>
      <c r="J22" s="54">
        <f t="shared" si="8"/>
        <v>7300</v>
      </c>
    </row>
    <row r="23" spans="2:10" ht="15.75" thickBot="1" x14ac:dyDescent="0.3">
      <c r="D23" s="57">
        <f t="shared" ref="D23:J23" si="9">SUM(D21:D22)</f>
        <v>0</v>
      </c>
      <c r="E23" s="57">
        <f t="shared" si="9"/>
        <v>0</v>
      </c>
      <c r="F23" s="57">
        <f t="shared" si="9"/>
        <v>-2700</v>
      </c>
      <c r="G23" s="57">
        <f t="shared" si="9"/>
        <v>7320</v>
      </c>
      <c r="H23" s="57">
        <f t="shared" si="9"/>
        <v>7300</v>
      </c>
      <c r="I23" s="57">
        <f t="shared" si="9"/>
        <v>7300</v>
      </c>
      <c r="J23" s="57">
        <f t="shared" si="9"/>
        <v>7300</v>
      </c>
    </row>
    <row r="24" spans="2:10" ht="15.75" thickTop="1" x14ac:dyDescent="0.25"/>
  </sheetData>
  <conditionalFormatting sqref="D15:J16">
    <cfRule type="cellIs" dxfId="4" priority="1" operator="equal">
      <formula>TRUE</formula>
    </cfRule>
  </conditionalFormatting>
  <hyperlinks>
    <hyperlink ref="B1" location="Index!A1" display="Index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12"/>
  <sheetViews>
    <sheetView showGridLines="0" workbookViewId="0"/>
  </sheetViews>
  <sheetFormatPr defaultRowHeight="15" x14ac:dyDescent="0.25"/>
  <cols>
    <col min="1" max="1" width="2.7109375" customWidth="1"/>
    <col min="2" max="2" width="23.28515625" bestFit="1" customWidth="1"/>
  </cols>
  <sheetData>
    <row r="1" spans="2:15" x14ac:dyDescent="0.25">
      <c r="B1" s="27" t="s">
        <v>3</v>
      </c>
    </row>
    <row r="3" spans="2:15" x14ac:dyDescent="0.25">
      <c r="B3" s="61" t="s">
        <v>77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t="s">
        <v>166</v>
      </c>
      <c r="C5" s="50">
        <v>2</v>
      </c>
      <c r="D5" s="63" t="str">
        <f>" i.e. Every "&amp;C5&amp;" yr. starting from Yr 1"</f>
        <v xml:space="preserve"> i.e. Every 2 yr. starting from Yr 1</v>
      </c>
    </row>
    <row r="6" spans="2:15" x14ac:dyDescent="0.25">
      <c r="B6" t="s">
        <v>49</v>
      </c>
      <c r="C6" s="52">
        <v>100</v>
      </c>
    </row>
    <row r="8" spans="2:15" x14ac:dyDescent="0.25">
      <c r="B8" s="53"/>
      <c r="C8" s="53" t="s">
        <v>167</v>
      </c>
      <c r="D8" s="64">
        <v>1</v>
      </c>
      <c r="E8" s="64">
        <v>2</v>
      </c>
      <c r="F8" s="64">
        <v>3</v>
      </c>
      <c r="G8" s="64">
        <v>4</v>
      </c>
      <c r="H8" s="64">
        <v>5</v>
      </c>
      <c r="I8" s="64">
        <v>6</v>
      </c>
      <c r="J8" s="64">
        <v>7</v>
      </c>
      <c r="K8" s="64">
        <v>8</v>
      </c>
      <c r="L8" s="64">
        <v>9</v>
      </c>
      <c r="M8" s="64">
        <v>10</v>
      </c>
      <c r="N8" s="64">
        <v>11</v>
      </c>
      <c r="O8" s="64">
        <v>12</v>
      </c>
    </row>
    <row r="9" spans="2:15" x14ac:dyDescent="0.25">
      <c r="F9" s="53"/>
    </row>
    <row r="10" spans="2:15" x14ac:dyDescent="0.25">
      <c r="B10" s="58" t="s">
        <v>50</v>
      </c>
      <c r="C10" s="58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2" spans="2:15" x14ac:dyDescent="0.25">
      <c r="B12" t="s">
        <v>49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</sheetData>
  <conditionalFormatting sqref="D10:O10">
    <cfRule type="cellIs" dxfId="3" priority="1" operator="equal">
      <formula>TRUE</formula>
    </cfRule>
  </conditionalFormatting>
  <dataValidations count="1">
    <dataValidation type="list" allowBlank="1" showInputMessage="1" showErrorMessage="1" sqref="C5" xr:uid="{00000000-0002-0000-0600-000000000000}">
      <formula1>"1,2,3,4"</formula1>
    </dataValidation>
  </dataValidations>
  <hyperlinks>
    <hyperlink ref="B1" location="Index!A1" display="Index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12"/>
  <sheetViews>
    <sheetView showGridLines="0" workbookViewId="0"/>
  </sheetViews>
  <sheetFormatPr defaultRowHeight="15" x14ac:dyDescent="0.25"/>
  <cols>
    <col min="1" max="1" width="2.7109375" customWidth="1"/>
    <col min="2" max="2" width="23.28515625" bestFit="1" customWidth="1"/>
  </cols>
  <sheetData>
    <row r="1" spans="2:15" x14ac:dyDescent="0.25">
      <c r="B1" s="27" t="s">
        <v>3</v>
      </c>
    </row>
    <row r="3" spans="2:15" x14ac:dyDescent="0.25">
      <c r="B3" s="61" t="s">
        <v>77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t="s">
        <v>166</v>
      </c>
      <c r="C5" s="50">
        <v>2</v>
      </c>
      <c r="D5" s="63" t="str">
        <f>" i.e. Every "&amp;C5&amp;" yr. starting from Yr 1"</f>
        <v xml:space="preserve"> i.e. Every 2 yr. starting from Yr 1</v>
      </c>
    </row>
    <row r="6" spans="2:15" x14ac:dyDescent="0.25">
      <c r="B6" t="s">
        <v>49</v>
      </c>
      <c r="C6" s="52">
        <v>100</v>
      </c>
    </row>
    <row r="8" spans="2:15" x14ac:dyDescent="0.25">
      <c r="B8" s="53"/>
      <c r="C8" s="53" t="s">
        <v>167</v>
      </c>
      <c r="D8" s="64">
        <v>1</v>
      </c>
      <c r="E8" s="64">
        <v>2</v>
      </c>
      <c r="F8" s="64">
        <v>3</v>
      </c>
      <c r="G8" s="64">
        <v>4</v>
      </c>
      <c r="H8" s="64">
        <v>5</v>
      </c>
      <c r="I8" s="64">
        <v>6</v>
      </c>
      <c r="J8" s="64">
        <v>7</v>
      </c>
      <c r="K8" s="64">
        <v>8</v>
      </c>
      <c r="L8" s="64">
        <v>9</v>
      </c>
      <c r="M8" s="64">
        <v>10</v>
      </c>
      <c r="N8" s="64">
        <v>11</v>
      </c>
      <c r="O8" s="64">
        <v>12</v>
      </c>
    </row>
    <row r="9" spans="2:15" x14ac:dyDescent="0.25">
      <c r="F9" s="53"/>
    </row>
    <row r="10" spans="2:15" x14ac:dyDescent="0.25">
      <c r="B10" s="58" t="s">
        <v>50</v>
      </c>
      <c r="D10" s="67" t="b">
        <f>OR(MOD(D8,$C$5)=1,$C$5=1)</f>
        <v>1</v>
      </c>
      <c r="E10" s="67" t="b">
        <f t="shared" ref="E10:O10" si="0">OR(MOD(E8,$C$5)=1,$C$5=1)</f>
        <v>0</v>
      </c>
      <c r="F10" s="67" t="b">
        <f t="shared" si="0"/>
        <v>1</v>
      </c>
      <c r="G10" s="67" t="b">
        <f t="shared" si="0"/>
        <v>0</v>
      </c>
      <c r="H10" s="67" t="b">
        <f t="shared" si="0"/>
        <v>1</v>
      </c>
      <c r="I10" s="67" t="b">
        <f t="shared" si="0"/>
        <v>0</v>
      </c>
      <c r="J10" s="67" t="b">
        <f t="shared" si="0"/>
        <v>1</v>
      </c>
      <c r="K10" s="67" t="b">
        <f t="shared" si="0"/>
        <v>0</v>
      </c>
      <c r="L10" s="67" t="b">
        <f t="shared" si="0"/>
        <v>1</v>
      </c>
      <c r="M10" s="67" t="b">
        <f t="shared" si="0"/>
        <v>0</v>
      </c>
      <c r="N10" s="67" t="b">
        <f t="shared" si="0"/>
        <v>1</v>
      </c>
      <c r="O10" s="67" t="b">
        <f t="shared" si="0"/>
        <v>0</v>
      </c>
    </row>
    <row r="12" spans="2:15" x14ac:dyDescent="0.25">
      <c r="B12" t="s">
        <v>49</v>
      </c>
      <c r="D12" s="66">
        <f>$C$6*D10</f>
        <v>100</v>
      </c>
      <c r="E12" s="66">
        <f t="shared" ref="E12:O12" si="1">$C$6*E10</f>
        <v>0</v>
      </c>
      <c r="F12" s="66">
        <f t="shared" si="1"/>
        <v>100</v>
      </c>
      <c r="G12" s="66">
        <f t="shared" si="1"/>
        <v>0</v>
      </c>
      <c r="H12" s="66">
        <f t="shared" si="1"/>
        <v>100</v>
      </c>
      <c r="I12" s="66">
        <f t="shared" si="1"/>
        <v>0</v>
      </c>
      <c r="J12" s="66">
        <f t="shared" si="1"/>
        <v>100</v>
      </c>
      <c r="K12" s="66">
        <f t="shared" si="1"/>
        <v>0</v>
      </c>
      <c r="L12" s="66">
        <f t="shared" si="1"/>
        <v>100</v>
      </c>
      <c r="M12" s="66">
        <f t="shared" si="1"/>
        <v>0</v>
      </c>
      <c r="N12" s="66">
        <f t="shared" si="1"/>
        <v>100</v>
      </c>
      <c r="O12" s="66">
        <f t="shared" si="1"/>
        <v>0</v>
      </c>
    </row>
  </sheetData>
  <conditionalFormatting sqref="D10:O10">
    <cfRule type="cellIs" dxfId="2" priority="3" operator="equal">
      <formula>TRUE</formula>
    </cfRule>
  </conditionalFormatting>
  <dataValidations count="1">
    <dataValidation type="list" allowBlank="1" showInputMessage="1" showErrorMessage="1" sqref="C5" xr:uid="{00000000-0002-0000-0700-000000000000}">
      <formula1>"1,2,3,4"</formula1>
    </dataValidation>
  </dataValidations>
  <hyperlinks>
    <hyperlink ref="B1" location="Index!A1" display="Index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2"/>
  <sheetViews>
    <sheetView showGridLines="0" workbookViewId="0"/>
  </sheetViews>
  <sheetFormatPr defaultRowHeight="15" x14ac:dyDescent="0.25"/>
  <cols>
    <col min="1" max="1" width="2.7109375" customWidth="1"/>
    <col min="2" max="2" width="25.7109375" customWidth="1"/>
    <col min="3" max="7" width="9.7109375" customWidth="1"/>
  </cols>
  <sheetData>
    <row r="1" spans="2:15" x14ac:dyDescent="0.25">
      <c r="B1" s="27" t="s">
        <v>3</v>
      </c>
    </row>
    <row r="3" spans="2:15" x14ac:dyDescent="0.25">
      <c r="B3" s="61" t="s">
        <v>54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2:15" x14ac:dyDescent="0.25">
      <c r="B5" s="73" t="s">
        <v>60</v>
      </c>
      <c r="C5" s="70">
        <v>10000</v>
      </c>
    </row>
    <row r="6" spans="2:15" x14ac:dyDescent="0.25">
      <c r="B6" s="78" t="s">
        <v>181</v>
      </c>
      <c r="C6" s="69">
        <v>0.05</v>
      </c>
      <c r="E6" s="163"/>
    </row>
    <row r="7" spans="2:15" x14ac:dyDescent="0.25">
      <c r="B7" s="79" t="s">
        <v>55</v>
      </c>
      <c r="C7" s="68" t="s">
        <v>56</v>
      </c>
      <c r="E7" s="163"/>
    </row>
    <row r="9" spans="2:15" x14ac:dyDescent="0.25">
      <c r="B9" s="61" t="s">
        <v>61</v>
      </c>
    </row>
    <row r="10" spans="2:15" x14ac:dyDescent="0.25">
      <c r="D10" s="75">
        <v>1</v>
      </c>
      <c r="E10" s="75">
        <v>2</v>
      </c>
      <c r="F10" s="75">
        <v>3</v>
      </c>
      <c r="G10" s="75">
        <v>4</v>
      </c>
      <c r="H10" s="75">
        <v>5</v>
      </c>
    </row>
    <row r="11" spans="2:15" x14ac:dyDescent="0.25">
      <c r="B11" s="53" t="s">
        <v>59</v>
      </c>
      <c r="D11" s="56"/>
      <c r="E11" s="56"/>
      <c r="F11" s="56"/>
      <c r="G11" s="56"/>
      <c r="H11" s="56"/>
    </row>
    <row r="12" spans="2:15" x14ac:dyDescent="0.25">
      <c r="B12" s="58"/>
      <c r="C12" s="58"/>
      <c r="D12" s="58"/>
      <c r="E12" s="58"/>
      <c r="F12" s="58"/>
      <c r="G12" s="58"/>
      <c r="H12" s="58"/>
    </row>
    <row r="13" spans="2:15" x14ac:dyDescent="0.25">
      <c r="B13" s="58"/>
      <c r="C13" s="58"/>
      <c r="D13" s="58"/>
      <c r="E13" s="58"/>
      <c r="F13" s="58"/>
      <c r="G13" s="58"/>
      <c r="H13" s="58"/>
    </row>
    <row r="14" spans="2:15" x14ac:dyDescent="0.25">
      <c r="B14" s="61" t="s">
        <v>57</v>
      </c>
    </row>
    <row r="15" spans="2:15" x14ac:dyDescent="0.25">
      <c r="D15" s="75">
        <v>1</v>
      </c>
      <c r="E15" s="75">
        <v>2</v>
      </c>
      <c r="F15" s="75">
        <v>3</v>
      </c>
      <c r="G15" s="75">
        <v>4</v>
      </c>
      <c r="H15" s="75">
        <v>5</v>
      </c>
    </row>
    <row r="16" spans="2:15" x14ac:dyDescent="0.25">
      <c r="B16" s="53" t="s">
        <v>59</v>
      </c>
      <c r="D16" s="74">
        <f>$C$5</f>
        <v>10000</v>
      </c>
      <c r="E16" s="74"/>
      <c r="F16" s="74"/>
      <c r="G16" s="74"/>
      <c r="H16" s="74"/>
    </row>
    <row r="17" spans="2:8" x14ac:dyDescent="0.25">
      <c r="B17" s="53" t="s">
        <v>54</v>
      </c>
      <c r="D17" s="76"/>
      <c r="E17" s="76"/>
      <c r="F17" s="76"/>
      <c r="G17" s="76"/>
      <c r="H17" s="76"/>
    </row>
    <row r="20" spans="2:8" x14ac:dyDescent="0.25">
      <c r="B20" s="61" t="s">
        <v>58</v>
      </c>
    </row>
    <row r="21" spans="2:8" x14ac:dyDescent="0.25">
      <c r="D21" s="75">
        <v>1</v>
      </c>
      <c r="E21" s="75">
        <v>5</v>
      </c>
    </row>
    <row r="22" spans="2:8" x14ac:dyDescent="0.25">
      <c r="B22" s="53" t="s">
        <v>59</v>
      </c>
      <c r="D22" s="77">
        <f>$C$5</f>
        <v>10000</v>
      </c>
      <c r="E22" s="77"/>
    </row>
  </sheetData>
  <hyperlinks>
    <hyperlink ref="B1" location="Index!A1" display="Index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Intro Sheet</vt:lpstr>
      <vt:lpstr>Index</vt:lpstr>
      <vt:lpstr>Flags 1 P</vt:lpstr>
      <vt:lpstr>Flags 1 S</vt:lpstr>
      <vt:lpstr>Flags 2 P</vt:lpstr>
      <vt:lpstr>Flags 2 S</vt:lpstr>
      <vt:lpstr>Flags 3 P</vt:lpstr>
      <vt:lpstr>Flags 3 S</vt:lpstr>
      <vt:lpstr>ER P</vt:lpstr>
      <vt:lpstr>ER S</vt:lpstr>
      <vt:lpstr>BC P</vt:lpstr>
      <vt:lpstr>BC S</vt:lpstr>
      <vt:lpstr>DC P</vt:lpstr>
      <vt:lpstr>DC S</vt:lpstr>
      <vt:lpstr>CS P</vt:lpstr>
      <vt:lpstr>CS S</vt:lpstr>
      <vt:lpstr>WS P</vt:lpstr>
      <vt:lpstr>WS S</vt:lpstr>
      <vt:lpstr>LR P</vt:lpstr>
      <vt:lpstr>LR S</vt:lpstr>
      <vt:lpstr>VT P</vt:lpstr>
      <vt:lpstr>VT S</vt:lpstr>
      <vt:lpstr>IRR &amp; NPV P</vt:lpstr>
      <vt:lpstr>IRR &amp; NPV S</vt:lpstr>
      <vt:lpstr>circ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2019-07-05T05:52:21Z</dcterms:modified>
</cp:coreProperties>
</file>