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Default Extension="jpeg" ContentType="image/jpeg"/>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15" windowWidth="19245" windowHeight="4035" tabRatio="609" activeTab="1"/>
  </bookViews>
  <sheets>
    <sheet name="desigh Stairs" sheetId="2" r:id="rId1"/>
    <sheet name="sheet3" sheetId="3" r:id="rId2"/>
    <sheet name="Sheet4" sheetId="4" r:id="rId3"/>
    <sheet name="Sheet2" sheetId="5" r:id="rId4"/>
  </sheets>
  <calcPr calcId="125725"/>
</workbook>
</file>

<file path=xl/calcChain.xml><?xml version="1.0" encoding="utf-8"?>
<calcChain xmlns="http://schemas.openxmlformats.org/spreadsheetml/2006/main">
  <c r="L35" i="2"/>
  <c r="F73"/>
  <c r="F72"/>
  <c r="F71"/>
  <c r="F70"/>
  <c r="J70"/>
  <c r="J71"/>
  <c r="J72"/>
  <c r="F69"/>
  <c r="J69"/>
  <c r="J68"/>
  <c r="F68"/>
  <c r="K73"/>
  <c r="K72"/>
  <c r="K71"/>
  <c r="K70"/>
  <c r="K68"/>
  <c r="G72"/>
  <c r="G70"/>
  <c r="G69"/>
  <c r="G68"/>
  <c r="K69"/>
  <c r="J73"/>
  <c r="I73"/>
  <c r="I72"/>
  <c r="I71"/>
  <c r="I70"/>
  <c r="I69"/>
  <c r="I68"/>
  <c r="G73"/>
  <c r="G71"/>
  <c r="E73"/>
  <c r="E72"/>
  <c r="E71"/>
  <c r="E70"/>
  <c r="E69"/>
  <c r="E68"/>
  <c r="J61"/>
  <c r="L68" s="1"/>
  <c r="F61"/>
  <c r="H69" s="1"/>
  <c r="D61"/>
  <c r="H61"/>
  <c r="I61"/>
  <c r="M61"/>
  <c r="J59"/>
  <c r="BG30"/>
  <c r="BG29"/>
  <c r="BG28"/>
  <c r="BG26"/>
  <c r="BG27"/>
  <c r="BG22"/>
  <c r="BG23"/>
  <c r="BN23"/>
  <c r="BH22"/>
  <c r="BH23"/>
  <c r="AY47"/>
  <c r="BH21"/>
  <c r="BI23"/>
  <c r="BI22"/>
  <c r="BI21"/>
  <c r="BJ23"/>
  <c r="BJ22"/>
  <c r="BJ21"/>
  <c r="BF30"/>
  <c r="BF29"/>
  <c r="BF28"/>
  <c r="BF27"/>
  <c r="BF26"/>
  <c r="BF25"/>
  <c r="BF24"/>
  <c r="BF23"/>
  <c r="BF22"/>
  <c r="BF21"/>
  <c r="BG21"/>
  <c r="BG25"/>
  <c r="BG24"/>
  <c r="BL22"/>
  <c r="BL23" s="1"/>
  <c r="BL24" s="1"/>
  <c r="BL27"/>
  <c r="BN26"/>
  <c r="BN27" s="1"/>
  <c r="BM24"/>
  <c r="BM26" s="1"/>
  <c r="BM22"/>
  <c r="BM23" s="1"/>
  <c r="BK25"/>
  <c r="BK27" s="1"/>
  <c r="AY28"/>
  <c r="AZ27"/>
  <c r="AY29"/>
  <c r="AZ28"/>
  <c r="AY27"/>
  <c r="AZ26"/>
  <c r="AY26"/>
  <c r="AY22"/>
  <c r="AZ21"/>
  <c r="AZ30" s="1"/>
  <c r="AY21"/>
  <c r="AY30" s="1"/>
  <c r="AJ36"/>
  <c r="AJ41"/>
  <c r="AJ46"/>
  <c r="AI46"/>
  <c r="AI36"/>
  <c r="AI41"/>
  <c r="AK35"/>
  <c r="AK45"/>
  <c r="AK40"/>
  <c r="AG44"/>
  <c r="AG39"/>
  <c r="AG34"/>
  <c r="AG43"/>
  <c r="AG38"/>
  <c r="AG33"/>
  <c r="AI29"/>
  <c r="AJ29" s="1"/>
  <c r="H57"/>
  <c r="AA58"/>
  <c r="AG22"/>
  <c r="O34"/>
  <c r="O31"/>
  <c r="W88"/>
  <c r="D57"/>
  <c r="D268" i="3"/>
  <c r="V58" i="2"/>
  <c r="AB29"/>
  <c r="AA22"/>
  <c r="AA29"/>
  <c r="AA60"/>
  <c r="AG23"/>
  <c r="AA27"/>
  <c r="AA49" s="1"/>
  <c r="AA50" s="1"/>
  <c r="AA51" s="1"/>
  <c r="L33"/>
  <c r="W45"/>
  <c r="E51"/>
  <c r="AL26"/>
  <c r="L73" l="1"/>
  <c r="H72"/>
  <c r="L71"/>
  <c r="L70"/>
  <c r="H70"/>
  <c r="L72"/>
  <c r="H68"/>
  <c r="BK26"/>
  <c r="BM25"/>
  <c r="BM27" s="1"/>
  <c r="BL25"/>
  <c r="BL26"/>
  <c r="AY25"/>
  <c r="AZ24"/>
  <c r="AZ25"/>
  <c r="AZ29"/>
  <c r="AA40"/>
  <c r="D58"/>
  <c r="H58"/>
  <c r="X41"/>
  <c r="AA37"/>
  <c r="AA45" s="1"/>
  <c r="D269" i="3"/>
  <c r="E269" s="1"/>
  <c r="D270"/>
  <c r="E270" s="1"/>
  <c r="D271"/>
  <c r="E271" s="1"/>
  <c r="D272"/>
  <c r="E272" s="1"/>
  <c r="E268"/>
  <c r="J269"/>
  <c r="R34" i="2"/>
  <c r="Q34"/>
  <c r="F59"/>
  <c r="J272" i="3" l="1"/>
  <c r="L270"/>
  <c r="F269"/>
  <c r="L272"/>
  <c r="L271"/>
  <c r="H271"/>
  <c r="J271"/>
  <c r="L269"/>
  <c r="H269"/>
  <c r="AA52" i="2"/>
  <c r="H272" i="3"/>
  <c r="F272"/>
  <c r="F271"/>
  <c r="J270"/>
  <c r="H270"/>
  <c r="F270"/>
  <c r="L268"/>
  <c r="J268"/>
  <c r="H268"/>
  <c r="F268"/>
  <c r="M272"/>
  <c r="K272"/>
  <c r="I272"/>
  <c r="G272"/>
  <c r="M271"/>
  <c r="K271"/>
  <c r="I271"/>
  <c r="G271"/>
  <c r="M270"/>
  <c r="K270"/>
  <c r="I270"/>
  <c r="G270"/>
  <c r="M269"/>
  <c r="K269"/>
  <c r="I269"/>
  <c r="G269"/>
  <c r="M268"/>
  <c r="K268"/>
  <c r="I268"/>
  <c r="G268"/>
  <c r="J40" i="2"/>
  <c r="Y41" s="1"/>
  <c r="F45"/>
  <c r="Q32" l="1"/>
  <c r="Q33" s="1"/>
  <c r="M72" s="1"/>
  <c r="D38"/>
  <c r="L25"/>
  <c r="J55" l="1"/>
  <c r="M70"/>
  <c r="J44"/>
  <c r="J47"/>
  <c r="J39"/>
  <c r="H47" l="1"/>
  <c r="H45"/>
  <c r="J46" s="1"/>
  <c r="J45"/>
  <c r="J51" l="1"/>
  <c r="G52" s="1"/>
  <c r="J60"/>
  <c r="F56"/>
  <c r="M45"/>
  <c r="G45"/>
  <c r="I45"/>
  <c r="J41"/>
  <c r="AA62" s="1"/>
  <c r="W63" l="1"/>
  <c r="AG19" s="1"/>
  <c r="Y63"/>
  <c r="V65" s="1"/>
  <c r="J43"/>
  <c r="J42"/>
  <c r="V73" l="1"/>
  <c r="V74" s="1"/>
  <c r="V75"/>
  <c r="AG31"/>
  <c r="J48"/>
  <c r="J49" s="1"/>
  <c r="F55" s="1"/>
  <c r="F60" s="1"/>
  <c r="AA41"/>
  <c r="AA42" s="1"/>
  <c r="AA44" s="1"/>
  <c r="J50"/>
  <c r="J52" s="1"/>
  <c r="I52" s="1"/>
  <c r="F47"/>
  <c r="AI24" l="1"/>
  <c r="AL25"/>
  <c r="AL29" s="1"/>
  <c r="AA70"/>
  <c r="AA68"/>
  <c r="Y46"/>
  <c r="AA61"/>
  <c r="Y64" s="1"/>
  <c r="X46"/>
  <c r="W46"/>
  <c r="M52"/>
  <c r="AA43"/>
  <c r="M47"/>
  <c r="AA74" l="1"/>
  <c r="W71"/>
  <c r="Y71" s="1"/>
  <c r="W64"/>
  <c r="AA72" s="1"/>
  <c r="AA73"/>
  <c r="AA54"/>
  <c r="AA55" s="1"/>
  <c r="AA56" s="1"/>
  <c r="W53"/>
  <c r="Y53"/>
  <c r="G47"/>
  <c r="I47"/>
  <c r="X86" l="1"/>
  <c r="X32"/>
  <c r="W76"/>
  <c r="W77"/>
  <c r="AB55"/>
  <c r="AL21"/>
  <c r="X56"/>
  <c r="BF36" l="1"/>
  <c r="BF32"/>
  <c r="BF38"/>
  <c r="BH36"/>
  <c r="BF34"/>
  <c r="BO92" i="3"/>
  <c r="BP103"/>
  <c r="BP99"/>
  <c r="BP98"/>
  <c r="BP96"/>
  <c r="BO90"/>
  <c r="BO85"/>
  <c r="BO88"/>
  <c r="BO91"/>
  <c r="BP83"/>
  <c r="BP85"/>
  <c r="BP87"/>
  <c r="BP89"/>
  <c r="BP92"/>
  <c r="BP90"/>
  <c r="BO83"/>
  <c r="BO103"/>
  <c r="BO100"/>
  <c r="BO98"/>
  <c r="BO97"/>
  <c r="BL103"/>
  <c r="BL101"/>
  <c r="BL99"/>
  <c r="BL97"/>
  <c r="BK102"/>
  <c r="BK101"/>
  <c r="BK100"/>
  <c r="BL95"/>
  <c r="BK97"/>
  <c r="BK92"/>
  <c r="BK91"/>
  <c r="BL93"/>
  <c r="BL91"/>
  <c r="BL89"/>
  <c r="BK88"/>
  <c r="BK86"/>
  <c r="BP100"/>
  <c r="BP102"/>
  <c r="BP101"/>
  <c r="BP97"/>
  <c r="BP95"/>
  <c r="BO87"/>
  <c r="BO89"/>
  <c r="BO86"/>
  <c r="BO93"/>
  <c r="BP84"/>
  <c r="BP86"/>
  <c r="BP88"/>
  <c r="BP93"/>
  <c r="BP91"/>
  <c r="BO84"/>
  <c r="BO102"/>
  <c r="BO101"/>
  <c r="BO99"/>
  <c r="BO96"/>
  <c r="BO95"/>
  <c r="BL102"/>
  <c r="BL100"/>
  <c r="BL98"/>
  <c r="BL96"/>
  <c r="BK103"/>
  <c r="BK99"/>
  <c r="BK98"/>
  <c r="BK96"/>
  <c r="BK95"/>
  <c r="BK93"/>
  <c r="BK90"/>
  <c r="BL92"/>
  <c r="BL90"/>
  <c r="BK89"/>
  <c r="BL88"/>
  <c r="BL86"/>
  <c r="AJ28" i="2"/>
  <c r="AL28" s="1"/>
  <c r="BI38" s="1"/>
  <c r="AI28"/>
  <c r="AL27"/>
  <c r="AA78"/>
  <c r="AA79" s="1"/>
  <c r="BI34" l="1"/>
  <c r="BH38"/>
  <c r="BL85" i="3"/>
  <c r="BL84"/>
  <c r="BK84"/>
  <c r="BK85"/>
  <c r="BL83"/>
  <c r="BK83"/>
  <c r="AA92" i="2"/>
  <c r="AA87"/>
  <c r="AA84"/>
  <c r="AA82"/>
  <c r="AA91" s="1"/>
  <c r="AA81"/>
  <c r="AB78"/>
  <c r="AK37" l="1"/>
  <c r="AK42"/>
  <c r="AK32"/>
  <c r="Y83"/>
  <c r="AB83" s="1"/>
  <c r="Y85"/>
  <c r="AB85" s="1"/>
  <c r="AA86"/>
  <c r="Y88" s="1"/>
  <c r="BH32" s="1"/>
  <c r="BI36" l="1"/>
  <c r="BH34"/>
  <c r="AH45"/>
  <c r="AH46" s="1"/>
  <c r="AH40"/>
  <c r="AH41" s="1"/>
  <c r="AH35"/>
  <c r="AH36" s="1"/>
  <c r="X88"/>
  <c r="BG32" s="1"/>
  <c r="BG38" l="1"/>
  <c r="BC41"/>
  <c r="BB23"/>
  <c r="BB24"/>
  <c r="BC47"/>
  <c r="BC44"/>
  <c r="BC45"/>
  <c r="BB46"/>
  <c r="BB45"/>
  <c r="BB43"/>
  <c r="BC24"/>
  <c r="BC23"/>
  <c r="BB41"/>
  <c r="BC42"/>
  <c r="BC43"/>
  <c r="BC46"/>
  <c r="BB47"/>
  <c r="BB44"/>
  <c r="BB42"/>
  <c r="BG36"/>
  <c r="BC32"/>
  <c r="BC33"/>
  <c r="BB40"/>
  <c r="BB38"/>
  <c r="BC35"/>
  <c r="BC34"/>
  <c r="BC36"/>
  <c r="BB39"/>
  <c r="BC37"/>
  <c r="BB32"/>
  <c r="BB33"/>
  <c r="BB34"/>
  <c r="BB35"/>
  <c r="BC40"/>
  <c r="BC38"/>
  <c r="BB36"/>
  <c r="BB37"/>
  <c r="BC39"/>
  <c r="BC21"/>
  <c r="BB21"/>
  <c r="BC28"/>
  <c r="BB27"/>
  <c r="BB26"/>
  <c r="BG34"/>
  <c r="BC22"/>
  <c r="BB22"/>
  <c r="BC25"/>
  <c r="BC26"/>
  <c r="BC27"/>
  <c r="BC29"/>
  <c r="BC30"/>
  <c r="BB30"/>
  <c r="BB29"/>
  <c r="BB28"/>
  <c r="BB25"/>
  <c r="BC31"/>
  <c r="BB31"/>
</calcChain>
</file>

<file path=xl/comments1.xml><?xml version="1.0" encoding="utf-8"?>
<comments xmlns="http://schemas.openxmlformats.org/spreadsheetml/2006/main">
  <authors>
    <author>User</author>
  </authors>
  <commentList>
    <comment ref="AA25" authorId="0">
      <text>
        <r>
          <rPr>
            <sz val="8"/>
            <color indexed="81"/>
            <rFont val="Tahoma"/>
            <family val="2"/>
          </rPr>
          <t>Fvy Design for Strirup
 คือ เหล็กลูกตั้ง เหล็กปลอก</t>
        </r>
      </text>
    </comment>
    <comment ref="W88" authorId="0">
      <text>
        <r>
          <rPr>
            <sz val="8"/>
            <color indexed="10"/>
            <rFont val="Times New Roman"/>
            <family val="1"/>
          </rPr>
          <t>หากผลออกมาป็น( -- )หมายความว่าขนาดเหล็กทีเลือกไม่ตรงกัคุณสมบัติของเหล็กเสริม  
RBคือ Fy&gt;=2400(SR40)
DBคือFy3000,4000,5000(SD30)(SD40)(SD50)ตามลำดับ</t>
        </r>
      </text>
    </comment>
  </commentList>
</comments>
</file>

<file path=xl/sharedStrings.xml><?xml version="1.0" encoding="utf-8"?>
<sst xmlns="http://schemas.openxmlformats.org/spreadsheetml/2006/main" count="331" uniqueCount="225">
  <si>
    <t>ksc.</t>
  </si>
  <si>
    <t>A.</t>
  </si>
  <si>
    <t>Concrete</t>
  </si>
  <si>
    <t>Comp. Strength (fc')</t>
  </si>
  <si>
    <t>B.</t>
  </si>
  <si>
    <t>Design Parameters :</t>
  </si>
  <si>
    <t>Steel</t>
  </si>
  <si>
    <t xml:space="preserve">Yeild Strength(main) (fy) </t>
  </si>
  <si>
    <r>
      <t>Unit Weigth ,(w</t>
    </r>
    <r>
      <rPr>
        <vertAlign val="subscript"/>
        <sz val="10"/>
        <rFont val="Times New Roman"/>
        <family val="1"/>
        <charset val="222"/>
      </rPr>
      <t>c</t>
    </r>
    <r>
      <rPr>
        <sz val="10"/>
        <rFont val="Times New Roman"/>
        <family val="1"/>
        <charset val="222"/>
      </rPr>
      <t>)</t>
    </r>
  </si>
  <si>
    <r>
      <t>kg/m</t>
    </r>
    <r>
      <rPr>
        <vertAlign val="superscript"/>
        <sz val="10"/>
        <rFont val="Times New Roman"/>
        <family val="1"/>
        <charset val="222"/>
      </rPr>
      <t>3</t>
    </r>
  </si>
  <si>
    <r>
      <t>b</t>
    </r>
    <r>
      <rPr>
        <vertAlign val="subscript"/>
        <sz val="10"/>
        <rFont val="Times New Roman"/>
        <family val="1"/>
        <charset val="222"/>
      </rPr>
      <t xml:space="preserve">1 </t>
    </r>
    <r>
      <rPr>
        <sz val="10"/>
        <rFont val="Times New Roman"/>
        <family val="1"/>
        <charset val="222"/>
      </rPr>
      <t>:</t>
    </r>
  </si>
  <si>
    <t>Thickness, low</t>
  </si>
  <si>
    <t>c.</t>
  </si>
  <si>
    <t>R</t>
  </si>
  <si>
    <t>T</t>
  </si>
  <si>
    <t>Thickness, desigh</t>
  </si>
  <si>
    <t>Live Load</t>
  </si>
  <si>
    <t>Mu</t>
  </si>
  <si>
    <t xml:space="preserve">Factor Load  U = </t>
  </si>
  <si>
    <t>Span, L</t>
  </si>
  <si>
    <t>m.</t>
  </si>
  <si>
    <t>cm.</t>
  </si>
  <si>
    <t>kg/m</t>
  </si>
  <si>
    <t>Superimposed Dead load;SDL</t>
  </si>
  <si>
    <t>Wu</t>
  </si>
  <si>
    <t>kg-m</t>
  </si>
  <si>
    <t>kg</t>
  </si>
  <si>
    <t>Ru</t>
  </si>
  <si>
    <t>Dead Load, W.DL</t>
  </si>
  <si>
    <t>Live Load,  W.LL</t>
  </si>
  <si>
    <t>d req.</t>
  </si>
  <si>
    <r>
      <t xml:space="preserve">r </t>
    </r>
    <r>
      <rPr>
        <sz val="10"/>
        <color theme="1"/>
        <rFont val="Times New Roman"/>
        <family val="1"/>
      </rPr>
      <t>req.</t>
    </r>
  </si>
  <si>
    <r>
      <t>r</t>
    </r>
    <r>
      <rPr>
        <sz val="9"/>
        <color theme="1"/>
        <rFont val="Times New Roman"/>
        <family val="1"/>
      </rPr>
      <t>b</t>
    </r>
  </si>
  <si>
    <r>
      <t xml:space="preserve">Ru </t>
    </r>
    <r>
      <rPr>
        <sz val="9"/>
        <color theme="1"/>
        <rFont val="Times New Roman"/>
        <family val="1"/>
      </rPr>
      <t>actua.</t>
    </r>
  </si>
  <si>
    <r>
      <rPr>
        <sz val="11"/>
        <color theme="1"/>
        <rFont val="Symbol"/>
        <family val="1"/>
        <charset val="2"/>
      </rPr>
      <t>r</t>
    </r>
    <r>
      <rPr>
        <sz val="10"/>
        <color theme="1"/>
        <rFont val="Symbol"/>
        <family val="1"/>
        <charset val="2"/>
      </rPr>
      <t xml:space="preserve"> </t>
    </r>
    <r>
      <rPr>
        <sz val="9"/>
        <color theme="1"/>
        <rFont val="Times New Roman"/>
        <family val="1"/>
      </rPr>
      <t>actua.</t>
    </r>
  </si>
  <si>
    <t>As min</t>
  </si>
  <si>
    <t>As provide</t>
  </si>
  <si>
    <r>
      <t>cm</t>
    </r>
    <r>
      <rPr>
        <sz val="10"/>
        <color theme="1"/>
        <rFont val="Tahoma"/>
        <family val="2"/>
      </rPr>
      <t>²</t>
    </r>
  </si>
  <si>
    <t>As reg.</t>
  </si>
  <si>
    <t>Design Main Bar</t>
  </si>
  <si>
    <t xml:space="preserve"> Design Temperature Bar</t>
  </si>
  <si>
    <t>mm.</t>
  </si>
  <si>
    <t>N0.</t>
  </si>
  <si>
    <t>RB</t>
  </si>
  <si>
    <t>Cover.</t>
  </si>
  <si>
    <t>d'</t>
  </si>
  <si>
    <t>Ast reg.</t>
  </si>
  <si>
    <t>Ast provide</t>
  </si>
  <si>
    <t>Asprov&gt;Asreg&gt;Asmin</t>
  </si>
  <si>
    <r>
      <t xml:space="preserve">Dia </t>
    </r>
    <r>
      <rPr>
        <sz val="11"/>
        <color theme="1"/>
        <rFont val="Symbol"/>
        <family val="1"/>
        <charset val="2"/>
      </rPr>
      <t>f</t>
    </r>
  </si>
  <si>
    <r>
      <t>f</t>
    </r>
    <r>
      <rPr>
        <sz val="9"/>
        <color theme="1"/>
        <rFont val="Times New Roman"/>
        <family val="1"/>
      </rPr>
      <t>Vc</t>
    </r>
  </si>
  <si>
    <t>Vn</t>
  </si>
  <si>
    <t>Case 1</t>
  </si>
  <si>
    <t>Case 2</t>
  </si>
  <si>
    <t>Case 3</t>
  </si>
  <si>
    <t>Case 4</t>
  </si>
  <si>
    <t>Case 5</t>
  </si>
  <si>
    <t>Case 6</t>
  </si>
  <si>
    <t>Yeild Strength(strir.) (fvy)</t>
  </si>
  <si>
    <t>Width (bw)</t>
  </si>
  <si>
    <t xml:space="preserve">Depth (h) </t>
  </si>
  <si>
    <t>Eff. Depth, d</t>
  </si>
  <si>
    <t>Loading</t>
  </si>
  <si>
    <t>W.stair</t>
  </si>
  <si>
    <r>
      <t xml:space="preserve">assume DB </t>
    </r>
    <r>
      <rPr>
        <sz val="10"/>
        <color theme="1"/>
        <rFont val="Symbol"/>
        <family val="1"/>
        <charset val="2"/>
      </rPr>
      <t>f</t>
    </r>
  </si>
  <si>
    <t>W.DL.Beam</t>
  </si>
  <si>
    <t>W.DL=</t>
  </si>
  <si>
    <t>Vu.max , R1=R2</t>
  </si>
  <si>
    <t>Long , L</t>
  </si>
  <si>
    <t>Vu</t>
  </si>
  <si>
    <t>Tu</t>
  </si>
  <si>
    <t>Bending Reinforcement Design :</t>
  </si>
  <si>
    <r>
      <t>M</t>
    </r>
    <r>
      <rPr>
        <sz val="8"/>
        <color theme="1"/>
        <rFont val="Times New Roman"/>
        <family val="1"/>
      </rPr>
      <t>R</t>
    </r>
  </si>
  <si>
    <r>
      <rPr>
        <sz val="11"/>
        <color theme="1"/>
        <rFont val="Symbol"/>
        <family val="1"/>
        <charset val="2"/>
      </rPr>
      <t>f</t>
    </r>
    <r>
      <rPr>
        <sz val="11"/>
        <color theme="1"/>
        <rFont val="Times New Roman"/>
        <family val="1"/>
      </rPr>
      <t xml:space="preserve"> Rubd</t>
    </r>
    <r>
      <rPr>
        <sz val="11"/>
        <color theme="1"/>
        <rFont val="Tahoma"/>
        <family val="2"/>
      </rPr>
      <t>²</t>
    </r>
  </si>
  <si>
    <t>check</t>
  </si>
  <si>
    <r>
      <t>Mu/</t>
    </r>
    <r>
      <rPr>
        <sz val="11"/>
        <color theme="1"/>
        <rFont val="Symbol"/>
        <family val="1"/>
        <charset val="2"/>
      </rPr>
      <t>f</t>
    </r>
    <r>
      <rPr>
        <sz val="11"/>
        <color theme="1"/>
        <rFont val="Times New Roman"/>
        <family val="1"/>
      </rPr>
      <t>bd</t>
    </r>
    <r>
      <rPr>
        <sz val="11"/>
        <color theme="1"/>
        <rFont val="Tahoma"/>
        <family val="2"/>
      </rPr>
      <t>²</t>
    </r>
  </si>
  <si>
    <t>kg-m.</t>
  </si>
  <si>
    <t>kg.</t>
  </si>
  <si>
    <t>kg/m.</t>
  </si>
  <si>
    <r>
      <t>kg/m.</t>
    </r>
    <r>
      <rPr>
        <sz val="11"/>
        <color theme="1"/>
        <rFont val="Tahoma"/>
        <family val="2"/>
      </rPr>
      <t>²</t>
    </r>
  </si>
  <si>
    <t>As  reg.</t>
  </si>
  <si>
    <t>cm²</t>
  </si>
  <si>
    <r>
      <rPr>
        <sz val="11"/>
        <color theme="1"/>
        <rFont val="Symbol"/>
        <family val="1"/>
        <charset val="2"/>
      </rPr>
      <t xml:space="preserve">r </t>
    </r>
    <r>
      <rPr>
        <sz val="11"/>
        <color theme="1"/>
        <rFont val="Times New Roman"/>
        <family val="1"/>
      </rPr>
      <t xml:space="preserve">actua. </t>
    </r>
  </si>
  <si>
    <t>Provide spacing@</t>
  </si>
  <si>
    <t>øVc</t>
  </si>
  <si>
    <r>
      <t>0.53</t>
    </r>
    <r>
      <rPr>
        <sz val="11"/>
        <color theme="1"/>
        <rFont val="Symbol"/>
        <family val="1"/>
        <charset val="2"/>
      </rPr>
      <t>Ö</t>
    </r>
    <r>
      <rPr>
        <sz val="11"/>
        <color theme="1"/>
        <rFont val="Times New Roman"/>
        <family val="1"/>
      </rPr>
      <t>fc' bd =</t>
    </r>
  </si>
  <si>
    <r>
      <t>(</t>
    </r>
    <r>
      <rPr>
        <sz val="12"/>
        <color theme="1"/>
        <rFont val="Symbol"/>
        <family val="1"/>
        <charset val="2"/>
      </rPr>
      <t>r</t>
    </r>
    <r>
      <rPr>
        <sz val="11"/>
        <color theme="1"/>
        <rFont val="Times New Roman"/>
        <family val="1"/>
      </rPr>
      <t>min&lt;</t>
    </r>
    <r>
      <rPr>
        <sz val="12"/>
        <color theme="1"/>
        <rFont val="Symbol"/>
        <family val="1"/>
        <charset val="2"/>
      </rPr>
      <t>r</t>
    </r>
    <r>
      <rPr>
        <sz val="11"/>
        <color theme="1"/>
        <rFont val="Times New Roman"/>
        <family val="1"/>
      </rPr>
      <t>&lt;</t>
    </r>
    <r>
      <rPr>
        <sz val="12"/>
        <color theme="1"/>
        <rFont val="Symbol"/>
        <family val="1"/>
        <charset val="2"/>
      </rPr>
      <t>r</t>
    </r>
    <r>
      <rPr>
        <sz val="11"/>
        <color theme="1"/>
        <rFont val="Times New Roman"/>
        <family val="1"/>
      </rPr>
      <t>max.)</t>
    </r>
  </si>
  <si>
    <r>
      <t>f</t>
    </r>
    <r>
      <rPr>
        <sz val="10"/>
        <color theme="1"/>
        <rFont val="Times New Roman"/>
        <family val="1"/>
      </rPr>
      <t>t</t>
    </r>
  </si>
  <si>
    <r>
      <rPr>
        <sz val="14"/>
        <color theme="1"/>
        <rFont val="Symbol"/>
        <family val="1"/>
        <charset val="2"/>
      </rPr>
      <t>f</t>
    </r>
    <r>
      <rPr>
        <sz val="11"/>
        <color theme="1"/>
        <rFont val="Times New Roman"/>
        <family val="1"/>
      </rPr>
      <t>v</t>
    </r>
  </si>
  <si>
    <r>
      <t>Torsion Effect can be neglected if  Tu &lt; 0.13</t>
    </r>
    <r>
      <rPr>
        <sz val="11"/>
        <color theme="1"/>
        <rFont val="Symbol"/>
        <family val="1"/>
        <charset val="2"/>
      </rPr>
      <t>f</t>
    </r>
    <r>
      <rPr>
        <sz val="11"/>
        <color theme="1"/>
        <rFont val="Times New Roman"/>
        <family val="1"/>
      </rPr>
      <t>(fc)</t>
    </r>
    <r>
      <rPr>
        <b/>
        <vertAlign val="superscript"/>
        <sz val="11"/>
        <color theme="1"/>
        <rFont val="Times New Roman"/>
        <family val="1"/>
      </rPr>
      <t>0.5</t>
    </r>
    <r>
      <rPr>
        <sz val="11"/>
        <color theme="1"/>
        <rFont val="Symbol"/>
        <family val="1"/>
        <charset val="2"/>
      </rPr>
      <t>å</t>
    </r>
    <r>
      <rPr>
        <sz val="11"/>
        <color theme="1"/>
        <rFont val="Times New Roman"/>
        <family val="1"/>
      </rPr>
      <t>x</t>
    </r>
    <r>
      <rPr>
        <sz val="11"/>
        <color theme="1"/>
        <rFont val="Swis721 Cn BT"/>
        <family val="2"/>
      </rPr>
      <t>²</t>
    </r>
  </si>
  <si>
    <r>
      <rPr>
        <sz val="10"/>
        <color theme="1"/>
        <rFont val="Symbol"/>
        <family val="1"/>
        <charset val="2"/>
      </rPr>
      <t>1.05f</t>
    </r>
    <r>
      <rPr>
        <sz val="10"/>
        <color theme="1"/>
        <rFont val="Times New Roman"/>
        <family val="1"/>
      </rPr>
      <t>(fc)</t>
    </r>
    <r>
      <rPr>
        <vertAlign val="superscript"/>
        <sz val="10"/>
        <color theme="1"/>
        <rFont val="Times New Roman"/>
        <family val="1"/>
      </rPr>
      <t>0.5</t>
    </r>
    <r>
      <rPr>
        <sz val="10"/>
        <color theme="1"/>
        <rFont val="Symbol"/>
        <family val="1"/>
        <charset val="2"/>
      </rPr>
      <t>å</t>
    </r>
    <r>
      <rPr>
        <sz val="10"/>
        <color theme="1"/>
        <rFont val="Times New Roman"/>
        <family val="1"/>
      </rPr>
      <t>x²/((1+0.4Vu)/(CtTu))</t>
    </r>
    <r>
      <rPr>
        <vertAlign val="superscript"/>
        <sz val="10"/>
        <color theme="1"/>
        <rFont val="Times New Roman"/>
        <family val="1"/>
      </rPr>
      <t>0.5</t>
    </r>
  </si>
  <si>
    <t>max Tu =</t>
  </si>
  <si>
    <t>min Tu  =</t>
  </si>
  <si>
    <r>
      <t xml:space="preserve">  0.13</t>
    </r>
    <r>
      <rPr>
        <sz val="10"/>
        <color theme="1"/>
        <rFont val="Symbol"/>
        <family val="1"/>
        <charset val="2"/>
      </rPr>
      <t>f</t>
    </r>
    <r>
      <rPr>
        <sz val="10"/>
        <color theme="1"/>
        <rFont val="Times New Roman"/>
        <family val="1"/>
      </rPr>
      <t>(fc)</t>
    </r>
    <r>
      <rPr>
        <vertAlign val="superscript"/>
        <sz val="10"/>
        <color theme="1"/>
        <rFont val="Times New Roman"/>
        <family val="1"/>
      </rPr>
      <t>0.5</t>
    </r>
    <r>
      <rPr>
        <sz val="10"/>
        <color theme="1"/>
        <rFont val="Symbol"/>
        <family val="1"/>
        <charset val="2"/>
      </rPr>
      <t>å</t>
    </r>
    <r>
      <rPr>
        <sz val="10"/>
        <color theme="1"/>
        <rFont val="Times New Roman"/>
        <family val="1"/>
      </rPr>
      <t>x²</t>
    </r>
  </si>
  <si>
    <t>Resistance  Strength of Concrete</t>
  </si>
  <si>
    <t>Shear and Torsion are coactive to Torsion</t>
  </si>
  <si>
    <t>Shear and Torsion are coactive to Shear</t>
  </si>
  <si>
    <r>
      <rPr>
        <sz val="11"/>
        <color theme="1"/>
        <rFont val="Symbol"/>
        <family val="1"/>
        <charset val="2"/>
      </rPr>
      <t>f</t>
    </r>
    <r>
      <rPr>
        <sz val="10"/>
        <color theme="1"/>
        <rFont val="Times New Roman"/>
        <family val="1"/>
      </rPr>
      <t>Tc      =</t>
    </r>
  </si>
  <si>
    <t>øVc      =</t>
  </si>
  <si>
    <r>
      <t>(0.21</t>
    </r>
    <r>
      <rPr>
        <sz val="12"/>
        <color theme="1"/>
        <rFont val="Symbol"/>
        <family val="1"/>
        <charset val="2"/>
      </rPr>
      <t>f</t>
    </r>
    <r>
      <rPr>
        <sz val="10"/>
        <color theme="1"/>
        <rFont val="Times New Roman"/>
        <family val="1"/>
      </rPr>
      <t>(fc')</t>
    </r>
    <r>
      <rPr>
        <vertAlign val="superscript"/>
        <sz val="10"/>
        <color theme="1"/>
        <rFont val="Times New Roman"/>
        <family val="1"/>
      </rPr>
      <t>0.5</t>
    </r>
    <r>
      <rPr>
        <sz val="10"/>
        <color theme="1"/>
        <rFont val="Times New Roman"/>
        <family val="1"/>
      </rPr>
      <t>b</t>
    </r>
    <r>
      <rPr>
        <vertAlign val="superscript"/>
        <sz val="10"/>
        <color theme="1"/>
        <rFont val="Times New Roman"/>
        <family val="1"/>
      </rPr>
      <t>2</t>
    </r>
    <r>
      <rPr>
        <sz val="10"/>
        <color theme="1"/>
        <rFont val="Times New Roman"/>
        <family val="1"/>
      </rPr>
      <t>h)/(1+((0.4Vu)/(CtTu))</t>
    </r>
    <r>
      <rPr>
        <vertAlign val="superscript"/>
        <sz val="10"/>
        <color theme="1"/>
        <rFont val="Times New Roman"/>
        <family val="1"/>
      </rPr>
      <t>2</t>
    </r>
    <r>
      <rPr>
        <sz val="10"/>
        <color theme="1"/>
        <rFont val="Times New Roman"/>
        <family val="1"/>
      </rPr>
      <t>)</t>
    </r>
    <r>
      <rPr>
        <vertAlign val="superscript"/>
        <sz val="10"/>
        <color theme="1"/>
        <rFont val="Times New Roman"/>
        <family val="1"/>
      </rPr>
      <t>0.5</t>
    </r>
  </si>
  <si>
    <r>
      <t xml:space="preserve">  (0.53</t>
    </r>
    <r>
      <rPr>
        <sz val="12"/>
        <color theme="1"/>
        <rFont val="Symbol"/>
        <family val="1"/>
        <charset val="2"/>
      </rPr>
      <t>f</t>
    </r>
    <r>
      <rPr>
        <sz val="10"/>
        <color theme="1"/>
        <rFont val="Times New Roman"/>
        <family val="1"/>
      </rPr>
      <t>(fc')</t>
    </r>
    <r>
      <rPr>
        <vertAlign val="superscript"/>
        <sz val="10"/>
        <color theme="1"/>
        <rFont val="Times New Roman"/>
        <family val="1"/>
      </rPr>
      <t>0.5</t>
    </r>
    <r>
      <rPr>
        <sz val="10"/>
        <color theme="1"/>
        <rFont val="Times New Roman"/>
        <family val="1"/>
      </rPr>
      <t>bd)/(1+(2.5CtTu/Vu)</t>
    </r>
    <r>
      <rPr>
        <vertAlign val="superscript"/>
        <sz val="10"/>
        <color theme="1"/>
        <rFont val="Times New Roman"/>
        <family val="1"/>
      </rPr>
      <t>2</t>
    </r>
    <r>
      <rPr>
        <sz val="10"/>
        <color theme="1"/>
        <rFont val="Times New Roman"/>
        <family val="1"/>
      </rPr>
      <t>)</t>
    </r>
    <r>
      <rPr>
        <vertAlign val="superscript"/>
        <sz val="10"/>
        <color theme="1"/>
        <rFont val="Times New Roman"/>
        <family val="1"/>
      </rPr>
      <t>0.5</t>
    </r>
  </si>
  <si>
    <r>
      <rPr>
        <sz val="12"/>
        <color theme="1"/>
        <rFont val="Symbol"/>
        <family val="1"/>
        <charset val="2"/>
      </rPr>
      <t>r</t>
    </r>
    <r>
      <rPr>
        <vertAlign val="subscript"/>
        <sz val="11"/>
        <color theme="1"/>
        <rFont val="Times New Roman"/>
        <family val="1"/>
      </rPr>
      <t>b</t>
    </r>
  </si>
  <si>
    <r>
      <rPr>
        <sz val="12"/>
        <color theme="1"/>
        <rFont val="Symbol"/>
        <family val="1"/>
        <charset val="2"/>
      </rPr>
      <t>r</t>
    </r>
    <r>
      <rPr>
        <vertAlign val="subscript"/>
        <sz val="11"/>
        <color theme="1"/>
        <rFont val="Times New Roman"/>
        <family val="1"/>
      </rPr>
      <t xml:space="preserve"> req.</t>
    </r>
  </si>
  <si>
    <t>Material Properties for Beam :</t>
  </si>
  <si>
    <r>
      <rPr>
        <sz val="11"/>
        <color theme="1"/>
        <rFont val="Symbol"/>
        <family val="1"/>
        <charset val="2"/>
      </rPr>
      <t>b</t>
    </r>
    <r>
      <rPr>
        <vertAlign val="subscript"/>
        <sz val="11"/>
        <color theme="1"/>
        <rFont val="Times New Roman"/>
        <family val="1"/>
      </rPr>
      <t xml:space="preserve">1 </t>
    </r>
    <r>
      <rPr>
        <sz val="11"/>
        <color theme="1"/>
        <rFont val="Times New Roman"/>
        <family val="1"/>
      </rPr>
      <t>:</t>
    </r>
  </si>
  <si>
    <t xml:space="preserve">Design Beam </t>
  </si>
  <si>
    <t>Beam dimension :</t>
  </si>
  <si>
    <t>Ru req.</t>
  </si>
  <si>
    <t>Material Properties  :</t>
  </si>
  <si>
    <t>Unit Weigth ,(wc)</t>
  </si>
  <si>
    <t>Design Stairs</t>
  </si>
  <si>
    <r>
      <rPr>
        <sz val="9"/>
        <color theme="1"/>
        <rFont val="Terminal"/>
        <family val="3"/>
        <charset val="255"/>
      </rPr>
      <t>x</t>
    </r>
    <r>
      <rPr>
        <sz val="12"/>
        <color theme="1"/>
        <rFont val="Symbol"/>
        <family val="1"/>
        <charset val="2"/>
      </rPr>
      <t xml:space="preserve"> r</t>
    </r>
    <r>
      <rPr>
        <vertAlign val="subscript"/>
        <sz val="11"/>
        <color theme="1"/>
        <rFont val="Times New Roman"/>
        <family val="1"/>
      </rPr>
      <t>b</t>
    </r>
  </si>
  <si>
    <t xml:space="preserve">Selected Design </t>
  </si>
  <si>
    <t>Cover,co.(under &amp; top)</t>
  </si>
  <si>
    <t>Cover,co.(side)</t>
  </si>
  <si>
    <t>x1       =</t>
  </si>
  <si>
    <t>y1       =</t>
  </si>
  <si>
    <r>
      <rPr>
        <sz val="12"/>
        <color theme="1"/>
        <rFont val="Symbol"/>
        <family val="1"/>
        <charset val="2"/>
      </rPr>
      <t>a</t>
    </r>
    <r>
      <rPr>
        <vertAlign val="subscript"/>
        <sz val="11"/>
        <color theme="1"/>
        <rFont val="Times New Roman"/>
        <family val="1"/>
      </rPr>
      <t xml:space="preserve">t </t>
    </r>
    <r>
      <rPr>
        <sz val="11"/>
        <color theme="1"/>
        <rFont val="Symbol"/>
        <family val="1"/>
        <charset val="2"/>
      </rPr>
      <t>=</t>
    </r>
    <r>
      <rPr>
        <sz val="11"/>
        <color theme="1"/>
        <rFont val="Times New Roman"/>
        <family val="1"/>
      </rPr>
      <t xml:space="preserve">0.66+0.33(y1/x1) &lt; </t>
    </r>
    <r>
      <rPr>
        <sz val="11"/>
        <color rgb="FFFF0000"/>
        <rFont val="Times New Roman"/>
        <family val="1"/>
      </rPr>
      <t>1.50</t>
    </r>
  </si>
  <si>
    <t>As req.</t>
  </si>
  <si>
    <t>At/s    =</t>
  </si>
  <si>
    <r>
      <t>cm</t>
    </r>
    <r>
      <rPr>
        <vertAlign val="superscript"/>
        <sz val="10"/>
        <color theme="1"/>
        <rFont val="Times New Roman"/>
        <family val="1"/>
      </rPr>
      <t>2</t>
    </r>
    <r>
      <rPr>
        <sz val="10"/>
        <color theme="1"/>
        <rFont val="Times New Roman"/>
        <family val="1"/>
      </rPr>
      <t>/</t>
    </r>
    <r>
      <rPr>
        <vertAlign val="subscript"/>
        <sz val="10"/>
        <color theme="1"/>
        <rFont val="Times New Roman"/>
        <family val="1"/>
      </rPr>
      <t>cm.</t>
    </r>
  </si>
  <si>
    <t>Comblined strirup</t>
  </si>
  <si>
    <r>
      <rPr>
        <sz val="10"/>
        <color theme="1"/>
        <rFont val="Times New Roman"/>
        <family val="1"/>
      </rPr>
      <t>Asmin=3.5</t>
    </r>
    <r>
      <rPr>
        <sz val="11"/>
        <color theme="1"/>
        <rFont val="Times New Roman"/>
        <family val="1"/>
      </rPr>
      <t>bw</t>
    </r>
    <r>
      <rPr>
        <b/>
        <vertAlign val="subscript"/>
        <sz val="14"/>
        <color theme="1"/>
        <rFont val="Times New Roman"/>
        <family val="1"/>
      </rPr>
      <t>/</t>
    </r>
    <r>
      <rPr>
        <vertAlign val="subscript"/>
        <sz val="12"/>
        <color theme="1"/>
        <rFont val="Times New Roman"/>
        <family val="1"/>
      </rPr>
      <t>2fy</t>
    </r>
  </si>
  <si>
    <r>
      <t xml:space="preserve">Prov.strirup Dia </t>
    </r>
    <r>
      <rPr>
        <sz val="16"/>
        <color theme="1"/>
        <rFont val="Times New Roman"/>
        <family val="1"/>
      </rPr>
      <t xml:space="preserve">ø </t>
    </r>
  </si>
  <si>
    <t>Smax</t>
  </si>
  <si>
    <r>
      <t>As req.(1leg) = Av</t>
    </r>
    <r>
      <rPr>
        <b/>
        <vertAlign val="subscript"/>
        <sz val="10"/>
        <color theme="1"/>
        <rFont val="Times New Roman"/>
        <family val="1"/>
      </rPr>
      <t>/2</t>
    </r>
    <r>
      <rPr>
        <sz val="10"/>
        <color theme="1"/>
        <rFont val="Times New Roman"/>
        <family val="1"/>
      </rPr>
      <t>+As</t>
    </r>
    <r>
      <rPr>
        <b/>
        <vertAlign val="subscript"/>
        <sz val="10"/>
        <color theme="1"/>
        <rFont val="Times New Roman"/>
        <family val="1"/>
      </rPr>
      <t>/t</t>
    </r>
  </si>
  <si>
    <t>Spacing.req</t>
  </si>
  <si>
    <t>use strirup</t>
  </si>
  <si>
    <t>check   =</t>
  </si>
  <si>
    <r>
      <t>Vu-</t>
    </r>
    <r>
      <rPr>
        <sz val="10"/>
        <color theme="1"/>
        <rFont val="Symbol"/>
        <family val="1"/>
        <charset val="2"/>
      </rPr>
      <t>f</t>
    </r>
    <r>
      <rPr>
        <sz val="10"/>
        <color theme="1"/>
        <rFont val="Times New Roman"/>
        <family val="1"/>
      </rPr>
      <t xml:space="preserve">Vc </t>
    </r>
    <r>
      <rPr>
        <sz val="10"/>
        <color rgb="FFFF0000"/>
        <rFont val="Times New Roman"/>
        <family val="1"/>
      </rPr>
      <t xml:space="preserve">&gt; </t>
    </r>
    <r>
      <rPr>
        <sz val="10"/>
        <color theme="1"/>
        <rFont val="Times New Roman"/>
        <family val="1"/>
      </rPr>
      <t>2.1</t>
    </r>
    <r>
      <rPr>
        <sz val="10"/>
        <color theme="1"/>
        <rFont val="Symbol"/>
        <family val="1"/>
        <charset val="2"/>
      </rPr>
      <t>f(</t>
    </r>
    <r>
      <rPr>
        <sz val="10"/>
        <color theme="1"/>
        <rFont val="Times New Roman"/>
        <family val="1"/>
      </rPr>
      <t>fc')</t>
    </r>
    <r>
      <rPr>
        <vertAlign val="superscript"/>
        <sz val="10"/>
        <color theme="1"/>
        <rFont val="Times New Roman"/>
        <family val="1"/>
      </rPr>
      <t>0.5</t>
    </r>
    <r>
      <rPr>
        <sz val="10"/>
        <color theme="1"/>
        <rFont val="Times New Roman"/>
        <family val="1"/>
      </rPr>
      <t>bwd</t>
    </r>
  </si>
  <si>
    <r>
      <t>A</t>
    </r>
    <r>
      <rPr>
        <sz val="11"/>
        <color theme="1"/>
        <rFont val="Script MT Bold"/>
        <family val="4"/>
      </rPr>
      <t xml:space="preserve">l </t>
    </r>
    <r>
      <rPr>
        <sz val="11"/>
        <color theme="1"/>
        <rFont val="Times New Roman"/>
        <family val="1"/>
      </rPr>
      <t>req.</t>
    </r>
  </si>
  <si>
    <r>
      <t>2At/</t>
    </r>
    <r>
      <rPr>
        <b/>
        <vertAlign val="subscript"/>
        <sz val="12"/>
        <color theme="1"/>
        <rFont val="Times New Roman"/>
        <family val="1"/>
      </rPr>
      <t>s</t>
    </r>
    <r>
      <rPr>
        <sz val="11"/>
        <color theme="1"/>
        <rFont val="Times New Roman"/>
        <family val="1"/>
      </rPr>
      <t>(x</t>
    </r>
    <r>
      <rPr>
        <vertAlign val="subscript"/>
        <sz val="11"/>
        <color theme="1"/>
        <rFont val="Times New Roman"/>
        <family val="1"/>
      </rPr>
      <t>1</t>
    </r>
    <r>
      <rPr>
        <sz val="11"/>
        <color theme="1"/>
        <rFont val="Times New Roman"/>
        <family val="1"/>
      </rPr>
      <t>+x</t>
    </r>
    <r>
      <rPr>
        <vertAlign val="subscript"/>
        <sz val="11"/>
        <color theme="1"/>
        <rFont val="Times New Roman"/>
        <family val="1"/>
      </rPr>
      <t>2</t>
    </r>
    <r>
      <rPr>
        <sz val="11"/>
        <color theme="1"/>
        <rFont val="Times New Roman"/>
        <family val="1"/>
      </rPr>
      <t>)(fvy/</t>
    </r>
    <r>
      <rPr>
        <vertAlign val="subscript"/>
        <sz val="11"/>
        <color theme="1"/>
        <rFont val="Times New Roman"/>
        <family val="1"/>
      </rPr>
      <t>fy</t>
    </r>
    <r>
      <rPr>
        <sz val="11"/>
        <color theme="1"/>
        <rFont val="Times New Roman"/>
        <family val="1"/>
      </rPr>
      <t>)</t>
    </r>
  </si>
  <si>
    <r>
      <t>.=(x1+x2)</t>
    </r>
    <r>
      <rPr>
        <b/>
        <sz val="10"/>
        <color theme="1"/>
        <rFont val="Times New Roman"/>
        <family val="1"/>
      </rPr>
      <t>/</t>
    </r>
    <r>
      <rPr>
        <sz val="10"/>
        <color theme="1"/>
        <rFont val="Times New Roman"/>
        <family val="1"/>
      </rPr>
      <t>4</t>
    </r>
  </si>
  <si>
    <t>line.</t>
  </si>
  <si>
    <r>
      <t>A</t>
    </r>
    <r>
      <rPr>
        <sz val="11"/>
        <color theme="1"/>
        <rFont val="Script MT Bold"/>
        <family val="4"/>
      </rPr>
      <t xml:space="preserve">l </t>
    </r>
    <r>
      <rPr>
        <sz val="11"/>
        <color theme="1"/>
        <rFont val="Times New Roman"/>
        <family val="1"/>
      </rPr>
      <t>min.</t>
    </r>
  </si>
  <si>
    <r>
      <t>Check</t>
    </r>
    <r>
      <rPr>
        <sz val="11"/>
        <color theme="1"/>
        <rFont val="Symbol"/>
        <family val="1"/>
        <charset val="2"/>
      </rPr>
      <t>f</t>
    </r>
    <r>
      <rPr>
        <sz val="11"/>
        <color theme="1"/>
        <rFont val="Times New Roman"/>
        <family val="1"/>
      </rPr>
      <t xml:space="preserve"> Vc &gt;Vn</t>
    </r>
  </si>
  <si>
    <t>Main bar</t>
  </si>
  <si>
    <t>strirup</t>
  </si>
  <si>
    <t>top</t>
  </si>
  <si>
    <t>middle</t>
  </si>
  <si>
    <t>under</t>
  </si>
  <si>
    <r>
      <t>A</t>
    </r>
    <r>
      <rPr>
        <sz val="11"/>
        <color theme="1"/>
        <rFont val="Script MT Bold"/>
        <family val="4"/>
      </rPr>
      <t xml:space="preserve">l </t>
    </r>
    <r>
      <rPr>
        <sz val="11"/>
        <color theme="1"/>
        <rFont val="Times New Roman"/>
        <family val="1"/>
      </rPr>
      <t>provide</t>
    </r>
  </si>
  <si>
    <r>
      <t>A</t>
    </r>
    <r>
      <rPr>
        <sz val="11"/>
        <color theme="1"/>
        <rFont val="Script MT Bold"/>
        <family val="4"/>
      </rPr>
      <t>l</t>
    </r>
    <r>
      <rPr>
        <sz val="11"/>
        <color theme="1"/>
        <rFont val="Times New Roman"/>
        <family val="1"/>
      </rPr>
      <t xml:space="preserve"> provide</t>
    </r>
  </si>
  <si>
    <r>
      <t xml:space="preserve">Prov.strirup Dia </t>
    </r>
    <r>
      <rPr>
        <sz val="16"/>
        <rFont val="Times New Roman"/>
        <family val="1"/>
      </rPr>
      <t xml:space="preserve">ø </t>
    </r>
  </si>
  <si>
    <t>Compute the Longitudinal Reinf. for Torsion</t>
  </si>
  <si>
    <t>use</t>
  </si>
  <si>
    <t>x</t>
  </si>
  <si>
    <t>y</t>
  </si>
  <si>
    <t>steel</t>
  </si>
  <si>
    <t>under ,c</t>
  </si>
  <si>
    <t>under c2</t>
  </si>
  <si>
    <t>under c3</t>
  </si>
  <si>
    <t>middle l</t>
  </si>
  <si>
    <t>middle r</t>
  </si>
  <si>
    <t>underside r2</t>
  </si>
  <si>
    <t>undersidel2</t>
  </si>
  <si>
    <t>middle c</t>
  </si>
  <si>
    <t>middle L2</t>
  </si>
  <si>
    <t>middle r 2</t>
  </si>
  <si>
    <t>middle c2</t>
  </si>
  <si>
    <t>under r</t>
  </si>
  <si>
    <t>unde side l</t>
  </si>
  <si>
    <t>middle L3</t>
  </si>
  <si>
    <t>middle c3</t>
  </si>
  <si>
    <t>middle R3</t>
  </si>
  <si>
    <t>top c</t>
  </si>
  <si>
    <t>top L2</t>
  </si>
  <si>
    <t>top c3</t>
  </si>
  <si>
    <t>top L3</t>
  </si>
  <si>
    <t>top c2</t>
  </si>
  <si>
    <t>under L3</t>
  </si>
  <si>
    <t>under R3</t>
  </si>
  <si>
    <t>top R2</t>
  </si>
  <si>
    <t>top R3</t>
  </si>
  <si>
    <t>top r</t>
  </si>
  <si>
    <t>top L</t>
  </si>
  <si>
    <t>dimension x</t>
  </si>
  <si>
    <t>dimension y</t>
  </si>
  <si>
    <t>bx1</t>
  </si>
  <si>
    <t>bx2</t>
  </si>
  <si>
    <t>by60</t>
  </si>
  <si>
    <t>by45</t>
  </si>
  <si>
    <t>by25</t>
  </si>
  <si>
    <t>section Beam</t>
  </si>
  <si>
    <t>bx1,by1</t>
  </si>
  <si>
    <t>bx2,by2</t>
  </si>
  <si>
    <t>bx3,by3</t>
  </si>
  <si>
    <t>Asprov&gt;Asreg.</t>
  </si>
  <si>
    <t>1c1</t>
  </si>
  <si>
    <t>1b1</t>
  </si>
  <si>
    <t>1a1</t>
  </si>
  <si>
    <t>1a2</t>
  </si>
  <si>
    <t>1c2</t>
  </si>
  <si>
    <t>1a3</t>
  </si>
  <si>
    <t>1b2</t>
  </si>
  <si>
    <t>1c3</t>
  </si>
  <si>
    <t>1b3</t>
  </si>
  <si>
    <t>3a1</t>
  </si>
  <si>
    <t>3b1</t>
  </si>
  <si>
    <t>3c1</t>
  </si>
  <si>
    <t>3a2</t>
  </si>
  <si>
    <t>3a3</t>
  </si>
  <si>
    <t>3b2</t>
  </si>
  <si>
    <t>3b3</t>
  </si>
  <si>
    <t>3c2</t>
  </si>
  <si>
    <t>3c3</t>
  </si>
  <si>
    <t>L</t>
  </si>
  <si>
    <t>As</t>
  </si>
  <si>
    <t>Case2</t>
  </si>
  <si>
    <t>case3</t>
  </si>
  <si>
    <t>Case1</t>
  </si>
  <si>
    <t>case4</t>
  </si>
  <si>
    <t>case5</t>
  </si>
  <si>
    <t>Case6</t>
  </si>
  <si>
    <r>
      <t>(Tu-</t>
    </r>
    <r>
      <rPr>
        <sz val="10"/>
        <color theme="1"/>
        <rFont val="Symbol"/>
        <family val="1"/>
        <charset val="2"/>
      </rPr>
      <t>f</t>
    </r>
    <r>
      <rPr>
        <sz val="10"/>
        <color theme="1"/>
        <rFont val="Times New Roman"/>
        <family val="1"/>
      </rPr>
      <t>Tc)</t>
    </r>
    <r>
      <rPr>
        <b/>
        <sz val="10"/>
        <color theme="1"/>
        <rFont val="Times New Roman"/>
        <family val="1"/>
      </rPr>
      <t>/</t>
    </r>
    <r>
      <rPr>
        <sz val="10"/>
        <color theme="1"/>
        <rFont val="Times New Roman"/>
        <family val="1"/>
      </rPr>
      <t>(</t>
    </r>
    <r>
      <rPr>
        <sz val="10"/>
        <color theme="1"/>
        <rFont val="Symbol"/>
        <family val="1"/>
        <charset val="2"/>
      </rPr>
      <t>a</t>
    </r>
    <r>
      <rPr>
        <sz val="10"/>
        <color theme="1"/>
        <rFont val="Times New Roman"/>
        <family val="1"/>
      </rPr>
      <t>t</t>
    </r>
    <r>
      <rPr>
        <sz val="10"/>
        <color theme="1"/>
        <rFont val="Symbol"/>
        <family val="1"/>
        <charset val="2"/>
      </rPr>
      <t>f</t>
    </r>
    <r>
      <rPr>
        <sz val="10"/>
        <color theme="1"/>
        <rFont val="Times New Roman"/>
        <family val="1"/>
      </rPr>
      <t>x</t>
    </r>
    <r>
      <rPr>
        <vertAlign val="subscript"/>
        <sz val="10"/>
        <color theme="1"/>
        <rFont val="Times New Roman"/>
        <family val="1"/>
      </rPr>
      <t>1</t>
    </r>
    <r>
      <rPr>
        <sz val="10"/>
        <color theme="1"/>
        <rFont val="Times New Roman"/>
        <family val="1"/>
      </rPr>
      <t>y</t>
    </r>
    <r>
      <rPr>
        <vertAlign val="subscript"/>
        <sz val="10"/>
        <color theme="1"/>
        <rFont val="Times New Roman"/>
        <family val="1"/>
      </rPr>
      <t>1</t>
    </r>
    <r>
      <rPr>
        <sz val="10"/>
        <color theme="1"/>
        <rFont val="Times New Roman"/>
        <family val="1"/>
      </rPr>
      <t>fy)</t>
    </r>
  </si>
  <si>
    <r>
      <t>;                f</t>
    </r>
    <r>
      <rPr>
        <vertAlign val="subscript"/>
        <sz val="12"/>
        <rFont val="Symbol"/>
        <family val="1"/>
        <charset val="2"/>
      </rPr>
      <t>b</t>
    </r>
    <r>
      <rPr>
        <sz val="12"/>
        <rFont val="Symbol"/>
        <family val="1"/>
        <charset val="2"/>
      </rPr>
      <t xml:space="preserve"> :</t>
    </r>
  </si>
  <si>
    <t>Ast</t>
  </si>
  <si>
    <t>END Compute</t>
  </si>
  <si>
    <r>
      <rPr>
        <b/>
        <sz val="10"/>
        <color rgb="FF002060"/>
        <rFont val="Tahoma"/>
        <family val="2"/>
        <scheme val="minor"/>
      </rPr>
      <t>by</t>
    </r>
    <r>
      <rPr>
        <sz val="10"/>
        <color rgb="FF002060"/>
        <rFont val="Tahoma"/>
        <family val="2"/>
        <scheme val="minor"/>
      </rPr>
      <t xml:space="preserve"> Preecha Soontonpukdi</t>
    </r>
  </si>
  <si>
    <r>
      <rPr>
        <b/>
        <sz val="10"/>
        <color rgb="FF002060"/>
        <rFont val="Times New Roman"/>
        <family val="1"/>
      </rPr>
      <t xml:space="preserve"> date</t>
    </r>
    <r>
      <rPr>
        <b/>
        <sz val="10"/>
        <color rgb="FFFF0000"/>
        <rFont val="Times New Roman"/>
        <family val="1"/>
      </rPr>
      <t xml:space="preserve"> :</t>
    </r>
    <r>
      <rPr>
        <sz val="10"/>
        <color theme="1"/>
        <rFont val="Times New Roman"/>
        <family val="1"/>
      </rPr>
      <t xml:space="preserve"> </t>
    </r>
    <r>
      <rPr>
        <sz val="10"/>
        <color rgb="FF002060"/>
        <rFont val="Times New Roman"/>
        <family val="1"/>
      </rPr>
      <t>15/4/2010</t>
    </r>
  </si>
  <si>
    <r>
      <rPr>
        <b/>
        <sz val="11"/>
        <color rgb="FF002060"/>
        <rFont val="Times New Roman"/>
        <family val="1"/>
      </rPr>
      <t xml:space="preserve">     Design stair</t>
    </r>
    <r>
      <rPr>
        <sz val="11"/>
        <color theme="1"/>
        <rFont val="Times New Roman"/>
        <family val="1"/>
      </rPr>
      <t xml:space="preserve"> </t>
    </r>
    <r>
      <rPr>
        <b/>
        <sz val="11"/>
        <color rgb="FFFF0000"/>
        <rFont val="Times New Roman"/>
        <family val="1"/>
      </rPr>
      <t xml:space="preserve">( </t>
    </r>
    <r>
      <rPr>
        <sz val="11"/>
        <color theme="1"/>
        <rFont val="Times New Roman"/>
        <family val="1"/>
      </rPr>
      <t xml:space="preserve"> </t>
    </r>
    <r>
      <rPr>
        <sz val="11"/>
        <color rgb="FF002060"/>
        <rFont val="Times New Roman"/>
        <family val="1"/>
      </rPr>
      <t xml:space="preserve">Strength Design Method </t>
    </r>
    <r>
      <rPr>
        <b/>
        <sz val="11"/>
        <color rgb="FFFF0000"/>
        <rFont val="Times New Roman"/>
        <family val="1"/>
      </rPr>
      <t xml:space="preserve">: </t>
    </r>
    <r>
      <rPr>
        <sz val="11"/>
        <color rgb="FF002060"/>
        <rFont val="Times New Roman"/>
        <family val="1"/>
      </rPr>
      <t>SDM</t>
    </r>
    <r>
      <rPr>
        <sz val="11"/>
        <color theme="1"/>
        <rFont val="Times New Roman"/>
        <family val="1"/>
      </rPr>
      <t xml:space="preserve"> </t>
    </r>
    <r>
      <rPr>
        <b/>
        <sz val="11"/>
        <color rgb="FFFF0000"/>
        <rFont val="Times New Roman"/>
        <family val="1"/>
      </rPr>
      <t>)</t>
    </r>
  </si>
  <si>
    <r>
      <rPr>
        <b/>
        <sz val="10"/>
        <color rgb="FF002060"/>
        <rFont val="Times New Roman"/>
        <family val="1"/>
      </rPr>
      <t xml:space="preserve"> Compute sheet for</t>
    </r>
    <r>
      <rPr>
        <sz val="10"/>
        <color theme="1"/>
        <rFont val="Times New Roman"/>
        <family val="1"/>
      </rPr>
      <t xml:space="preserve"> </t>
    </r>
    <r>
      <rPr>
        <b/>
        <sz val="10"/>
        <color rgb="FFFF0000"/>
        <rFont val="Times New Roman"/>
        <family val="1"/>
      </rPr>
      <t>:</t>
    </r>
    <r>
      <rPr>
        <sz val="10"/>
        <color rgb="FF002060"/>
        <rFont val="Times New Roman"/>
        <family val="1"/>
      </rPr>
      <t xml:space="preserve"> Reignforced concrete Design</t>
    </r>
  </si>
  <si>
    <t xml:space="preserve">                    South East Asia University                                                       </t>
  </si>
  <si>
    <t xml:space="preserve">                           Civil Department</t>
  </si>
  <si>
    <t>Ladder dimension :</t>
  </si>
</sst>
</file>

<file path=xl/styles.xml><?xml version="1.0" encoding="utf-8"?>
<styleSheet xmlns="http://schemas.openxmlformats.org/spreadsheetml/2006/main">
  <numFmts count="26">
    <numFmt numFmtId="44" formatCode="_-&quot;฿&quot;* #,##0.00_-;\-&quot;฿&quot;* #,##0.00_-;_-&quot;฿&quot;* &quot;-&quot;??_-;_-@_-"/>
    <numFmt numFmtId="43" formatCode="_-* #,##0.00_-;\-* #,##0.00_-;_-* &quot;-&quot;??_-;_-@_-"/>
    <numFmt numFmtId="187" formatCode="0.0000"/>
    <numFmt numFmtId="188" formatCode="0.0\ &quot;D&quot;"/>
    <numFmt numFmtId="189" formatCode="\ \ \ 0\ \ "/>
    <numFmt numFmtId="190" formatCode="&quot;Pmax&quot;\ &quot;=&quot;\ 0.00"/>
    <numFmt numFmtId="191" formatCode="&quot;r&quot;\ &quot;=&quot;\ 0.0000"/>
    <numFmt numFmtId="192" formatCode="&quot;+&quot;\ 0.0\ &quot;L&quot;"/>
    <numFmt numFmtId="193" formatCode="&quot; t=&quot;0.00\ &quot;m.&quot;"/>
    <numFmt numFmtId="194" formatCode="0.00\ &quot;cm.&quot;"/>
    <numFmt numFmtId="195" formatCode="\ &quot;'d&quot;\ &quot;=&quot;\ 0\ &quot;cm.&quot;"/>
    <numFmt numFmtId="196" formatCode="&quot;f =&quot;0.00"/>
    <numFmt numFmtId="197" formatCode="\ &quot;t&quot;\ &quot;=&quot;\ 0\ &quot;cm.&quot;"/>
    <numFmt numFmtId="198" formatCode="&quot;span,L=&quot;0.00"/>
    <numFmt numFmtId="199" formatCode="&quot;L=&quot;0.0&quot;m&quot;"/>
    <numFmt numFmtId="200" formatCode="&quot;h=&quot;0.0&quot;m&quot;"/>
    <numFmt numFmtId="201" formatCode="\ \ \ \ \ \ &quot;h=&quot;0.0&quot;m&quot;"/>
    <numFmt numFmtId="202" formatCode="0.00000"/>
    <numFmt numFmtId="203" formatCode="&quot;Avmin =&quot;\ 0.0000\ &quot;cm²&quot;"/>
    <numFmt numFmtId="204" formatCode="&quot;Pmin&quot;0.0000"/>
    <numFmt numFmtId="205" formatCode="&quot;ø &quot;\ 0\ &quot;mm.&quot;"/>
    <numFmt numFmtId="206" formatCode="&quot;@&quot;0.0\ &quot;cm.&quot;"/>
    <numFmt numFmtId="207" formatCode="\ 0\ \ &quot;ø &quot;"/>
    <numFmt numFmtId="208" formatCode="0\ &quot;cm.&quot;"/>
    <numFmt numFmtId="209" formatCode="0.00\ &quot;m.&quot;"/>
    <numFmt numFmtId="210" formatCode="&quot;t =&quot;\ 0.0\ &quot;cm.&quot;"/>
  </numFmts>
  <fonts count="103">
    <font>
      <sz val="11"/>
      <color theme="1"/>
      <name val="Tahoma"/>
      <family val="2"/>
      <charset val="222"/>
      <scheme val="minor"/>
    </font>
    <font>
      <sz val="8"/>
      <color indexed="81"/>
      <name val="Tahoma"/>
      <family val="2"/>
    </font>
    <font>
      <sz val="8"/>
      <name val="Times New Roman"/>
      <family val="1"/>
      <charset val="222"/>
    </font>
    <font>
      <sz val="11"/>
      <color theme="1"/>
      <name val="Times New Roman"/>
      <family val="1"/>
    </font>
    <font>
      <sz val="10"/>
      <name val="Times New Roman"/>
      <family val="1"/>
      <charset val="222"/>
    </font>
    <font>
      <vertAlign val="subscript"/>
      <sz val="10"/>
      <name val="Times New Roman"/>
      <family val="1"/>
      <charset val="222"/>
    </font>
    <font>
      <sz val="10"/>
      <color theme="1"/>
      <name val="Tahoma"/>
      <family val="2"/>
      <charset val="222"/>
      <scheme val="minor"/>
    </font>
    <font>
      <vertAlign val="superscript"/>
      <sz val="10"/>
      <name val="Times New Roman"/>
      <family val="1"/>
      <charset val="222"/>
    </font>
    <font>
      <sz val="10"/>
      <name val="Symbol"/>
      <family val="1"/>
      <charset val="2"/>
    </font>
    <font>
      <sz val="10"/>
      <name val="Times New Roman"/>
      <family val="1"/>
    </font>
    <font>
      <sz val="10"/>
      <color theme="1"/>
      <name val="Times New Roman"/>
      <family val="1"/>
    </font>
    <font>
      <b/>
      <sz val="10"/>
      <color theme="1"/>
      <name val="Times New Roman"/>
      <family val="1"/>
    </font>
    <font>
      <b/>
      <sz val="11"/>
      <color theme="1"/>
      <name val="Times New Roman"/>
      <family val="1"/>
    </font>
    <font>
      <sz val="9"/>
      <color theme="1"/>
      <name val="Times New Roman"/>
      <family val="1"/>
    </font>
    <font>
      <sz val="11"/>
      <color theme="3"/>
      <name val="Times New Roman"/>
      <family val="1"/>
    </font>
    <font>
      <sz val="8"/>
      <color theme="1"/>
      <name val="Times New Roman"/>
      <family val="1"/>
    </font>
    <font>
      <sz val="11"/>
      <color theme="1"/>
      <name val="Symbol"/>
      <family val="1"/>
      <charset val="2"/>
    </font>
    <font>
      <sz val="10"/>
      <color theme="1"/>
      <name val="Symbol"/>
      <family val="1"/>
      <charset val="2"/>
    </font>
    <font>
      <sz val="11"/>
      <color theme="1"/>
      <name val="Tahoma"/>
      <family val="2"/>
      <charset val="222"/>
      <scheme val="minor"/>
    </font>
    <font>
      <sz val="9"/>
      <color theme="1"/>
      <name val="Symbol"/>
      <family val="1"/>
      <charset val="2"/>
    </font>
    <font>
      <b/>
      <sz val="9"/>
      <name val="Times New Roman"/>
      <family val="1"/>
    </font>
    <font>
      <sz val="10"/>
      <color theme="1"/>
      <name val="Tahoma"/>
      <family val="2"/>
    </font>
    <font>
      <sz val="9"/>
      <name val="Times New Roman"/>
      <family val="1"/>
    </font>
    <font>
      <sz val="14"/>
      <color theme="1"/>
      <name val="Symbol"/>
      <family val="1"/>
      <charset val="2"/>
    </font>
    <font>
      <sz val="9"/>
      <name val="Times New Roman"/>
      <family val="1"/>
      <charset val="222"/>
    </font>
    <font>
      <sz val="9"/>
      <color theme="3" tint="0.39997558519241921"/>
      <name val="Tahoma"/>
      <family val="2"/>
      <charset val="222"/>
      <scheme val="minor"/>
    </font>
    <font>
      <sz val="9"/>
      <color theme="1"/>
      <name val="Tahoma"/>
      <family val="2"/>
      <charset val="222"/>
      <scheme val="minor"/>
    </font>
    <font>
      <sz val="11"/>
      <color theme="4" tint="-0.249977111117893"/>
      <name val="Times New Roman"/>
      <family val="1"/>
    </font>
    <font>
      <sz val="10"/>
      <color theme="4" tint="-0.249977111117893"/>
      <name val="Times New Roman"/>
      <family val="1"/>
    </font>
    <font>
      <b/>
      <sz val="8"/>
      <color theme="1"/>
      <name val="Times New Roman"/>
      <family val="1"/>
    </font>
    <font>
      <sz val="12"/>
      <name val="Symbol"/>
      <family val="1"/>
      <charset val="2"/>
    </font>
    <font>
      <b/>
      <sz val="10"/>
      <color rgb="FFFF0000"/>
      <name val="Tahoma"/>
      <family val="2"/>
      <scheme val="minor"/>
    </font>
    <font>
      <b/>
      <sz val="10"/>
      <color rgb="FFFF0000"/>
      <name val="Tahoma"/>
      <family val="2"/>
    </font>
    <font>
      <b/>
      <sz val="11"/>
      <color rgb="FFFF0000"/>
      <name val="Times New Roman"/>
      <family val="1"/>
    </font>
    <font>
      <b/>
      <sz val="14"/>
      <color rgb="FFFF0000"/>
      <name val="Times New Roman"/>
      <family val="1"/>
    </font>
    <font>
      <b/>
      <sz val="10"/>
      <color theme="1"/>
      <name val="Times New Roman"/>
      <family val="1"/>
      <charset val="222"/>
    </font>
    <font>
      <sz val="11"/>
      <name val="Times New Roman"/>
      <family val="1"/>
      <charset val="222"/>
    </font>
    <font>
      <sz val="9"/>
      <color rgb="FF0070C0"/>
      <name val="Times New Roman"/>
      <family val="1"/>
    </font>
    <font>
      <sz val="9"/>
      <color rgb="FF0070C0"/>
      <name val="Times New Roman"/>
      <family val="1"/>
      <charset val="222"/>
    </font>
    <font>
      <sz val="11"/>
      <color rgb="FF0070C0"/>
      <name val="Tahoma"/>
      <family val="2"/>
      <charset val="222"/>
      <scheme val="minor"/>
    </font>
    <font>
      <sz val="11"/>
      <color rgb="FF0070C0"/>
      <name val="Times New Roman"/>
      <family val="1"/>
    </font>
    <font>
      <sz val="9"/>
      <color rgb="FF0070C0"/>
      <name val="Tahoma"/>
      <family val="2"/>
      <charset val="222"/>
      <scheme val="minor"/>
    </font>
    <font>
      <b/>
      <sz val="18"/>
      <color theme="1"/>
      <name val="Swis721 BlkCn BT"/>
      <family val="2"/>
    </font>
    <font>
      <b/>
      <sz val="10"/>
      <color theme="4" tint="-0.249977111117893"/>
      <name val="Times New Roman"/>
      <family val="1"/>
    </font>
    <font>
      <sz val="11"/>
      <color theme="1"/>
      <name val="Tahoma"/>
      <family val="2"/>
    </font>
    <font>
      <sz val="11"/>
      <color rgb="FFFF0000"/>
      <name val="Times New Roman"/>
      <family val="1"/>
    </font>
    <font>
      <sz val="12"/>
      <color theme="1"/>
      <name val="Symbol"/>
      <family val="1"/>
      <charset val="2"/>
    </font>
    <font>
      <sz val="10"/>
      <color theme="4" tint="-0.249977111117893"/>
      <name val="Tahoma"/>
      <family val="2"/>
      <charset val="222"/>
      <scheme val="minor"/>
    </font>
    <font>
      <b/>
      <sz val="10"/>
      <color rgb="FFFF0000"/>
      <name val="Times New Roman"/>
      <family val="1"/>
    </font>
    <font>
      <sz val="16"/>
      <color theme="1"/>
      <name val="Times New Roman"/>
      <family val="1"/>
    </font>
    <font>
      <sz val="10"/>
      <color theme="1"/>
      <name val="Arabic Transparent"/>
      <charset val="178"/>
    </font>
    <font>
      <sz val="9"/>
      <color rgb="FFFF0000"/>
      <name val="Times New Roman"/>
      <family val="1"/>
    </font>
    <font>
      <sz val="9"/>
      <color theme="3" tint="0.39997558519241921"/>
      <name val="Times New Roman"/>
      <family val="1"/>
      <charset val="222"/>
    </font>
    <font>
      <sz val="11"/>
      <color theme="1"/>
      <name val="Swis721 Cn BT"/>
      <family val="2"/>
    </font>
    <font>
      <sz val="10"/>
      <color theme="1"/>
      <name val="AngsanaUPC"/>
      <family val="1"/>
      <charset val="222"/>
    </font>
    <font>
      <b/>
      <vertAlign val="superscript"/>
      <sz val="11"/>
      <color theme="1"/>
      <name val="Times New Roman"/>
      <family val="1"/>
    </font>
    <font>
      <sz val="9"/>
      <color theme="3" tint="0.39997558519241921"/>
      <name val="Times New Roman"/>
      <family val="1"/>
    </font>
    <font>
      <vertAlign val="superscript"/>
      <sz val="10"/>
      <color theme="1"/>
      <name val="Times New Roman"/>
      <family val="1"/>
    </font>
    <font>
      <sz val="18"/>
      <color rgb="FF000000"/>
      <name val="Tahoma"/>
      <family val="2"/>
      <scheme val="minor"/>
    </font>
    <font>
      <sz val="10"/>
      <color rgb="FF0070C0"/>
      <name val="Times New Roman"/>
      <family val="1"/>
    </font>
    <font>
      <vertAlign val="subscript"/>
      <sz val="11"/>
      <color theme="1"/>
      <name val="Times New Roman"/>
      <family val="1"/>
    </font>
    <font>
      <sz val="9"/>
      <color theme="1"/>
      <name val="Terminal"/>
      <family val="3"/>
      <charset val="255"/>
    </font>
    <font>
      <sz val="11"/>
      <color theme="3"/>
      <name val="Tahoma"/>
      <family val="2"/>
      <charset val="222"/>
      <scheme val="minor"/>
    </font>
    <font>
      <b/>
      <sz val="18"/>
      <color theme="3"/>
      <name val="Swis721 BlkCn BT"/>
      <family val="2"/>
    </font>
    <font>
      <b/>
      <sz val="10"/>
      <color theme="3"/>
      <name val="Times New Roman"/>
      <family val="1"/>
    </font>
    <font>
      <b/>
      <sz val="11"/>
      <color theme="3"/>
      <name val="Times New Roman"/>
      <family val="1"/>
    </font>
    <font>
      <sz val="11"/>
      <color theme="1"/>
      <name val="Arial"/>
      <family val="2"/>
    </font>
    <font>
      <sz val="10"/>
      <color rgb="FFFF0000"/>
      <name val="Times New Roman"/>
      <family val="1"/>
    </font>
    <font>
      <sz val="12"/>
      <color rgb="FFFF0000"/>
      <name val="Times New Roman"/>
      <family val="1"/>
    </font>
    <font>
      <vertAlign val="subscript"/>
      <sz val="10"/>
      <color theme="1"/>
      <name val="Times New Roman"/>
      <family val="1"/>
    </font>
    <font>
      <b/>
      <vertAlign val="subscript"/>
      <sz val="10"/>
      <color theme="1"/>
      <name val="Times New Roman"/>
      <family val="1"/>
    </font>
    <font>
      <vertAlign val="subscript"/>
      <sz val="12"/>
      <color theme="1"/>
      <name val="Times New Roman"/>
      <family val="1"/>
    </font>
    <font>
      <b/>
      <vertAlign val="subscript"/>
      <sz val="14"/>
      <color theme="1"/>
      <name val="Times New Roman"/>
      <family val="1"/>
    </font>
    <font>
      <sz val="8"/>
      <color indexed="10"/>
      <name val="Times New Roman"/>
      <family val="1"/>
    </font>
    <font>
      <b/>
      <sz val="11"/>
      <name val="Times New Roman"/>
      <family val="1"/>
    </font>
    <font>
      <sz val="9"/>
      <color theme="1"/>
      <name val="Bookshelf Symbol 7"/>
      <charset val="2"/>
    </font>
    <font>
      <sz val="9"/>
      <color theme="1"/>
      <name val="Tahoma"/>
      <family val="2"/>
      <charset val="222"/>
    </font>
    <font>
      <sz val="11"/>
      <color theme="1"/>
      <name val="Script MT Bold"/>
      <family val="4"/>
    </font>
    <font>
      <b/>
      <vertAlign val="subscript"/>
      <sz val="12"/>
      <color theme="1"/>
      <name val="Times New Roman"/>
      <family val="1"/>
    </font>
    <font>
      <sz val="11"/>
      <color theme="7" tint="0.79998168889431442"/>
      <name val="Tahoma"/>
      <family val="2"/>
      <charset val="222"/>
      <scheme val="minor"/>
    </font>
    <font>
      <b/>
      <sz val="24"/>
      <color theme="7" tint="0.79998168889431442"/>
      <name val="Times New Roman"/>
      <family val="1"/>
    </font>
    <font>
      <b/>
      <sz val="10"/>
      <name val="Times New Roman"/>
      <family val="1"/>
      <charset val="222"/>
    </font>
    <font>
      <sz val="11"/>
      <name val="Times New Roman"/>
      <family val="1"/>
    </font>
    <font>
      <sz val="16"/>
      <name val="Times New Roman"/>
      <family val="1"/>
    </font>
    <font>
      <b/>
      <sz val="14"/>
      <color rgb="FFFF0000"/>
      <name val="Tunga"/>
      <charset val="1"/>
    </font>
    <font>
      <u/>
      <sz val="12.3"/>
      <color theme="10"/>
      <name val="Tahoma"/>
      <family val="2"/>
      <charset val="222"/>
    </font>
    <font>
      <vertAlign val="subscript"/>
      <sz val="12"/>
      <name val="Symbol"/>
      <family val="1"/>
      <charset val="2"/>
    </font>
    <font>
      <b/>
      <sz val="14"/>
      <color theme="3" tint="-0.499984740745262"/>
      <name val="Tahoma"/>
      <family val="2"/>
      <charset val="222"/>
    </font>
    <font>
      <sz val="11"/>
      <color rgb="FF002060"/>
      <name val="Times New Roman"/>
      <family val="1"/>
    </font>
    <font>
      <b/>
      <sz val="11"/>
      <color theme="8" tint="-0.499984740745262"/>
      <name val="Times New Roman"/>
      <family val="1"/>
    </font>
    <font>
      <sz val="10"/>
      <color rgb="FF002060"/>
      <name val="Times New Roman"/>
      <family val="1"/>
    </font>
    <font>
      <b/>
      <sz val="10"/>
      <color rgb="FF002060"/>
      <name val="Times New Roman"/>
      <family val="1"/>
    </font>
    <font>
      <b/>
      <sz val="10"/>
      <color rgb="FF0070C0"/>
      <name val="Times New Roman"/>
      <family val="1"/>
    </font>
    <font>
      <b/>
      <sz val="11"/>
      <color rgb="FF002060"/>
      <name val="Times New Roman"/>
      <family val="1"/>
    </font>
    <font>
      <b/>
      <sz val="10"/>
      <color theme="1" tint="4.9989318521683403E-2"/>
      <name val="Times New Roman"/>
      <family val="1"/>
    </font>
    <font>
      <b/>
      <sz val="16"/>
      <color rgb="FF002060"/>
      <name val="Tahoma"/>
      <family val="2"/>
      <scheme val="minor"/>
    </font>
    <font>
      <sz val="11"/>
      <color rgb="FF002060"/>
      <name val="Tahoma"/>
      <family val="2"/>
      <charset val="222"/>
      <scheme val="minor"/>
    </font>
    <font>
      <sz val="10"/>
      <color rgb="FF002060"/>
      <name val="Tahoma"/>
      <family val="2"/>
      <scheme val="minor"/>
    </font>
    <font>
      <b/>
      <sz val="10"/>
      <color rgb="FF002060"/>
      <name val="Tahoma"/>
      <family val="2"/>
      <scheme val="minor"/>
    </font>
    <font>
      <b/>
      <sz val="18"/>
      <color rgb="FFFF0000"/>
      <name val="Tunga"/>
      <charset val="1"/>
    </font>
    <font>
      <b/>
      <sz val="8"/>
      <color theme="0" tint="-4.9989318521683403E-2"/>
      <name val="Times New Roman"/>
      <family val="1"/>
    </font>
    <font>
      <b/>
      <sz val="12"/>
      <color rgb="FF002060"/>
      <name val="Times New Roman"/>
      <family val="1"/>
    </font>
    <font>
      <b/>
      <sz val="11"/>
      <color theme="4" tint="-0.249977111117893"/>
      <name val="Times New Roman"/>
      <family val="1"/>
    </font>
  </fonts>
  <fills count="11">
    <fill>
      <patternFill patternType="none"/>
    </fill>
    <fill>
      <patternFill patternType="gray125"/>
    </fill>
    <fill>
      <patternFill patternType="solid">
        <fgColor theme="6"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0"/>
        <bgColor indexed="64"/>
      </patternFill>
    </fill>
    <fill>
      <gradientFill degree="90">
        <stop position="0">
          <color theme="9" tint="-0.25098422193060094"/>
        </stop>
        <stop position="1">
          <color theme="9" tint="0.59999389629810485"/>
        </stop>
      </gradientFill>
    </fill>
    <fill>
      <gradientFill degree="90">
        <stop position="0">
          <color theme="9" tint="0.40000610370189521"/>
        </stop>
        <stop position="1">
          <color theme="9" tint="-0.25098422193060094"/>
        </stop>
      </gradientFill>
    </fill>
    <fill>
      <gradientFill degree="90">
        <stop position="0">
          <color theme="9" tint="-0.25098422193060094"/>
        </stop>
        <stop position="1">
          <color theme="9" tint="0.40000610370189521"/>
        </stop>
      </gradientFill>
    </fill>
    <fill>
      <patternFill patternType="solid">
        <fgColor theme="0"/>
        <bgColor auto="1"/>
      </patternFill>
    </fill>
    <fill>
      <gradientFill degree="90">
        <stop position="0">
          <color rgb="FF00B0F0"/>
        </stop>
        <stop position="1">
          <color rgb="FF002060"/>
        </stop>
      </gradient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theme="1"/>
      </right>
      <top/>
      <bottom style="thin">
        <color theme="1"/>
      </bottom>
      <diagonal/>
    </border>
    <border>
      <left/>
      <right/>
      <top/>
      <bottom style="thin">
        <color theme="1"/>
      </bottom>
      <diagonal/>
    </border>
    <border>
      <left style="thin">
        <color indexed="64"/>
      </left>
      <right/>
      <top/>
      <bottom style="thin">
        <color rgb="FFFF0000"/>
      </bottom>
      <diagonal/>
    </border>
    <border>
      <left/>
      <right/>
      <top/>
      <bottom style="thin">
        <color rgb="FFFF0000"/>
      </bottom>
      <diagonal/>
    </border>
    <border>
      <left/>
      <right style="thin">
        <color indexed="64"/>
      </right>
      <top/>
      <bottom style="thin">
        <color rgb="FFFF0000"/>
      </bottom>
      <diagonal/>
    </border>
    <border>
      <left/>
      <right style="thin">
        <color theme="1"/>
      </right>
      <top/>
      <bottom/>
      <diagonal/>
    </border>
    <border>
      <left/>
      <right style="thin">
        <color theme="1"/>
      </right>
      <top style="thin">
        <color indexed="64"/>
      </top>
      <bottom/>
      <diagonal/>
    </border>
    <border>
      <left/>
      <right style="thin">
        <color theme="1"/>
      </right>
      <top/>
      <bottom style="thin">
        <color indexed="64"/>
      </bottom>
      <diagonal/>
    </border>
    <border>
      <left style="thin">
        <color theme="1"/>
      </left>
      <right style="thin">
        <color theme="1"/>
      </right>
      <top style="thin">
        <color indexed="64"/>
      </top>
      <bottom/>
      <diagonal/>
    </border>
    <border>
      <left style="thin">
        <color theme="1"/>
      </left>
      <right style="thin">
        <color theme="1"/>
      </right>
      <top/>
      <bottom/>
      <diagonal/>
    </border>
    <border>
      <left style="thin">
        <color theme="1"/>
      </left>
      <right style="thin">
        <color theme="1"/>
      </right>
      <top/>
      <bottom style="thin">
        <color indexed="64"/>
      </bottom>
      <diagonal/>
    </border>
    <border>
      <left style="thin">
        <color theme="1"/>
      </left>
      <right/>
      <top/>
      <bottom/>
      <diagonal/>
    </border>
    <border>
      <left style="thin">
        <color theme="1"/>
      </left>
      <right/>
      <top/>
      <bottom style="thin">
        <color theme="1"/>
      </bottom>
      <diagonal/>
    </border>
    <border>
      <left style="thin">
        <color theme="1" tint="4.9989318521683403E-2"/>
      </left>
      <right/>
      <top style="thin">
        <color theme="1" tint="4.9989318521683403E-2"/>
      </top>
      <bottom/>
      <diagonal/>
    </border>
    <border>
      <left/>
      <right/>
      <top style="thin">
        <color theme="1" tint="4.9989318521683403E-2"/>
      </top>
      <bottom/>
      <diagonal/>
    </border>
    <border>
      <left/>
      <right style="thin">
        <color theme="1" tint="4.9989318521683403E-2"/>
      </right>
      <top style="thin">
        <color theme="1" tint="4.9989318521683403E-2"/>
      </top>
      <bottom/>
      <diagonal/>
    </border>
    <border>
      <left style="thin">
        <color theme="1" tint="4.9989318521683403E-2"/>
      </left>
      <right/>
      <top/>
      <bottom/>
      <diagonal/>
    </border>
    <border>
      <left/>
      <right style="thin">
        <color theme="1" tint="4.9989318521683403E-2"/>
      </right>
      <top/>
      <bottom/>
      <diagonal/>
    </border>
    <border>
      <left style="thin">
        <color theme="1" tint="4.9989318521683403E-2"/>
      </left>
      <right/>
      <top/>
      <bottom style="thin">
        <color theme="1" tint="4.9989318521683403E-2"/>
      </bottom>
      <diagonal/>
    </border>
    <border>
      <left/>
      <right/>
      <top/>
      <bottom style="thin">
        <color theme="1" tint="4.9989318521683403E-2"/>
      </bottom>
      <diagonal/>
    </border>
    <border>
      <left/>
      <right style="thin">
        <color theme="1" tint="4.9989318521683403E-2"/>
      </right>
      <top/>
      <bottom style="thin">
        <color theme="1" tint="4.9989318521683403E-2"/>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rgb="FFFF0000"/>
      </right>
      <top/>
      <bottom style="thin">
        <color rgb="FFFF0000"/>
      </bottom>
      <diagonal/>
    </border>
    <border>
      <left style="thin">
        <color indexed="64"/>
      </left>
      <right/>
      <top style="thin">
        <color indexed="64"/>
      </top>
      <bottom style="thin">
        <color theme="1"/>
      </bottom>
      <diagonal/>
    </border>
    <border>
      <left style="thin">
        <color rgb="FFFF0000"/>
      </left>
      <right style="thin">
        <color indexed="64"/>
      </right>
      <top/>
      <bottom style="thin">
        <color rgb="FFFF0000"/>
      </bottom>
      <diagonal/>
    </border>
    <border>
      <left style="thin">
        <color indexed="64"/>
      </left>
      <right style="thin">
        <color indexed="64"/>
      </right>
      <top/>
      <bottom style="thin">
        <color rgb="FFFF0000"/>
      </bottom>
      <diagonal/>
    </border>
    <border>
      <left style="thin">
        <color indexed="64"/>
      </left>
      <right style="thin">
        <color rgb="FFFF0000"/>
      </right>
      <top/>
      <bottom style="thin">
        <color rgb="FFFF0000"/>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top style="thin">
        <color indexed="64"/>
      </top>
      <bottom style="thin">
        <color rgb="FFFF0000"/>
      </bottom>
      <diagonal/>
    </border>
    <border>
      <left/>
      <right/>
      <top style="thin">
        <color indexed="64"/>
      </top>
      <bottom style="thin">
        <color rgb="FFFF0000"/>
      </bottom>
      <diagonal/>
    </border>
    <border>
      <left/>
      <right style="thin">
        <color rgb="FFFF0000"/>
      </right>
      <top style="thin">
        <color indexed="64"/>
      </top>
      <bottom style="thin">
        <color rgb="FFFF0000"/>
      </bottom>
      <diagonal/>
    </border>
    <border>
      <left/>
      <right/>
      <top style="thin">
        <color rgb="FFFF0000"/>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FF0000"/>
      </left>
      <right style="thin">
        <color indexed="64"/>
      </right>
      <top style="thin">
        <color indexed="64"/>
      </top>
      <bottom style="thin">
        <color rgb="FFFF0000"/>
      </bottom>
      <diagonal/>
    </border>
    <border>
      <left style="thin">
        <color indexed="64"/>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style="thin">
        <color rgb="FFFF0000"/>
      </left>
      <right/>
      <top/>
      <bottom/>
      <diagonal/>
    </border>
    <border>
      <left/>
      <right/>
      <top/>
      <bottom style="medium">
        <color rgb="FFFF0000"/>
      </bottom>
      <diagonal/>
    </border>
    <border>
      <left/>
      <right/>
      <top/>
      <bottom style="medium">
        <color rgb="FF002060"/>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style="medium">
        <color rgb="FF002060"/>
      </right>
      <top/>
      <bottom style="medium">
        <color rgb="FF002060"/>
      </bottom>
      <diagonal/>
    </border>
    <border>
      <left/>
      <right style="medium">
        <color rgb="FF002060"/>
      </right>
      <top/>
      <bottom/>
      <diagonal/>
    </border>
    <border>
      <left/>
      <right/>
      <top style="thin">
        <color rgb="FF002060"/>
      </top>
      <bottom style="medium">
        <color rgb="FF002060"/>
      </bottom>
      <diagonal/>
    </border>
  </borders>
  <cellStyleXfs count="4">
    <xf numFmtId="0" fontId="0" fillId="0" borderId="0"/>
    <xf numFmtId="43" fontId="18" fillId="0" borderId="0" applyFont="0" applyFill="0" applyBorder="0" applyAlignment="0" applyProtection="0"/>
    <xf numFmtId="44" fontId="18" fillId="0" borderId="0" applyFont="0" applyFill="0" applyBorder="0" applyAlignment="0" applyProtection="0"/>
    <xf numFmtId="0" fontId="85" fillId="0" borderId="0" applyNumberFormat="0" applyFill="0" applyBorder="0" applyAlignment="0" applyProtection="0">
      <alignment vertical="top"/>
      <protection locked="0"/>
    </xf>
  </cellStyleXfs>
  <cellXfs count="649">
    <xf numFmtId="0" fontId="0" fillId="0" borderId="0" xfId="0"/>
    <xf numFmtId="0" fontId="4" fillId="0" borderId="0" xfId="0" applyFont="1" applyFill="1" applyBorder="1" applyAlignment="1"/>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9" xfId="0" applyFont="1" applyFill="1" applyBorder="1" applyAlignment="1">
      <alignment horizontal="center" vertical="center"/>
    </xf>
    <xf numFmtId="0" fontId="3" fillId="4" borderId="14" xfId="0" applyFont="1" applyFill="1" applyBorder="1" applyAlignment="1">
      <alignment horizontal="center" wrapText="1"/>
    </xf>
    <xf numFmtId="0" fontId="3" fillId="4" borderId="5" xfId="0" applyFont="1" applyFill="1" applyBorder="1" applyAlignment="1">
      <alignment horizontal="center" wrapText="1"/>
    </xf>
    <xf numFmtId="0" fontId="12" fillId="3" borderId="1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12" xfId="0" applyFont="1" applyFill="1" applyBorder="1" applyAlignment="1">
      <alignment horizontal="center" vertical="center"/>
    </xf>
    <xf numFmtId="0" fontId="3" fillId="3" borderId="9" xfId="0" applyFont="1" applyFill="1" applyBorder="1" applyAlignment="1">
      <alignment horizontal="center"/>
    </xf>
    <xf numFmtId="0" fontId="3" fillId="3" borderId="2" xfId="0" applyFont="1" applyFill="1" applyBorder="1" applyAlignment="1">
      <alignment horizontal="center"/>
    </xf>
    <xf numFmtId="0" fontId="42" fillId="0" borderId="0" xfId="0" applyFont="1" applyFill="1" applyBorder="1" applyAlignment="1" applyProtection="1"/>
    <xf numFmtId="0" fontId="0" fillId="0" borderId="0" xfId="0" applyFill="1"/>
    <xf numFmtId="0" fontId="42" fillId="0" borderId="0" xfId="0" applyFont="1" applyFill="1" applyBorder="1" applyAlignment="1" applyProtection="1">
      <alignment horizontal="center"/>
    </xf>
    <xf numFmtId="0" fontId="52" fillId="0" borderId="0" xfId="0" applyFont="1" applyFill="1" applyBorder="1" applyAlignment="1">
      <alignment horizontal="center"/>
    </xf>
    <xf numFmtId="0" fontId="42" fillId="0" borderId="27" xfId="0" applyFont="1" applyFill="1" applyBorder="1" applyAlignment="1" applyProtection="1"/>
    <xf numFmtId="0" fontId="12" fillId="0" borderId="2" xfId="0" applyFont="1" applyFill="1" applyBorder="1" applyAlignment="1">
      <alignment vertical="center" wrapText="1"/>
    </xf>
    <xf numFmtId="0" fontId="3" fillId="0" borderId="9" xfId="0" applyFont="1" applyFill="1" applyBorder="1" applyAlignment="1">
      <alignment vertical="center"/>
    </xf>
    <xf numFmtId="0" fontId="3" fillId="2" borderId="13" xfId="0" applyFont="1" applyFill="1" applyBorder="1" applyAlignment="1">
      <alignment horizontal="center" vertical="center"/>
    </xf>
    <xf numFmtId="0" fontId="79" fillId="0" borderId="0" xfId="0" applyFont="1" applyFill="1" applyBorder="1" applyAlignment="1">
      <alignment vertical="center"/>
    </xf>
    <xf numFmtId="0" fontId="6" fillId="0" borderId="14" xfId="0" applyFont="1" applyFill="1" applyBorder="1" applyAlignment="1">
      <alignment horizontal="center"/>
    </xf>
    <xf numFmtId="0" fontId="10" fillId="0" borderId="14" xfId="0" applyFont="1" applyFill="1" applyBorder="1" applyAlignment="1">
      <alignment horizontal="center"/>
    </xf>
    <xf numFmtId="0" fontId="10" fillId="2" borderId="11" xfId="0" applyFont="1" applyFill="1" applyBorder="1" applyAlignment="1">
      <alignment horizontal="center" vertical="center"/>
    </xf>
    <xf numFmtId="189" fontId="80" fillId="0" borderId="0" xfId="0" applyNumberFormat="1" applyFont="1" applyFill="1" applyBorder="1" applyAlignment="1">
      <alignment vertical="center"/>
    </xf>
    <xf numFmtId="0" fontId="0" fillId="0" borderId="0" xfId="0" applyBorder="1"/>
    <xf numFmtId="0" fontId="36" fillId="0" borderId="1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7" xfId="0" applyFont="1" applyFill="1" applyBorder="1" applyAlignment="1">
      <alignment vertical="center"/>
    </xf>
    <xf numFmtId="0" fontId="3" fillId="0" borderId="11" xfId="0" applyFont="1" applyFill="1" applyBorder="1" applyAlignment="1">
      <alignment vertical="center"/>
    </xf>
    <xf numFmtId="0" fontId="48" fillId="0" borderId="0" xfId="0" applyFont="1" applyFill="1" applyBorder="1" applyAlignment="1"/>
    <xf numFmtId="0" fontId="26" fillId="0" borderId="0" xfId="0" applyFont="1" applyFill="1" applyBorder="1" applyAlignment="1">
      <alignment vertical="center"/>
    </xf>
    <xf numFmtId="0" fontId="10" fillId="0" borderId="0" xfId="0" applyFont="1" applyFill="1" applyBorder="1"/>
    <xf numFmtId="0" fontId="6" fillId="0" borderId="0" xfId="0" applyFont="1" applyFill="1" applyBorder="1"/>
    <xf numFmtId="0" fontId="3" fillId="0" borderId="0" xfId="0" applyFont="1" applyFill="1" applyBorder="1" applyAlignment="1">
      <alignment vertical="center"/>
    </xf>
    <xf numFmtId="0" fontId="38" fillId="0" borderId="37"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0" xfId="0" applyFont="1" applyFill="1" applyBorder="1" applyAlignment="1">
      <alignment horizontal="center" vertical="center"/>
    </xf>
    <xf numFmtId="0" fontId="47" fillId="0" borderId="37" xfId="0" applyFont="1" applyFill="1" applyBorder="1" applyAlignment="1">
      <alignment horizontal="center" vertical="center"/>
    </xf>
    <xf numFmtId="0" fontId="0" fillId="0" borderId="0" xfId="0" applyFill="1" applyBorder="1" applyAlignment="1"/>
    <xf numFmtId="0" fontId="12" fillId="0" borderId="0" xfId="0" applyFont="1" applyFill="1" applyBorder="1" applyAlignment="1">
      <alignment horizontal="center" vertical="center"/>
    </xf>
    <xf numFmtId="11" fontId="3" fillId="0" borderId="0" xfId="0" applyNumberFormat="1" applyFont="1" applyFill="1" applyBorder="1" applyAlignment="1">
      <alignment horizontal="center" vertical="center"/>
    </xf>
    <xf numFmtId="0" fontId="3" fillId="0" borderId="0" xfId="0" applyFont="1" applyFill="1" applyBorder="1"/>
    <xf numFmtId="0" fontId="54" fillId="0" borderId="0" xfId="0" applyFont="1" applyFill="1" applyBorder="1"/>
    <xf numFmtId="0" fontId="10"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13" fillId="0" borderId="0" xfId="0" applyFont="1" applyFill="1" applyBorder="1"/>
    <xf numFmtId="0" fontId="3" fillId="0" borderId="0" xfId="0" applyFont="1" applyFill="1" applyBorder="1" applyAlignment="1">
      <alignment horizontal="center"/>
    </xf>
    <xf numFmtId="0" fontId="10" fillId="0" borderId="0" xfId="0" applyFont="1" applyFill="1" applyBorder="1" applyAlignment="1">
      <alignment horizontal="center"/>
    </xf>
    <xf numFmtId="0" fontId="13" fillId="0" borderId="0" xfId="0" applyFont="1" applyFill="1" applyBorder="1" applyAlignment="1">
      <alignment horizontal="center" vertical="center"/>
    </xf>
    <xf numFmtId="0" fontId="3" fillId="0" borderId="0" xfId="0" applyFont="1" applyFill="1" applyAlignment="1">
      <alignment horizontal="center" vertical="center"/>
    </xf>
    <xf numFmtId="0" fontId="48" fillId="0" borderId="3" xfId="0" applyFont="1" applyFill="1" applyBorder="1" applyAlignment="1">
      <alignment horizontal="center" vertical="center"/>
    </xf>
    <xf numFmtId="0" fontId="13" fillId="0" borderId="12"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6" xfId="0" applyFont="1" applyFill="1" applyBorder="1" applyAlignment="1">
      <alignment horizontal="left" vertical="center" wrapText="1"/>
    </xf>
    <xf numFmtId="0" fontId="87" fillId="7" borderId="53" xfId="3" applyFont="1" applyFill="1" applyBorder="1" applyAlignment="1" applyProtection="1">
      <alignment horizontal="center" vertical="center"/>
    </xf>
    <xf numFmtId="0" fontId="87" fillId="8" borderId="52" xfId="3" applyFont="1" applyFill="1" applyBorder="1" applyAlignment="1" applyProtection="1">
      <alignment horizontal="center" vertical="center"/>
    </xf>
    <xf numFmtId="0" fontId="87" fillId="6" borderId="52" xfId="3" applyFont="1" applyFill="1" applyBorder="1" applyAlignment="1" applyProtection="1">
      <alignment horizontal="center" vertical="center"/>
    </xf>
    <xf numFmtId="0" fontId="63" fillId="0" borderId="0" xfId="0" applyFont="1" applyFill="1" applyBorder="1" applyAlignment="1" applyProtection="1"/>
    <xf numFmtId="0" fontId="62" fillId="0" borderId="0" xfId="0" applyFont="1" applyFill="1" applyBorder="1" applyAlignment="1"/>
    <xf numFmtId="200" fontId="43" fillId="0" borderId="0" xfId="0" applyNumberFormat="1" applyFont="1" applyFill="1" applyBorder="1" applyAlignment="1">
      <alignment vertical="center" wrapText="1"/>
    </xf>
    <xf numFmtId="200" fontId="43" fillId="0" borderId="0" xfId="0" applyNumberFormat="1" applyFont="1" applyFill="1" applyBorder="1" applyAlignment="1">
      <alignment horizontal="left"/>
    </xf>
    <xf numFmtId="201" fontId="43" fillId="0" borderId="0" xfId="0" applyNumberFormat="1" applyFont="1" applyFill="1" applyBorder="1" applyAlignment="1"/>
    <xf numFmtId="201" fontId="64" fillId="0" borderId="0" xfId="0" applyNumberFormat="1" applyFont="1" applyFill="1" applyBorder="1" applyAlignment="1"/>
    <xf numFmtId="199" fontId="64" fillId="0" borderId="0" xfId="0" applyNumberFormat="1" applyFont="1" applyFill="1" applyBorder="1" applyAlignment="1">
      <alignment vertical="center" wrapText="1"/>
    </xf>
    <xf numFmtId="199" fontId="65" fillId="0" borderId="0" xfId="0" applyNumberFormat="1" applyFont="1" applyFill="1" applyBorder="1" applyAlignment="1">
      <alignment textRotation="75"/>
    </xf>
    <xf numFmtId="199" fontId="64" fillId="0" borderId="0" xfId="0" applyNumberFormat="1" applyFont="1" applyFill="1" applyBorder="1" applyAlignment="1">
      <alignment vertical="center" textRotation="69"/>
    </xf>
    <xf numFmtId="1" fontId="84" fillId="0" borderId="0" xfId="0" applyNumberFormat="1" applyFont="1" applyFill="1" applyBorder="1" applyAlignment="1" applyProtection="1">
      <alignment vertical="center" wrapText="1"/>
    </xf>
    <xf numFmtId="0" fontId="0" fillId="0" borderId="0" xfId="0" applyFont="1" applyFill="1" applyBorder="1"/>
    <xf numFmtId="0" fontId="0" fillId="0" borderId="0" xfId="0" applyFill="1" applyBorder="1"/>
    <xf numFmtId="0" fontId="3" fillId="0" borderId="27" xfId="0" applyFont="1" applyFill="1" applyBorder="1" applyAlignment="1">
      <alignment horizontal="center"/>
    </xf>
    <xf numFmtId="11" fontId="3" fillId="0" borderId="0" xfId="0" applyNumberFormat="1" applyFont="1" applyFill="1" applyAlignment="1">
      <alignment horizontal="center" vertical="center"/>
    </xf>
    <xf numFmtId="209" fontId="59" fillId="0" borderId="41" xfId="0" applyNumberFormat="1" applyFont="1" applyFill="1" applyBorder="1" applyAlignment="1">
      <alignment horizontal="center"/>
    </xf>
    <xf numFmtId="0" fontId="3" fillId="0" borderId="0" xfId="0" applyFont="1" applyFill="1" applyAlignment="1">
      <alignment horizontal="center"/>
    </xf>
    <xf numFmtId="198" fontId="59" fillId="0" borderId="51" xfId="0" applyNumberFormat="1" applyFont="1" applyFill="1" applyBorder="1" applyAlignment="1"/>
    <xf numFmtId="0" fontId="0" fillId="0" borderId="0" xfId="0" applyFill="1" applyBorder="1" applyAlignment="1">
      <alignment wrapText="1"/>
    </xf>
    <xf numFmtId="0" fontId="6" fillId="0" borderId="0"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0" fillId="0" borderId="30" xfId="0" applyFill="1" applyBorder="1"/>
    <xf numFmtId="0" fontId="0" fillId="0" borderId="31" xfId="0" applyFill="1" applyBorder="1"/>
    <xf numFmtId="0" fontId="0" fillId="0" borderId="0" xfId="0" applyFill="1" applyAlignment="1"/>
    <xf numFmtId="0" fontId="3" fillId="0" borderId="2" xfId="0" applyFont="1" applyFill="1" applyBorder="1" applyAlignment="1">
      <alignment horizontal="left" vertical="center"/>
    </xf>
    <xf numFmtId="0" fontId="12" fillId="0" borderId="6"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0" xfId="0" applyFont="1" applyFill="1" applyBorder="1" applyAlignment="1">
      <alignment horizontal="left" vertical="center"/>
    </xf>
    <xf numFmtId="0" fontId="0" fillId="0" borderId="33" xfId="0" applyFill="1" applyBorder="1"/>
    <xf numFmtId="0" fontId="82" fillId="0" borderId="12" xfId="0" applyFont="1" applyFill="1" applyBorder="1" applyAlignment="1">
      <alignment horizontal="center" vertical="center"/>
    </xf>
    <xf numFmtId="0" fontId="82" fillId="0" borderId="1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3" xfId="0" applyFont="1" applyFill="1" applyBorder="1" applyAlignment="1">
      <alignment horizontal="center" vertical="center"/>
    </xf>
    <xf numFmtId="0" fontId="6" fillId="0" borderId="1" xfId="0" applyFont="1" applyFill="1" applyBorder="1" applyAlignment="1">
      <alignment vertical="center"/>
    </xf>
    <xf numFmtId="0" fontId="3" fillId="0" borderId="1" xfId="0" applyFont="1" applyFill="1" applyBorder="1" applyAlignment="1">
      <alignment horizontal="center" vertical="center"/>
    </xf>
    <xf numFmtId="0" fontId="6" fillId="0" borderId="1" xfId="0" applyFont="1" applyFill="1" applyBorder="1"/>
    <xf numFmtId="0" fontId="37" fillId="0" borderId="37" xfId="0" applyFont="1" applyFill="1" applyBorder="1" applyAlignment="1">
      <alignment horizontal="center" vertical="center"/>
    </xf>
    <xf numFmtId="0" fontId="36" fillId="0" borderId="13" xfId="0" applyFont="1" applyFill="1" applyBorder="1" applyAlignment="1">
      <alignment horizontal="center" vertical="center"/>
    </xf>
    <xf numFmtId="0" fontId="0" fillId="0" borderId="0" xfId="0" applyFill="1" applyAlignment="1">
      <alignment horizontal="center"/>
    </xf>
    <xf numFmtId="0" fontId="3" fillId="0" borderId="7" xfId="0" applyFont="1" applyFill="1" applyBorder="1" applyAlignment="1">
      <alignment horizontal="left" vertical="center"/>
    </xf>
    <xf numFmtId="0" fontId="3" fillId="0" borderId="8" xfId="0" applyFont="1" applyFill="1" applyBorder="1" applyAlignment="1">
      <alignment horizontal="center" vertical="center"/>
    </xf>
    <xf numFmtId="0" fontId="40" fillId="0" borderId="41" xfId="0" applyFont="1" applyFill="1" applyBorder="1" applyAlignment="1">
      <alignment horizontal="center" vertical="center"/>
    </xf>
    <xf numFmtId="0" fontId="82" fillId="0" borderId="7" xfId="0" applyFont="1" applyFill="1" applyBorder="1" applyAlignment="1">
      <alignment horizontal="center" vertical="center"/>
    </xf>
    <xf numFmtId="0" fontId="82" fillId="0" borderId="8" xfId="0" applyFont="1" applyFill="1" applyBorder="1" applyAlignment="1">
      <alignment horizontal="center" vertical="center"/>
    </xf>
    <xf numFmtId="0" fontId="3" fillId="0" borderId="14" xfId="0" applyFont="1" applyFill="1" applyBorder="1" applyAlignment="1">
      <alignment horizontal="center" vertical="center"/>
    </xf>
    <xf numFmtId="0" fontId="10" fillId="0" borderId="8" xfId="0" applyFont="1" applyFill="1" applyBorder="1" applyAlignment="1">
      <alignment horizontal="center" vertical="center"/>
    </xf>
    <xf numFmtId="208" fontId="10" fillId="0" borderId="1" xfId="0" applyNumberFormat="1" applyFont="1" applyFill="1" applyBorder="1" applyAlignment="1">
      <alignment horizontal="center" vertical="center"/>
    </xf>
    <xf numFmtId="208" fontId="3" fillId="0" borderId="1" xfId="0" applyNumberFormat="1" applyFont="1" applyFill="1" applyBorder="1" applyAlignment="1">
      <alignment horizontal="center" vertical="center"/>
    </xf>
    <xf numFmtId="208" fontId="6" fillId="0" borderId="1" xfId="0" applyNumberFormat="1" applyFont="1" applyFill="1" applyBorder="1"/>
    <xf numFmtId="0" fontId="0" fillId="0" borderId="1" xfId="0" applyFill="1" applyBorder="1" applyAlignment="1">
      <alignment horizontal="center" vertical="center"/>
    </xf>
    <xf numFmtId="0" fontId="0" fillId="0" borderId="13" xfId="0" applyFill="1" applyBorder="1" applyAlignment="1">
      <alignment horizontal="center" vertical="center"/>
    </xf>
    <xf numFmtId="0" fontId="3" fillId="0" borderId="9" xfId="0" applyFont="1" applyFill="1" applyBorder="1" applyAlignment="1">
      <alignment horizontal="left" vertical="center"/>
    </xf>
    <xf numFmtId="0" fontId="4" fillId="0" borderId="5" xfId="0" applyFont="1" applyFill="1" applyBorder="1" applyAlignment="1">
      <alignment horizontal="center" vertical="center"/>
    </xf>
    <xf numFmtId="0" fontId="10" fillId="0" borderId="8" xfId="0" applyFont="1" applyFill="1" applyBorder="1" applyAlignment="1">
      <alignment horizontal="center"/>
    </xf>
    <xf numFmtId="0" fontId="3" fillId="0" borderId="33" xfId="0" applyFont="1" applyFill="1" applyBorder="1" applyAlignment="1">
      <alignment horizontal="left" vertical="center"/>
    </xf>
    <xf numFmtId="0" fontId="6" fillId="0" borderId="1" xfId="0" applyFont="1" applyFill="1" applyBorder="1" applyAlignment="1">
      <alignment horizontal="center" vertical="center"/>
    </xf>
    <xf numFmtId="208" fontId="0" fillId="0" borderId="1" xfId="0" applyNumberFormat="1" applyFill="1" applyBorder="1"/>
    <xf numFmtId="0" fontId="3" fillId="0" borderId="12" xfId="0" applyFont="1" applyFill="1" applyBorder="1" applyAlignment="1">
      <alignment horizontal="left" vertical="center"/>
    </xf>
    <xf numFmtId="0" fontId="40" fillId="0" borderId="37" xfId="0" applyFont="1" applyFill="1" applyBorder="1" applyAlignment="1">
      <alignment horizontal="center" vertical="center"/>
    </xf>
    <xf numFmtId="0" fontId="3" fillId="0" borderId="0" xfId="0" applyFont="1" applyFill="1"/>
    <xf numFmtId="188" fontId="37" fillId="0" borderId="37" xfId="0" applyNumberFormat="1" applyFont="1" applyFill="1" applyBorder="1" applyAlignment="1">
      <alignment horizontal="center" vertical="center"/>
    </xf>
    <xf numFmtId="0" fontId="3" fillId="0" borderId="15" xfId="0" applyFont="1" applyFill="1" applyBorder="1" applyAlignment="1">
      <alignment vertical="center"/>
    </xf>
    <xf numFmtId="0" fontId="9" fillId="0" borderId="7" xfId="0" applyFont="1" applyFill="1" applyBorder="1" applyAlignment="1">
      <alignment vertical="center"/>
    </xf>
    <xf numFmtId="0" fontId="9" fillId="0" borderId="8" xfId="0" applyFont="1" applyFill="1" applyBorder="1"/>
    <xf numFmtId="0" fontId="3" fillId="0" borderId="12" xfId="0" applyFont="1" applyFill="1" applyBorder="1" applyAlignment="1">
      <alignment horizontal="center" vertical="center"/>
    </xf>
    <xf numFmtId="0" fontId="3" fillId="0" borderId="33" xfId="0" applyFont="1" applyFill="1" applyBorder="1"/>
    <xf numFmtId="0" fontId="13" fillId="0" borderId="0" xfId="0" applyFont="1" applyFill="1" applyBorder="1" applyAlignment="1">
      <alignment vertical="center"/>
    </xf>
    <xf numFmtId="0" fontId="23" fillId="0" borderId="7" xfId="0" applyFont="1" applyFill="1" applyBorder="1" applyAlignment="1">
      <alignment horizontal="left" vertical="center"/>
    </xf>
    <xf numFmtId="0" fontId="3" fillId="0" borderId="8" xfId="0" applyFont="1" applyFill="1" applyBorder="1" applyAlignment="1">
      <alignment vertical="center"/>
    </xf>
    <xf numFmtId="0" fontId="45" fillId="0" borderId="1" xfId="0" applyFont="1" applyFill="1" applyBorder="1" applyAlignment="1">
      <alignment horizontal="right" vertical="center"/>
    </xf>
    <xf numFmtId="0" fontId="3" fillId="0" borderId="10" xfId="0" applyFont="1" applyFill="1" applyBorder="1" applyAlignment="1">
      <alignment vertical="center"/>
    </xf>
    <xf numFmtId="188" fontId="3" fillId="0" borderId="10" xfId="0" applyNumberFormat="1" applyFont="1" applyFill="1" applyBorder="1" applyAlignment="1">
      <alignment horizontal="center" vertical="center"/>
    </xf>
    <xf numFmtId="192" fontId="10" fillId="0" borderId="11" xfId="0" applyNumberFormat="1" applyFont="1" applyFill="1" applyBorder="1" applyAlignment="1">
      <alignment horizontal="left" vertical="center"/>
    </xf>
    <xf numFmtId="0" fontId="3" fillId="0" borderId="32" xfId="0" applyFont="1" applyFill="1" applyBorder="1"/>
    <xf numFmtId="0" fontId="13" fillId="0" borderId="3" xfId="0" applyFont="1" applyFill="1" applyBorder="1" applyAlignment="1">
      <alignment horizontal="center" vertical="center"/>
    </xf>
    <xf numFmtId="0" fontId="22" fillId="0" borderId="1" xfId="0" applyFont="1" applyFill="1" applyBorder="1" applyAlignment="1">
      <alignment vertical="center"/>
    </xf>
    <xf numFmtId="0" fontId="13" fillId="0" borderId="1" xfId="0" applyFont="1" applyFill="1" applyBorder="1" applyAlignment="1">
      <alignment vertical="center"/>
    </xf>
    <xf numFmtId="2" fontId="13" fillId="0" borderId="5"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5" fillId="0" borderId="0" xfId="0" applyFont="1" applyFill="1" applyAlignment="1">
      <alignment horizontal="center"/>
    </xf>
    <xf numFmtId="0" fontId="28" fillId="0" borderId="37" xfId="0" applyFont="1" applyFill="1" applyBorder="1" applyAlignment="1">
      <alignment horizontal="center" vertical="center"/>
    </xf>
    <xf numFmtId="0" fontId="10" fillId="0" borderId="13" xfId="0" applyFont="1" applyFill="1" applyBorder="1" applyAlignment="1">
      <alignment horizontal="center" vertical="center"/>
    </xf>
    <xf numFmtId="0" fontId="3" fillId="0" borderId="1" xfId="0" applyFont="1" applyFill="1" applyBorder="1"/>
    <xf numFmtId="205" fontId="3" fillId="0" borderId="1" xfId="0" applyNumberFormat="1" applyFont="1" applyFill="1" applyBorder="1"/>
    <xf numFmtId="206" fontId="3" fillId="0" borderId="1" xfId="0" applyNumberFormat="1" applyFont="1" applyFill="1" applyBorder="1"/>
    <xf numFmtId="0" fontId="22" fillId="0" borderId="14" xfId="0" applyFont="1" applyFill="1" applyBorder="1" applyAlignment="1">
      <alignment horizontal="center" vertical="center"/>
    </xf>
    <xf numFmtId="0" fontId="3" fillId="0" borderId="1" xfId="0" applyFont="1" applyFill="1" applyBorder="1" applyAlignment="1">
      <alignment vertical="center"/>
    </xf>
    <xf numFmtId="43" fontId="13" fillId="0" borderId="1" xfId="1" applyNumberFormat="1" applyFont="1" applyFill="1" applyBorder="1" applyAlignment="1">
      <alignment horizontal="left" vertical="center"/>
    </xf>
    <xf numFmtId="0" fontId="10" fillId="0" borderId="1" xfId="0" applyFont="1" applyFill="1" applyBorder="1" applyAlignment="1">
      <alignment horizontal="center" vertical="center"/>
    </xf>
    <xf numFmtId="193" fontId="10" fillId="0" borderId="0" xfId="0" applyNumberFormat="1" applyFont="1" applyFill="1"/>
    <xf numFmtId="0" fontId="10" fillId="0" borderId="0" xfId="0" applyFont="1" applyFill="1" applyBorder="1" applyAlignment="1">
      <alignment horizontal="left" vertical="center"/>
    </xf>
    <xf numFmtId="0" fontId="13" fillId="0" borderId="5" xfId="0" applyFont="1" applyFill="1" applyBorder="1" applyAlignment="1">
      <alignment horizontal="center" vertical="center"/>
    </xf>
    <xf numFmtId="0" fontId="45" fillId="0" borderId="10" xfId="0" applyFont="1" applyFill="1" applyBorder="1" applyAlignment="1">
      <alignment horizontal="center" vertical="center"/>
    </xf>
    <xf numFmtId="0" fontId="3" fillId="0" borderId="5" xfId="0" applyFont="1" applyFill="1" applyBorder="1" applyAlignment="1">
      <alignment horizontal="center" vertical="center"/>
    </xf>
    <xf numFmtId="0" fontId="13" fillId="0" borderId="0" xfId="0" applyFont="1" applyFill="1"/>
    <xf numFmtId="0" fontId="45" fillId="0" borderId="2" xfId="0" applyFont="1" applyFill="1" applyBorder="1" applyAlignment="1">
      <alignment horizontal="center" vertical="center"/>
    </xf>
    <xf numFmtId="0" fontId="10" fillId="0" borderId="14" xfId="0" applyFont="1" applyFill="1" applyBorder="1" applyAlignment="1">
      <alignment horizontal="center" vertical="center"/>
    </xf>
    <xf numFmtId="0" fontId="3" fillId="0" borderId="15" xfId="0" applyFont="1" applyFill="1" applyBorder="1" applyAlignment="1">
      <alignment horizontal="left" vertical="center"/>
    </xf>
    <xf numFmtId="0" fontId="6" fillId="0" borderId="0" xfId="0" applyFont="1" applyFill="1"/>
    <xf numFmtId="0" fontId="14" fillId="0" borderId="0" xfId="0" applyFont="1" applyFill="1" applyAlignment="1">
      <alignment horizontal="center" vertical="center" wrapText="1"/>
    </xf>
    <xf numFmtId="0" fontId="10" fillId="0" borderId="9" xfId="0" applyFont="1" applyFill="1" applyBorder="1" applyAlignment="1">
      <alignment horizontal="left" vertical="center"/>
    </xf>
    <xf numFmtId="0" fontId="27" fillId="0" borderId="37" xfId="0" applyFont="1" applyFill="1" applyBorder="1" applyAlignment="1">
      <alignment horizontal="center" vertical="center"/>
    </xf>
    <xf numFmtId="0" fontId="0" fillId="0" borderId="1" xfId="0" applyFill="1" applyBorder="1"/>
    <xf numFmtId="205" fontId="0" fillId="0" borderId="1" xfId="0" applyNumberFormat="1" applyFill="1" applyBorder="1"/>
    <xf numFmtId="0" fontId="6" fillId="0" borderId="12" xfId="0" applyFont="1" applyFill="1" applyBorder="1" applyAlignment="1">
      <alignment vertical="center"/>
    </xf>
    <xf numFmtId="0" fontId="6" fillId="0" borderId="15" xfId="0" applyFont="1" applyFill="1" applyBorder="1" applyAlignment="1">
      <alignment vertical="center"/>
    </xf>
    <xf numFmtId="0" fontId="10" fillId="0" borderId="0" xfId="0" applyFont="1" applyFill="1" applyAlignment="1">
      <alignment horizontal="center" vertical="center" wrapText="1"/>
    </xf>
    <xf numFmtId="0" fontId="6" fillId="0" borderId="32" xfId="0" applyFont="1" applyFill="1" applyBorder="1"/>
    <xf numFmtId="0" fontId="6" fillId="0" borderId="33" xfId="0" applyFont="1" applyFill="1" applyBorder="1"/>
    <xf numFmtId="0" fontId="6" fillId="0" borderId="7" xfId="0" applyFont="1" applyFill="1" applyBorder="1" applyAlignment="1">
      <alignment vertical="center"/>
    </xf>
    <xf numFmtId="0" fontId="6" fillId="0" borderId="0" xfId="0" applyFont="1" applyFill="1" applyBorder="1" applyAlignment="1">
      <alignment vertical="center"/>
    </xf>
    <xf numFmtId="0" fontId="10" fillId="0" borderId="0" xfId="0" applyFont="1" applyFill="1"/>
    <xf numFmtId="0" fontId="10" fillId="0" borderId="0" xfId="0" applyFont="1" applyFill="1" applyAlignment="1">
      <alignment horizontal="center"/>
    </xf>
    <xf numFmtId="0" fontId="10" fillId="0" borderId="15" xfId="0" applyFont="1" applyFill="1" applyBorder="1" applyAlignment="1">
      <alignment horizontal="left" vertical="center"/>
    </xf>
    <xf numFmtId="0" fontId="10" fillId="0" borderId="15"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7" xfId="0" applyFont="1" applyFill="1" applyBorder="1" applyAlignment="1">
      <alignment horizontal="left" vertical="center"/>
    </xf>
    <xf numFmtId="0" fontId="10" fillId="0" borderId="7" xfId="0" applyFont="1" applyFill="1" applyBorder="1" applyAlignment="1">
      <alignment horizontal="center"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10" fillId="0" borderId="32" xfId="0" applyFont="1" applyFill="1" applyBorder="1" applyAlignment="1">
      <alignment horizontal="center" vertical="center"/>
    </xf>
    <xf numFmtId="204" fontId="13" fillId="0" borderId="10" xfId="0" applyNumberFormat="1" applyFont="1" applyFill="1" applyBorder="1" applyAlignment="1">
      <alignment horizontal="center" vertical="center"/>
    </xf>
    <xf numFmtId="0" fontId="32" fillId="0" borderId="5" xfId="0" applyNumberFormat="1" applyFont="1" applyFill="1" applyBorder="1" applyAlignment="1">
      <alignment horizontal="center" vertical="center"/>
    </xf>
    <xf numFmtId="191" fontId="19" fillId="0" borderId="5" xfId="0" applyNumberFormat="1" applyFont="1" applyFill="1" applyBorder="1" applyAlignment="1">
      <alignment horizontal="center" vertical="center"/>
    </xf>
    <xf numFmtId="0" fontId="31" fillId="0" borderId="5" xfId="0" applyFont="1" applyFill="1" applyBorder="1" applyAlignment="1">
      <alignment horizontal="center" vertical="center"/>
    </xf>
    <xf numFmtId="196" fontId="17" fillId="0" borderId="4" xfId="0" applyNumberFormat="1" applyFont="1" applyFill="1" applyBorder="1" applyAlignment="1">
      <alignment horizontal="center" vertical="center"/>
    </xf>
    <xf numFmtId="0" fontId="0" fillId="0" borderId="2" xfId="0" applyFill="1" applyBorder="1" applyAlignment="1">
      <alignment vertical="center"/>
    </xf>
    <xf numFmtId="0" fontId="0" fillId="0" borderId="6" xfId="0" applyFill="1" applyBorder="1" applyAlignment="1">
      <alignment vertical="center"/>
    </xf>
    <xf numFmtId="0" fontId="51" fillId="0" borderId="6" xfId="0" applyFont="1" applyFill="1" applyBorder="1" applyAlignment="1">
      <alignment vertical="center"/>
    </xf>
    <xf numFmtId="0" fontId="45" fillId="0" borderId="6" xfId="0" applyFont="1" applyFill="1" applyBorder="1" applyAlignment="1">
      <alignment horizontal="center" vertical="center"/>
    </xf>
    <xf numFmtId="194" fontId="13" fillId="0" borderId="15" xfId="0" applyNumberFormat="1" applyFont="1" applyFill="1" applyBorder="1" applyAlignment="1">
      <alignment horizontal="center" vertical="center"/>
    </xf>
    <xf numFmtId="189" fontId="32" fillId="0" borderId="4" xfId="0" applyNumberFormat="1" applyFont="1" applyFill="1" applyBorder="1" applyAlignment="1">
      <alignment horizontal="center" vertical="center"/>
    </xf>
    <xf numFmtId="195" fontId="13" fillId="0" borderId="15" xfId="0" applyNumberFormat="1" applyFont="1" applyFill="1" applyBorder="1" applyAlignment="1">
      <alignment horizontal="center" vertical="center" wrapText="1"/>
    </xf>
    <xf numFmtId="0" fontId="12" fillId="0" borderId="0" xfId="0" applyFont="1" applyFill="1"/>
    <xf numFmtId="0" fontId="0" fillId="0" borderId="12" xfId="0" applyFill="1" applyBorder="1" applyAlignment="1">
      <alignment vertical="center"/>
    </xf>
    <xf numFmtId="0" fontId="0" fillId="0" borderId="15" xfId="0" applyFill="1" applyBorder="1" applyAlignment="1">
      <alignment vertical="center"/>
    </xf>
    <xf numFmtId="0" fontId="3" fillId="0" borderId="6" xfId="0" applyFont="1" applyFill="1" applyBorder="1" applyAlignment="1">
      <alignment vertical="center"/>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0" fillId="0" borderId="35" xfId="0" applyFill="1" applyBorder="1"/>
    <xf numFmtId="0" fontId="0" fillId="0" borderId="36" xfId="0" applyFill="1" applyBorder="1"/>
    <xf numFmtId="0" fontId="0" fillId="0" borderId="7" xfId="0" applyFill="1" applyBorder="1" applyAlignment="1">
      <alignment vertical="center"/>
    </xf>
    <xf numFmtId="0" fontId="0" fillId="0" borderId="0" xfId="0" applyFill="1" applyBorder="1" applyAlignment="1">
      <alignment vertical="center"/>
    </xf>
    <xf numFmtId="0" fontId="3" fillId="0" borderId="22" xfId="0" applyFont="1" applyFill="1" applyBorder="1" applyAlignment="1">
      <alignment vertical="center"/>
    </xf>
    <xf numFmtId="187" fontId="3" fillId="0" borderId="24" xfId="0" applyNumberFormat="1" applyFont="1" applyFill="1" applyBorder="1" applyAlignment="1">
      <alignment horizontal="center" vertical="center"/>
    </xf>
    <xf numFmtId="0" fontId="3" fillId="0" borderId="21" xfId="0" applyFont="1" applyFill="1" applyBorder="1" applyAlignment="1">
      <alignment horizontal="center" vertical="center"/>
    </xf>
    <xf numFmtId="2" fontId="40" fillId="0" borderId="37" xfId="0" applyNumberFormat="1" applyFont="1" applyFill="1" applyBorder="1" applyAlignment="1">
      <alignment horizontal="right" vertical="center"/>
    </xf>
    <xf numFmtId="0" fontId="3" fillId="0" borderId="21" xfId="0" applyFont="1" applyFill="1" applyBorder="1" applyAlignment="1">
      <alignment horizontal="left" vertical="center"/>
    </xf>
    <xf numFmtId="187" fontId="3" fillId="0" borderId="25" xfId="0" applyNumberFormat="1" applyFont="1" applyFill="1" applyBorder="1" applyAlignment="1">
      <alignment horizontal="center" vertical="center"/>
    </xf>
    <xf numFmtId="0" fontId="23" fillId="0" borderId="7" xfId="0" applyFont="1" applyFill="1" applyBorder="1" applyAlignment="1">
      <alignment vertical="center" wrapText="1"/>
    </xf>
    <xf numFmtId="196" fontId="8" fillId="0" borderId="12" xfId="0" applyNumberFormat="1" applyFont="1" applyFill="1" applyBorder="1" applyAlignment="1">
      <alignment horizontal="center" vertical="center" wrapText="1"/>
    </xf>
    <xf numFmtId="0" fontId="0" fillId="0" borderId="9" xfId="0" applyFill="1" applyBorder="1" applyAlignment="1">
      <alignment vertical="center"/>
    </xf>
    <xf numFmtId="0" fontId="0" fillId="0" borderId="10" xfId="0" applyFill="1" applyBorder="1" applyAlignment="1">
      <alignment vertical="center"/>
    </xf>
    <xf numFmtId="0" fontId="10" fillId="0" borderId="7" xfId="0" applyFont="1" applyFill="1" applyBorder="1" applyAlignment="1">
      <alignment vertical="center"/>
    </xf>
    <xf numFmtId="0" fontId="6" fillId="0" borderId="23" xfId="0" applyFont="1" applyFill="1" applyBorder="1" applyAlignment="1">
      <alignment vertical="center"/>
    </xf>
    <xf numFmtId="0" fontId="10" fillId="0" borderId="26" xfId="0" applyFont="1" applyFill="1" applyBorder="1" applyAlignment="1">
      <alignment horizontal="center" vertical="center"/>
    </xf>
    <xf numFmtId="0" fontId="6" fillId="0" borderId="11" xfId="0" applyFont="1" applyFill="1" applyBorder="1" applyAlignment="1">
      <alignment vertical="center"/>
    </xf>
    <xf numFmtId="0" fontId="32" fillId="0" borderId="28" xfId="0" applyFont="1" applyFill="1" applyBorder="1" applyAlignment="1">
      <alignment horizontal="center" vertical="center"/>
    </xf>
    <xf numFmtId="0" fontId="3" fillId="0" borderId="2" xfId="0" applyFont="1" applyFill="1" applyBorder="1" applyAlignment="1">
      <alignment vertical="center"/>
    </xf>
    <xf numFmtId="0" fontId="3" fillId="0" borderId="3" xfId="0" applyFont="1" applyFill="1" applyBorder="1" applyAlignment="1">
      <alignment vertical="center"/>
    </xf>
    <xf numFmtId="49" fontId="3" fillId="0" borderId="2" xfId="2" applyNumberFormat="1" applyFont="1" applyFill="1" applyBorder="1" applyAlignment="1">
      <alignment vertical="center"/>
    </xf>
    <xf numFmtId="0" fontId="3" fillId="0" borderId="2" xfId="0" applyFont="1" applyFill="1" applyBorder="1" applyAlignment="1">
      <alignment horizontal="center" vertical="center"/>
    </xf>
    <xf numFmtId="0" fontId="17" fillId="0" borderId="0" xfId="0" applyFont="1" applyFill="1" applyAlignment="1">
      <alignment horizontal="left" wrapText="1"/>
    </xf>
    <xf numFmtId="11" fontId="3" fillId="0" borderId="0" xfId="1" applyNumberFormat="1" applyFont="1" applyFill="1" applyBorder="1" applyAlignment="1">
      <alignment vertical="center"/>
    </xf>
    <xf numFmtId="0" fontId="3" fillId="0" borderId="7" xfId="0" applyNumberFormat="1" applyFont="1" applyFill="1" applyBorder="1" applyAlignment="1">
      <alignment vertical="center"/>
    </xf>
    <xf numFmtId="0" fontId="3" fillId="0" borderId="8" xfId="0" applyNumberFormat="1" applyFont="1" applyFill="1" applyBorder="1" applyAlignment="1">
      <alignment vertical="center"/>
    </xf>
    <xf numFmtId="202" fontId="3" fillId="0" borderId="14" xfId="0" applyNumberFormat="1" applyFont="1" applyFill="1" applyBorder="1" applyAlignment="1">
      <alignment horizontal="center" vertical="center"/>
    </xf>
    <xf numFmtId="0" fontId="45" fillId="0" borderId="1" xfId="0" applyFont="1" applyFill="1" applyBorder="1" applyAlignment="1">
      <alignment horizontal="center" vertical="center"/>
    </xf>
    <xf numFmtId="0" fontId="12" fillId="0" borderId="2" xfId="0" applyFont="1" applyFill="1" applyBorder="1" applyAlignment="1">
      <alignment horizontal="left" vertical="center"/>
    </xf>
    <xf numFmtId="0" fontId="10" fillId="0" borderId="14" xfId="0" applyFont="1" applyFill="1" applyBorder="1" applyAlignment="1">
      <alignment horizontal="left" vertical="center"/>
    </xf>
    <xf numFmtId="0" fontId="67" fillId="0" borderId="2" xfId="0" applyFont="1" applyFill="1" applyBorder="1" applyAlignment="1">
      <alignment horizontal="center" vertical="center"/>
    </xf>
    <xf numFmtId="1" fontId="10" fillId="0" borderId="14" xfId="0" applyNumberFormat="1" applyFont="1" applyFill="1" applyBorder="1" applyAlignment="1">
      <alignment horizontal="center" vertical="center"/>
    </xf>
    <xf numFmtId="0" fontId="3" fillId="0" borderId="0" xfId="0" applyFont="1" applyFill="1" applyAlignment="1"/>
    <xf numFmtId="0" fontId="3" fillId="0" borderId="0" xfId="0" applyFont="1" applyFill="1" applyAlignment="1">
      <alignment vertical="center"/>
    </xf>
    <xf numFmtId="0" fontId="10" fillId="0" borderId="14" xfId="0" applyFont="1" applyFill="1" applyBorder="1" applyAlignment="1">
      <alignment vertical="center"/>
    </xf>
    <xf numFmtId="0" fontId="10" fillId="0" borderId="5" xfId="0" applyFont="1" applyFill="1" applyBorder="1" applyAlignment="1">
      <alignment horizontal="center" vertical="center"/>
    </xf>
    <xf numFmtId="0" fontId="10" fillId="0" borderId="1" xfId="0" applyFont="1" applyFill="1" applyBorder="1" applyAlignment="1">
      <alignment horizontal="left" vertical="center"/>
    </xf>
    <xf numFmtId="0" fontId="3" fillId="0" borderId="0" xfId="0" applyFont="1" applyFill="1" applyAlignment="1">
      <alignment vertical="center" wrapText="1"/>
    </xf>
    <xf numFmtId="0" fontId="26" fillId="0" borderId="0" xfId="0" applyFont="1" applyFill="1"/>
    <xf numFmtId="0" fontId="10" fillId="0" borderId="3" xfId="0" applyFont="1" applyFill="1" applyBorder="1" applyAlignment="1">
      <alignment horizontal="center" vertical="center"/>
    </xf>
    <xf numFmtId="0" fontId="0" fillId="0" borderId="0" xfId="0" applyFill="1" applyAlignment="1">
      <alignment horizontal="center" vertical="center"/>
    </xf>
    <xf numFmtId="0" fontId="58" fillId="0" borderId="0" xfId="0" applyFont="1" applyFill="1"/>
    <xf numFmtId="0" fontId="10" fillId="0" borderId="11" xfId="0" applyFont="1" applyFill="1" applyBorder="1" applyAlignment="1">
      <alignment horizontal="center" vertical="center"/>
    </xf>
    <xf numFmtId="0" fontId="10" fillId="0" borderId="2" xfId="0" applyFont="1" applyFill="1" applyBorder="1" applyAlignment="1">
      <alignment horizontal="left" vertical="center"/>
    </xf>
    <xf numFmtId="0" fontId="33" fillId="0" borderId="0" xfId="0" applyFont="1" applyFill="1" applyBorder="1" applyAlignment="1">
      <alignment horizontal="center" vertical="center"/>
    </xf>
    <xf numFmtId="0" fontId="10" fillId="0" borderId="3"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66" fillId="0" borderId="5" xfId="0" applyFont="1" applyFill="1" applyBorder="1" applyAlignment="1">
      <alignment horizontal="center" vertical="center"/>
    </xf>
    <xf numFmtId="0" fontId="10" fillId="0" borderId="11" xfId="0" applyFont="1" applyFill="1" applyBorder="1" applyAlignment="1">
      <alignment horizontal="center" vertical="center" wrapText="1"/>
    </xf>
    <xf numFmtId="0" fontId="10" fillId="0" borderId="0" xfId="0" applyFont="1" applyFill="1" applyAlignment="1">
      <alignment horizontal="center" vertical="center"/>
    </xf>
    <xf numFmtId="0" fontId="16" fillId="0" borderId="12" xfId="0" applyFont="1" applyFill="1" applyBorder="1" applyAlignment="1">
      <alignment horizontal="left" vertical="center"/>
    </xf>
    <xf numFmtId="0" fontId="45" fillId="0" borderId="4" xfId="0" applyFont="1" applyFill="1" applyBorder="1" applyAlignment="1">
      <alignment horizontal="center" vertical="center"/>
    </xf>
    <xf numFmtId="0" fontId="10" fillId="0" borderId="6" xfId="0" applyFont="1" applyFill="1" applyBorder="1" applyAlignment="1">
      <alignment horizontal="left" vertical="center"/>
    </xf>
    <xf numFmtId="0" fontId="3" fillId="0" borderId="7" xfId="0" applyFont="1" applyFill="1" applyBorder="1" applyAlignment="1">
      <alignment horizontal="center" vertical="center"/>
    </xf>
    <xf numFmtId="0" fontId="10" fillId="0" borderId="4" xfId="0" applyFont="1" applyFill="1" applyBorder="1" applyAlignment="1">
      <alignment horizontal="center" vertical="top"/>
    </xf>
    <xf numFmtId="0" fontId="67" fillId="0" borderId="6" xfId="0" applyFont="1" applyFill="1" applyBorder="1" applyAlignment="1">
      <alignment horizontal="center" vertical="center"/>
    </xf>
    <xf numFmtId="0" fontId="33" fillId="0" borderId="14" xfId="0" applyFont="1" applyFill="1" applyBorder="1" applyAlignment="1">
      <alignment horizontal="center" vertical="center"/>
    </xf>
    <xf numFmtId="0" fontId="48" fillId="0" borderId="14" xfId="0" applyFont="1" applyFill="1" applyBorder="1" applyAlignment="1">
      <alignment horizontal="center" vertical="center"/>
    </xf>
    <xf numFmtId="0" fontId="13" fillId="0" borderId="4" xfId="0" applyFont="1" applyFill="1" applyBorder="1" applyAlignment="1">
      <alignment horizontal="left" vertical="center"/>
    </xf>
    <xf numFmtId="2" fontId="75" fillId="0" borderId="0" xfId="0" applyNumberFormat="1" applyFont="1" applyFill="1"/>
    <xf numFmtId="0" fontId="67" fillId="0" borderId="3" xfId="0" applyNumberFormat="1" applyFont="1" applyFill="1" applyBorder="1" applyAlignment="1">
      <alignment horizontal="center" vertical="center"/>
    </xf>
    <xf numFmtId="205" fontId="51" fillId="0" borderId="1" xfId="0" applyNumberFormat="1" applyFont="1" applyFill="1" applyBorder="1" applyAlignment="1">
      <alignment horizontal="center" vertical="center"/>
    </xf>
    <xf numFmtId="206" fontId="51" fillId="0" borderId="1" xfId="0" applyNumberFormat="1" applyFont="1" applyFill="1" applyBorder="1" applyAlignment="1">
      <alignment horizontal="center" vertical="center"/>
    </xf>
    <xf numFmtId="0" fontId="76" fillId="0" borderId="0" xfId="0" applyFont="1" applyFill="1"/>
    <xf numFmtId="0" fontId="11" fillId="2" borderId="1" xfId="0" applyFont="1" applyFill="1" applyBorder="1" applyAlignment="1">
      <alignment horizontal="center"/>
    </xf>
    <xf numFmtId="0" fontId="81" fillId="2" borderId="1" xfId="0" applyFont="1" applyFill="1" applyBorder="1" applyAlignment="1">
      <alignment horizontal="center" vertical="center"/>
    </xf>
    <xf numFmtId="0" fontId="74" fillId="2" borderId="1" xfId="0" applyFont="1" applyFill="1" applyBorder="1" applyAlignment="1">
      <alignment horizontal="center" vertical="center"/>
    </xf>
    <xf numFmtId="0" fontId="3" fillId="2" borderId="2" xfId="0" applyFont="1" applyFill="1" applyBorder="1" applyAlignment="1">
      <alignment horizontal="left" vertical="center"/>
    </xf>
    <xf numFmtId="0" fontId="3" fillId="2" borderId="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3" xfId="0" applyFont="1" applyFill="1" applyBorder="1" applyAlignment="1">
      <alignment horizontal="center" vertical="center"/>
    </xf>
    <xf numFmtId="0" fontId="12" fillId="2" borderId="6" xfId="0" applyFont="1" applyFill="1" applyBorder="1" applyAlignment="1">
      <alignment horizontal="center" vertical="center"/>
    </xf>
    <xf numFmtId="0" fontId="10" fillId="2" borderId="6" xfId="0" applyFont="1" applyFill="1" applyBorder="1" applyAlignment="1">
      <alignment horizontal="center" vertical="center"/>
    </xf>
    <xf numFmtId="0" fontId="3" fillId="2" borderId="0" xfId="0" applyFont="1" applyFill="1" applyBorder="1" applyAlignment="1">
      <alignment horizontal="center" vertical="center"/>
    </xf>
    <xf numFmtId="0" fontId="11" fillId="2" borderId="42" xfId="0" applyFont="1" applyFill="1" applyBorder="1" applyAlignment="1">
      <alignment vertical="center"/>
    </xf>
    <xf numFmtId="0" fontId="3" fillId="2" borderId="6" xfId="0" applyFont="1" applyFill="1" applyBorder="1" applyAlignment="1">
      <alignment vertical="center"/>
    </xf>
    <xf numFmtId="0" fontId="12" fillId="2" borderId="2" xfId="0" applyFont="1" applyFill="1" applyBorder="1" applyAlignment="1">
      <alignment horizontal="left" vertical="center"/>
    </xf>
    <xf numFmtId="0" fontId="12" fillId="2" borderId="9" xfId="0" applyFont="1" applyFill="1" applyBorder="1" applyAlignment="1">
      <alignment horizontal="left" vertical="center"/>
    </xf>
    <xf numFmtId="0" fontId="12" fillId="2" borderId="10" xfId="0" applyFont="1" applyFill="1" applyBorder="1" applyAlignment="1">
      <alignment horizontal="center" vertical="center"/>
    </xf>
    <xf numFmtId="0" fontId="10" fillId="2" borderId="10" xfId="0" applyFont="1" applyFill="1" applyBorder="1" applyAlignment="1">
      <alignment horizontal="center" vertical="center"/>
    </xf>
    <xf numFmtId="0" fontId="89" fillId="0" borderId="1" xfId="0" applyFont="1" applyFill="1" applyBorder="1" applyAlignment="1">
      <alignment horizontal="center" vertical="center"/>
    </xf>
    <xf numFmtId="0" fontId="89" fillId="0" borderId="9" xfId="0" applyFont="1" applyFill="1" applyBorder="1" applyAlignment="1">
      <alignment horizontal="center" vertical="center"/>
    </xf>
    <xf numFmtId="0" fontId="91" fillId="0" borderId="1" xfId="0" applyFont="1" applyFill="1" applyBorder="1" applyAlignment="1">
      <alignment horizontal="left" vertical="center"/>
    </xf>
    <xf numFmtId="0" fontId="93" fillId="0" borderId="14" xfId="0" applyFont="1" applyFill="1" applyBorder="1" applyAlignment="1">
      <alignment horizontal="left" vertical="center"/>
    </xf>
    <xf numFmtId="0" fontId="92" fillId="0" borderId="5" xfId="0" applyFont="1" applyFill="1" applyBorder="1" applyAlignment="1">
      <alignment horizontal="left" vertical="center"/>
    </xf>
    <xf numFmtId="0" fontId="92" fillId="0" borderId="1" xfId="0" applyFont="1" applyFill="1" applyBorder="1" applyAlignment="1">
      <alignment horizontal="center" vertical="center"/>
    </xf>
    <xf numFmtId="198" fontId="59" fillId="0" borderId="0" xfId="0" applyNumberFormat="1" applyFont="1" applyFill="1" applyBorder="1" applyAlignment="1"/>
    <xf numFmtId="0" fontId="3" fillId="0" borderId="65" xfId="0" applyFont="1" applyFill="1" applyBorder="1" applyAlignment="1">
      <alignment horizontal="center"/>
    </xf>
    <xf numFmtId="0" fontId="0" fillId="0" borderId="66" xfId="0" applyFill="1" applyBorder="1"/>
    <xf numFmtId="0" fontId="0" fillId="0" borderId="66" xfId="0" applyFill="1" applyBorder="1" applyAlignment="1">
      <alignment horizontal="center" vertical="center"/>
    </xf>
    <xf numFmtId="0" fontId="26" fillId="0" borderId="66" xfId="0" applyFont="1" applyFill="1" applyBorder="1"/>
    <xf numFmtId="0" fontId="0" fillId="0" borderId="66" xfId="0" applyFill="1" applyBorder="1" applyAlignment="1">
      <alignment horizontal="center"/>
    </xf>
    <xf numFmtId="0" fontId="3" fillId="0" borderId="66" xfId="0" applyFont="1" applyFill="1" applyBorder="1" applyAlignment="1">
      <alignment horizontal="center"/>
    </xf>
    <xf numFmtId="0" fontId="10" fillId="0" borderId="66" xfId="0" applyFont="1" applyFill="1" applyBorder="1" applyAlignment="1">
      <alignment horizontal="center" vertical="center"/>
    </xf>
    <xf numFmtId="0" fontId="93" fillId="0" borderId="1" xfId="0" applyFont="1" applyFill="1" applyBorder="1" applyAlignment="1">
      <alignment vertical="center"/>
    </xf>
    <xf numFmtId="0" fontId="93" fillId="0" borderId="5" xfId="0" applyFont="1" applyFill="1" applyBorder="1" applyAlignment="1">
      <alignment vertical="center"/>
    </xf>
    <xf numFmtId="0" fontId="0" fillId="0" borderId="67" xfId="0" applyFill="1" applyBorder="1"/>
    <xf numFmtId="0" fontId="62" fillId="0" borderId="67" xfId="0" applyFont="1" applyFill="1" applyBorder="1" applyAlignment="1"/>
    <xf numFmtId="0" fontId="62" fillId="0" borderId="72" xfId="0" applyFont="1" applyFill="1" applyBorder="1" applyAlignment="1"/>
    <xf numFmtId="0" fontId="3" fillId="0" borderId="67" xfId="0" applyFont="1" applyFill="1" applyBorder="1" applyAlignment="1"/>
    <xf numFmtId="1" fontId="99" fillId="0" borderId="27" xfId="0" applyNumberFormat="1" applyFont="1" applyFill="1" applyBorder="1" applyAlignment="1" applyProtection="1">
      <alignment horizontal="center" vertical="center" wrapText="1"/>
    </xf>
    <xf numFmtId="14" fontId="10" fillId="0" borderId="67" xfId="0" applyNumberFormat="1" applyFont="1" applyFill="1" applyBorder="1" applyAlignment="1">
      <alignment vertical="center"/>
    </xf>
    <xf numFmtId="0" fontId="97" fillId="0" borderId="67" xfId="0" applyFont="1" applyFill="1" applyBorder="1" applyAlignment="1">
      <alignment vertical="center"/>
    </xf>
    <xf numFmtId="0" fontId="88" fillId="0" borderId="0" xfId="0" applyFont="1" applyFill="1" applyBorder="1" applyAlignment="1">
      <alignment horizontal="center" vertical="center"/>
    </xf>
    <xf numFmtId="0" fontId="88" fillId="0" borderId="10" xfId="0" applyFont="1" applyFill="1" applyBorder="1" applyAlignment="1">
      <alignment horizontal="center" vertical="center"/>
    </xf>
    <xf numFmtId="0" fontId="88" fillId="0" borderId="2" xfId="0" applyFont="1" applyFill="1" applyBorder="1" applyAlignment="1">
      <alignment horizontal="center" vertical="center"/>
    </xf>
    <xf numFmtId="0" fontId="90" fillId="0" borderId="6" xfId="0" applyFont="1" applyFill="1" applyBorder="1" applyAlignment="1">
      <alignment horizontal="center" vertical="center"/>
    </xf>
    <xf numFmtId="0" fontId="88" fillId="0" borderId="6" xfId="0" applyFont="1" applyFill="1" applyBorder="1" applyAlignment="1">
      <alignment horizontal="center" vertical="center"/>
    </xf>
    <xf numFmtId="0" fontId="88" fillId="0" borderId="6" xfId="0" applyFont="1" applyFill="1" applyBorder="1"/>
    <xf numFmtId="0" fontId="88" fillId="0" borderId="3" xfId="0" applyFont="1" applyFill="1" applyBorder="1"/>
    <xf numFmtId="0" fontId="88" fillId="0" borderId="2" xfId="0" applyFont="1" applyFill="1" applyBorder="1" applyAlignment="1">
      <alignment vertical="center"/>
    </xf>
    <xf numFmtId="0" fontId="88" fillId="0" borderId="7" xfId="0" applyFont="1" applyFill="1" applyBorder="1" applyAlignment="1">
      <alignment vertical="center"/>
    </xf>
    <xf numFmtId="0" fontId="95" fillId="0" borderId="0" xfId="0" applyFont="1" applyFill="1" applyAlignment="1">
      <alignment horizontal="center"/>
    </xf>
    <xf numFmtId="0" fontId="91" fillId="2" borderId="71" xfId="0" applyFont="1" applyFill="1" applyBorder="1" applyAlignment="1">
      <alignment horizontal="left"/>
    </xf>
    <xf numFmtId="0" fontId="91" fillId="2" borderId="67" xfId="0" applyFont="1" applyFill="1" applyBorder="1" applyAlignment="1">
      <alignment horizontal="left"/>
    </xf>
    <xf numFmtId="0" fontId="91" fillId="2" borderId="72" xfId="0" applyFont="1" applyFill="1" applyBorder="1" applyAlignment="1">
      <alignment horizontal="left"/>
    </xf>
    <xf numFmtId="0" fontId="93" fillId="2" borderId="68" xfId="0" applyFont="1" applyFill="1" applyBorder="1" applyAlignment="1">
      <alignment horizontal="left" vertical="center"/>
    </xf>
    <xf numFmtId="0" fontId="93" fillId="2" borderId="69" xfId="0" applyFont="1" applyFill="1" applyBorder="1" applyAlignment="1">
      <alignment horizontal="left" vertical="center"/>
    </xf>
    <xf numFmtId="0" fontId="93" fillId="2" borderId="7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ill="1" applyAlignment="1">
      <alignment horizontal="left"/>
    </xf>
    <xf numFmtId="0" fontId="0" fillId="0" borderId="73" xfId="0" applyFill="1" applyBorder="1" applyAlignment="1">
      <alignment horizontal="left"/>
    </xf>
    <xf numFmtId="0" fontId="10" fillId="0" borderId="67" xfId="0" applyFont="1" applyFill="1" applyBorder="1" applyAlignment="1">
      <alignment horizontal="center" vertical="center"/>
    </xf>
    <xf numFmtId="0" fontId="93" fillId="2" borderId="2" xfId="0" applyFont="1" applyFill="1" applyBorder="1" applyAlignment="1">
      <alignment horizontal="center" vertical="center"/>
    </xf>
    <xf numFmtId="0" fontId="93" fillId="2" borderId="6" xfId="0" applyFont="1" applyFill="1" applyBorder="1" applyAlignment="1">
      <alignment horizontal="center" vertical="center"/>
    </xf>
    <xf numFmtId="0" fontId="93" fillId="2" borderId="3" xfId="0" applyFont="1" applyFill="1" applyBorder="1" applyAlignment="1">
      <alignment horizontal="center" vertical="center"/>
    </xf>
    <xf numFmtId="0" fontId="3" fillId="0" borderId="0" xfId="0" applyFont="1" applyFill="1" applyAlignment="1">
      <alignment horizontal="center" vertical="center"/>
    </xf>
    <xf numFmtId="0" fontId="88" fillId="0" borderId="6" xfId="0" applyFont="1" applyFill="1" applyBorder="1" applyAlignment="1">
      <alignment horizontal="center" vertical="center"/>
    </xf>
    <xf numFmtId="0" fontId="88" fillId="0" borderId="10" xfId="0" applyFont="1" applyFill="1" applyBorder="1" applyAlignment="1">
      <alignment horizontal="center" vertical="center"/>
    </xf>
    <xf numFmtId="0" fontId="94" fillId="0" borderId="2" xfId="0" applyFont="1" applyFill="1" applyBorder="1" applyAlignment="1">
      <alignment horizontal="center" vertical="center"/>
    </xf>
    <xf numFmtId="0" fontId="94" fillId="0" borderId="3"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 xfId="0" applyFont="1" applyFill="1" applyBorder="1" applyAlignment="1">
      <alignment horizontal="center" vertical="center"/>
    </xf>
    <xf numFmtId="205" fontId="45" fillId="0" borderId="6" xfId="0" applyNumberFormat="1"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6" xfId="0" applyFont="1" applyFill="1" applyBorder="1" applyAlignment="1">
      <alignment horizontal="left" vertical="center" wrapText="1"/>
    </xf>
    <xf numFmtId="0" fontId="6" fillId="0" borderId="0" xfId="0" applyFont="1" applyFill="1" applyBorder="1" applyAlignment="1">
      <alignment horizont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209" fontId="27" fillId="0" borderId="62" xfId="0" applyNumberFormat="1" applyFont="1" applyFill="1" applyBorder="1" applyAlignment="1">
      <alignment horizontal="center"/>
    </xf>
    <xf numFmtId="209" fontId="27" fillId="0" borderId="63" xfId="0" applyNumberFormat="1" applyFont="1" applyFill="1" applyBorder="1" applyAlignment="1">
      <alignment horizontal="center"/>
    </xf>
    <xf numFmtId="192" fontId="37" fillId="0" borderId="38" xfId="0" applyNumberFormat="1" applyFont="1" applyFill="1" applyBorder="1" applyAlignment="1">
      <alignment horizontal="left" vertical="center" wrapText="1"/>
    </xf>
    <xf numFmtId="192" fontId="39" fillId="0" borderId="40" xfId="0" applyNumberFormat="1" applyFont="1" applyFill="1" applyBorder="1" applyAlignment="1">
      <alignment vertical="center" wrapText="1"/>
    </xf>
    <xf numFmtId="0" fontId="13" fillId="0" borderId="3"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13" fillId="0" borderId="3" xfId="0" applyFont="1" applyFill="1" applyBorder="1" applyAlignment="1">
      <alignment horizontal="center" vertical="center"/>
    </xf>
    <xf numFmtId="0" fontId="13" fillId="0" borderId="1" xfId="0" applyFont="1" applyFill="1" applyBorder="1" applyAlignment="1">
      <alignment horizontal="center" vertical="center"/>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1" xfId="0" applyFill="1" applyBorder="1" applyAlignment="1">
      <alignment vertical="center" wrapText="1"/>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35" fillId="0" borderId="2" xfId="0" applyFont="1" applyFill="1" applyBorder="1" applyAlignment="1">
      <alignment horizontal="center" vertical="center"/>
    </xf>
    <xf numFmtId="0" fontId="35" fillId="0" borderId="6" xfId="0" applyFont="1" applyFill="1" applyBorder="1" applyAlignment="1">
      <alignment horizontal="center" vertical="center"/>
    </xf>
    <xf numFmtId="0" fontId="35" fillId="0" borderId="15" xfId="0" applyFont="1" applyFill="1" applyBorder="1" applyAlignment="1">
      <alignment horizontal="center" vertical="center"/>
    </xf>
    <xf numFmtId="0" fontId="35" fillId="0" borderId="3" xfId="0" applyFont="1" applyFill="1" applyBorder="1" applyAlignment="1">
      <alignment horizontal="center" vertical="center"/>
    </xf>
    <xf numFmtId="0" fontId="0" fillId="0" borderId="6" xfId="0" applyFill="1" applyBorder="1" applyAlignment="1">
      <alignment vertical="center"/>
    </xf>
    <xf numFmtId="0" fontId="0" fillId="0" borderId="15" xfId="0" applyFill="1" applyBorder="1" applyAlignment="1">
      <alignment vertical="center"/>
    </xf>
    <xf numFmtId="0" fontId="0" fillId="0" borderId="3" xfId="0" applyFill="1" applyBorder="1" applyAlignment="1">
      <alignment vertical="center"/>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56" fillId="0" borderId="38" xfId="0" applyFont="1" applyFill="1" applyBorder="1" applyAlignment="1">
      <alignment horizontal="center" vertical="center"/>
    </xf>
    <xf numFmtId="0" fontId="56" fillId="0" borderId="40" xfId="0" applyFont="1" applyFill="1" applyBorder="1" applyAlignment="1">
      <alignment horizontal="center" vertical="center"/>
    </xf>
    <xf numFmtId="0" fontId="56" fillId="0" borderId="0" xfId="0" applyFont="1" applyFill="1" applyBorder="1" applyAlignment="1">
      <alignment horizontal="center" vertical="center"/>
    </xf>
    <xf numFmtId="0" fontId="0" fillId="0" borderId="10" xfId="0" applyFill="1" applyBorder="1" applyAlignment="1">
      <alignment horizontal="center" vertical="center"/>
    </xf>
    <xf numFmtId="0" fontId="10" fillId="0" borderId="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6" xfId="0" applyFont="1" applyFill="1" applyBorder="1" applyAlignment="1">
      <alignment horizontal="left" vertical="center" wrapText="1"/>
    </xf>
    <xf numFmtId="0" fontId="10" fillId="0" borderId="8" xfId="0" applyFont="1" applyFill="1" applyBorder="1" applyAlignment="1">
      <alignment horizontal="left" vertical="center" wrapText="1"/>
    </xf>
    <xf numFmtId="187" fontId="33" fillId="0" borderId="7" xfId="0" applyNumberFormat="1" applyFont="1" applyFill="1" applyBorder="1" applyAlignment="1">
      <alignment horizontal="center" vertical="center" wrapText="1"/>
    </xf>
    <xf numFmtId="187" fontId="33" fillId="0" borderId="8"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13" fillId="0" borderId="7" xfId="0" applyFont="1" applyFill="1" applyBorder="1" applyAlignment="1">
      <alignment horizontal="left" vertical="center"/>
    </xf>
    <xf numFmtId="0" fontId="13" fillId="0" borderId="0" xfId="0" applyFont="1" applyFill="1" applyBorder="1" applyAlignment="1">
      <alignment horizontal="left" vertical="center"/>
    </xf>
    <xf numFmtId="0" fontId="4" fillId="0" borderId="7" xfId="0" applyFont="1" applyFill="1" applyBorder="1" applyAlignment="1">
      <alignment horizontal="center" vertical="center" wrapText="1"/>
    </xf>
    <xf numFmtId="0" fontId="0" fillId="0" borderId="8" xfId="0" applyFill="1" applyBorder="1" applyAlignment="1">
      <alignment vertical="center" wrapText="1"/>
    </xf>
    <xf numFmtId="0" fontId="22" fillId="0" borderId="2" xfId="0" applyFont="1" applyFill="1" applyBorder="1" applyAlignment="1">
      <alignment horizontal="left" vertical="center"/>
    </xf>
    <xf numFmtId="0" fontId="22" fillId="0" borderId="6" xfId="0" applyFont="1" applyFill="1" applyBorder="1" applyAlignment="1">
      <alignment horizontal="left" vertical="center"/>
    </xf>
    <xf numFmtId="0" fontId="22" fillId="0" borderId="3" xfId="0" applyFont="1" applyFill="1" applyBorder="1" applyAlignment="1">
      <alignment horizontal="left" vertical="center"/>
    </xf>
    <xf numFmtId="0" fontId="13" fillId="0" borderId="5" xfId="0" applyFont="1" applyFill="1" applyBorder="1" applyAlignment="1">
      <alignment horizontal="center" vertical="center"/>
    </xf>
    <xf numFmtId="0" fontId="13" fillId="0" borderId="9" xfId="0" applyFont="1" applyFill="1" applyBorder="1" applyAlignment="1">
      <alignment horizontal="center" vertical="center"/>
    </xf>
    <xf numFmtId="190" fontId="13" fillId="0" borderId="2" xfId="0" applyNumberFormat="1" applyFont="1" applyFill="1" applyBorder="1" applyAlignment="1">
      <alignment horizontal="center" vertical="center" wrapText="1"/>
    </xf>
    <xf numFmtId="190" fontId="13" fillId="0" borderId="6" xfId="0" applyNumberFormat="1" applyFont="1" applyFill="1" applyBorder="1" applyAlignment="1">
      <alignment horizontal="center" vertical="center" wrapText="1"/>
    </xf>
    <xf numFmtId="190" fontId="13" fillId="0" borderId="3" xfId="0" applyNumberFormat="1" applyFont="1" applyFill="1" applyBorder="1" applyAlignment="1">
      <alignment horizontal="center" vertical="center" wrapText="1"/>
    </xf>
    <xf numFmtId="0" fontId="67" fillId="0" borderId="2" xfId="0" applyFont="1" applyFill="1" applyBorder="1" applyAlignment="1">
      <alignment horizontal="center" vertical="center"/>
    </xf>
    <xf numFmtId="0" fontId="67" fillId="0" borderId="6" xfId="0" applyFont="1" applyFill="1" applyBorder="1" applyAlignment="1">
      <alignment horizontal="center" vertical="center"/>
    </xf>
    <xf numFmtId="0" fontId="67" fillId="0" borderId="3" xfId="0" applyFont="1" applyFill="1" applyBorder="1" applyAlignment="1">
      <alignment horizontal="center" vertical="center"/>
    </xf>
    <xf numFmtId="0" fontId="3" fillId="0" borderId="9" xfId="0" applyFont="1" applyFill="1" applyBorder="1" applyAlignment="1">
      <alignment horizontal="center" vertical="center"/>
    </xf>
    <xf numFmtId="0" fontId="0" fillId="0" borderId="10" xfId="0" applyFill="1" applyBorder="1" applyAlignment="1">
      <alignment vertical="center"/>
    </xf>
    <xf numFmtId="197" fontId="13" fillId="0" borderId="2" xfId="0" applyNumberFormat="1" applyFont="1" applyFill="1" applyBorder="1" applyAlignment="1">
      <alignment horizontal="center" vertical="center"/>
    </xf>
    <xf numFmtId="197" fontId="13" fillId="0" borderId="6" xfId="0" applyNumberFormat="1" applyFont="1" applyFill="1" applyBorder="1" applyAlignment="1">
      <alignment horizontal="center" vertical="center"/>
    </xf>
    <xf numFmtId="197" fontId="13" fillId="0" borderId="3"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3" xfId="0" applyFont="1" applyFill="1" applyBorder="1" applyAlignment="1">
      <alignment horizontal="center" vertical="center"/>
    </xf>
    <xf numFmtId="0" fontId="13" fillId="0" borderId="7" xfId="0" applyFont="1" applyFill="1" applyBorder="1" applyAlignment="1">
      <alignment horizontal="left" vertical="center" wrapText="1"/>
    </xf>
    <xf numFmtId="0" fontId="13" fillId="0" borderId="0" xfId="0" applyFont="1" applyFill="1" applyBorder="1" applyAlignment="1">
      <alignment horizontal="left" vertical="center" wrapText="1"/>
    </xf>
    <xf numFmtId="1" fontId="13" fillId="0" borderId="12" xfId="0" applyNumberFormat="1" applyFont="1" applyFill="1" applyBorder="1" applyAlignment="1">
      <alignment horizontal="center" vertical="center" wrapText="1"/>
    </xf>
    <xf numFmtId="1" fontId="13" fillId="0" borderId="15" xfId="0" applyNumberFormat="1" applyFont="1" applyFill="1" applyBorder="1" applyAlignment="1">
      <alignment horizontal="center" vertical="center" wrapText="1"/>
    </xf>
    <xf numFmtId="1" fontId="13" fillId="0" borderId="13" xfId="0" applyNumberFormat="1" applyFont="1" applyFill="1" applyBorder="1" applyAlignment="1">
      <alignment horizontal="center" vertical="center" wrapText="1"/>
    </xf>
    <xf numFmtId="1" fontId="13" fillId="0" borderId="7" xfId="0" applyNumberFormat="1" applyFont="1" applyFill="1" applyBorder="1" applyAlignment="1">
      <alignment horizontal="center" vertical="center" wrapText="1"/>
    </xf>
    <xf numFmtId="1" fontId="13" fillId="0" borderId="0" xfId="0" applyNumberFormat="1" applyFont="1" applyFill="1" applyBorder="1" applyAlignment="1">
      <alignment horizontal="center" vertical="center" wrapText="1"/>
    </xf>
    <xf numFmtId="1" fontId="13" fillId="0" borderId="8" xfId="0" applyNumberFormat="1" applyFont="1" applyFill="1" applyBorder="1" applyAlignment="1">
      <alignment horizontal="center" vertical="center" wrapText="1"/>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3" fillId="0" borderId="8" xfId="0" applyFont="1" applyFill="1" applyBorder="1" applyAlignment="1">
      <alignment horizontal="left" vertical="center"/>
    </xf>
    <xf numFmtId="0" fontId="68" fillId="0" borderId="12" xfId="0" applyFont="1" applyFill="1" applyBorder="1" applyAlignment="1">
      <alignment horizontal="center" vertical="center"/>
    </xf>
    <xf numFmtId="0" fontId="68" fillId="0" borderId="15" xfId="0" applyFont="1" applyFill="1" applyBorder="1" applyAlignment="1">
      <alignment horizontal="center" vertical="center"/>
    </xf>
    <xf numFmtId="0" fontId="68" fillId="0" borderId="7" xfId="0" applyFont="1" applyFill="1" applyBorder="1" applyAlignment="1">
      <alignment horizontal="center" vertical="center"/>
    </xf>
    <xf numFmtId="0" fontId="68" fillId="0" borderId="0" xfId="0" applyFont="1" applyFill="1" applyBorder="1" applyAlignment="1">
      <alignment horizontal="center" vertical="center"/>
    </xf>
    <xf numFmtId="0" fontId="10" fillId="0" borderId="2" xfId="0" applyFont="1" applyFill="1" applyBorder="1" applyAlignment="1">
      <alignment horizontal="left" vertical="center"/>
    </xf>
    <xf numFmtId="0" fontId="10" fillId="0" borderId="6" xfId="0" applyFont="1" applyFill="1" applyBorder="1" applyAlignment="1">
      <alignment horizontal="left" vertical="center"/>
    </xf>
    <xf numFmtId="0" fontId="22" fillId="0" borderId="7"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22" fillId="0" borderId="15" xfId="0" applyFont="1" applyFill="1" applyBorder="1" applyAlignment="1">
      <alignment horizontal="left" vertical="center" wrapText="1"/>
    </xf>
    <xf numFmtId="1" fontId="10" fillId="0" borderId="12" xfId="0" applyNumberFormat="1" applyFont="1" applyFill="1" applyBorder="1" applyAlignment="1">
      <alignment horizontal="center" vertical="center" wrapText="1"/>
    </xf>
    <xf numFmtId="1" fontId="10" fillId="0" borderId="13" xfId="0" applyNumberFormat="1" applyFont="1" applyFill="1" applyBorder="1" applyAlignment="1">
      <alignment horizontal="center" vertical="center" wrapText="1"/>
    </xf>
    <xf numFmtId="0" fontId="10" fillId="0" borderId="12" xfId="0" applyFont="1" applyFill="1" applyBorder="1" applyAlignment="1">
      <alignment horizontal="left" vertical="center"/>
    </xf>
    <xf numFmtId="0" fontId="0" fillId="0" borderId="13" xfId="0" applyFill="1" applyBorder="1" applyAlignment="1">
      <alignment vertical="center"/>
    </xf>
    <xf numFmtId="1" fontId="10" fillId="0" borderId="7" xfId="0" applyNumberFormat="1" applyFont="1" applyFill="1" applyBorder="1" applyAlignment="1">
      <alignment horizontal="center" vertical="center" wrapText="1"/>
    </xf>
    <xf numFmtId="1" fontId="10" fillId="0" borderId="8" xfId="0" applyNumberFormat="1" applyFont="1" applyFill="1" applyBorder="1" applyAlignment="1">
      <alignment horizontal="center" vertical="center" wrapText="1"/>
    </xf>
    <xf numFmtId="0" fontId="29" fillId="0" borderId="9" xfId="0" applyFont="1" applyFill="1" applyBorder="1" applyAlignment="1">
      <alignment horizontal="center" vertical="center"/>
    </xf>
    <xf numFmtId="0" fontId="29" fillId="0" borderId="11" xfId="0" applyFont="1" applyFill="1" applyBorder="1" applyAlignment="1">
      <alignment horizontal="center" vertical="center"/>
    </xf>
    <xf numFmtId="0" fontId="19" fillId="0" borderId="7"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0" fillId="0" borderId="0" xfId="0" applyFont="1" applyFill="1" applyAlignment="1">
      <alignment horizontal="center" vertical="center" wrapText="1"/>
    </xf>
    <xf numFmtId="0" fontId="9" fillId="0" borderId="7" xfId="0" applyFont="1" applyFill="1" applyBorder="1" applyAlignment="1"/>
    <xf numFmtId="0" fontId="9" fillId="0" borderId="8" xfId="0" applyFont="1" applyFill="1" applyBorder="1" applyAlignment="1"/>
    <xf numFmtId="0" fontId="48" fillId="0" borderId="2" xfId="0" applyFont="1" applyFill="1" applyBorder="1" applyAlignment="1">
      <alignment horizontal="center" vertical="center"/>
    </xf>
    <xf numFmtId="0" fontId="48" fillId="0" borderId="3" xfId="0" applyFont="1" applyFill="1" applyBorder="1" applyAlignment="1">
      <alignment horizontal="center" vertical="center"/>
    </xf>
    <xf numFmtId="0" fontId="11" fillId="0" borderId="2" xfId="0" applyFont="1" applyFill="1" applyBorder="1" applyAlignment="1">
      <alignment horizontal="left" vertical="center"/>
    </xf>
    <xf numFmtId="0" fontId="11" fillId="0" borderId="6" xfId="0" applyFont="1" applyFill="1" applyBorder="1" applyAlignment="1">
      <alignment horizontal="left" vertical="center"/>
    </xf>
    <xf numFmtId="205" fontId="45" fillId="0" borderId="1" xfId="0" applyNumberFormat="1" applyFont="1" applyFill="1" applyBorder="1" applyAlignment="1">
      <alignment horizontal="center" vertical="center"/>
    </xf>
    <xf numFmtId="206" fontId="45" fillId="0" borderId="1" xfId="0" applyNumberFormat="1" applyFont="1" applyFill="1" applyBorder="1" applyAlignment="1">
      <alignment horizontal="center" vertical="center"/>
    </xf>
    <xf numFmtId="0" fontId="13" fillId="0" borderId="0" xfId="0" applyFont="1" applyFill="1" applyBorder="1" applyAlignment="1">
      <alignment horizontal="center" vertical="center"/>
    </xf>
    <xf numFmtId="203" fontId="13" fillId="0" borderId="0" xfId="0" applyNumberFormat="1" applyFont="1" applyFill="1" applyBorder="1" applyAlignment="1">
      <alignment horizontal="center" vertical="center"/>
    </xf>
    <xf numFmtId="207" fontId="45" fillId="0" borderId="1" xfId="0" applyNumberFormat="1" applyFont="1" applyFill="1" applyBorder="1" applyAlignment="1">
      <alignment horizontal="center" vertical="center"/>
    </xf>
    <xf numFmtId="187" fontId="13" fillId="0" borderId="9" xfId="0" applyNumberFormat="1" applyFont="1" applyFill="1" applyBorder="1" applyAlignment="1">
      <alignment horizontal="center" vertical="center" wrapText="1"/>
    </xf>
    <xf numFmtId="187" fontId="13" fillId="0" borderId="10" xfId="0" applyNumberFormat="1" applyFont="1" applyFill="1" applyBorder="1" applyAlignment="1">
      <alignment horizontal="center" vertical="center" wrapText="1"/>
    </xf>
    <xf numFmtId="187" fontId="13" fillId="0" borderId="11" xfId="0" applyNumberFormat="1" applyFont="1" applyFill="1" applyBorder="1" applyAlignment="1">
      <alignment horizontal="center" vertical="center" wrapText="1"/>
    </xf>
    <xf numFmtId="2" fontId="13" fillId="0" borderId="12" xfId="0" applyNumberFormat="1" applyFont="1" applyFill="1" applyBorder="1" applyAlignment="1">
      <alignment horizontal="center" vertical="center"/>
    </xf>
    <xf numFmtId="2" fontId="13" fillId="0" borderId="15" xfId="0" applyNumberFormat="1" applyFont="1" applyFill="1" applyBorder="1" applyAlignment="1">
      <alignment horizontal="center" vertical="center"/>
    </xf>
    <xf numFmtId="2" fontId="13" fillId="0" borderId="13" xfId="0" applyNumberFormat="1"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 xfId="0" applyFont="1" applyFill="1" applyBorder="1" applyAlignment="1">
      <alignment horizontal="center" vertical="center" wrapText="1"/>
    </xf>
    <xf numFmtId="0" fontId="33" fillId="0" borderId="0" xfId="0" applyFont="1" applyFill="1" applyBorder="1" applyAlignment="1">
      <alignment horizontal="center" vertical="center"/>
    </xf>
    <xf numFmtId="0" fontId="33" fillId="0" borderId="8" xfId="0" applyFont="1" applyFill="1" applyBorder="1" applyAlignment="1">
      <alignment horizontal="center" vertical="center"/>
    </xf>
    <xf numFmtId="0" fontId="45" fillId="0" borderId="2"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45" fillId="0" borderId="7"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34" fillId="0" borderId="9"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2" xfId="0" applyFont="1" applyFill="1" applyBorder="1" applyAlignment="1">
      <alignment horizontal="center" vertical="center"/>
    </xf>
    <xf numFmtId="0" fontId="0" fillId="0" borderId="15" xfId="0" applyFill="1" applyBorder="1" applyAlignment="1"/>
    <xf numFmtId="0" fontId="0" fillId="0" borderId="13" xfId="0" applyFill="1" applyBorder="1" applyAlignment="1"/>
    <xf numFmtId="0" fontId="34" fillId="0" borderId="10" xfId="0" applyFont="1" applyFill="1" applyBorder="1" applyAlignment="1">
      <alignment horizontal="center" vertical="center" wrapText="1"/>
    </xf>
    <xf numFmtId="0" fontId="29" fillId="0" borderId="10" xfId="0" applyFont="1" applyFill="1" applyBorder="1" applyAlignment="1">
      <alignment horizontal="center" vertical="center"/>
    </xf>
    <xf numFmtId="0" fontId="91" fillId="0" borderId="9" xfId="0" applyFont="1" applyFill="1" applyBorder="1" applyAlignment="1">
      <alignment horizontal="left" vertical="center"/>
    </xf>
    <xf numFmtId="0" fontId="91" fillId="0" borderId="10" xfId="0" applyFont="1" applyFill="1" applyBorder="1" applyAlignment="1">
      <alignment horizontal="left" vertical="center"/>
    </xf>
    <xf numFmtId="0" fontId="91" fillId="0" borderId="11" xfId="0" applyFont="1" applyFill="1" applyBorder="1" applyAlignment="1">
      <alignment horizontal="left" vertical="center"/>
    </xf>
    <xf numFmtId="0" fontId="3" fillId="0" borderId="0" xfId="0" applyNumberFormat="1" applyFont="1" applyFill="1" applyBorder="1" applyAlignment="1">
      <alignment horizontal="left" vertical="center"/>
    </xf>
    <xf numFmtId="0" fontId="33" fillId="0" borderId="6" xfId="0" applyFont="1" applyFill="1" applyBorder="1" applyAlignment="1">
      <alignment horizontal="center" vertical="center"/>
    </xf>
    <xf numFmtId="0" fontId="48" fillId="0" borderId="6" xfId="0" applyFont="1" applyFill="1" applyBorder="1" applyAlignment="1">
      <alignment horizontal="center" vertical="center"/>
    </xf>
    <xf numFmtId="0" fontId="45" fillId="0" borderId="2" xfId="0" applyFont="1" applyFill="1" applyBorder="1" applyAlignment="1">
      <alignment horizontal="center" vertical="center"/>
    </xf>
    <xf numFmtId="0" fontId="45" fillId="0" borderId="3" xfId="0" applyFont="1" applyFill="1" applyBorder="1" applyAlignment="1">
      <alignment horizontal="center" vertical="center"/>
    </xf>
    <xf numFmtId="0" fontId="13" fillId="0" borderId="7" xfId="0" applyFont="1" applyFill="1" applyBorder="1" applyAlignment="1">
      <alignment horizontal="left" wrapText="1"/>
    </xf>
    <xf numFmtId="0" fontId="13" fillId="0" borderId="0" xfId="0" applyFont="1" applyFill="1" applyBorder="1" applyAlignment="1">
      <alignment horizontal="left" wrapText="1"/>
    </xf>
    <xf numFmtId="0" fontId="13" fillId="0" borderId="2"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18" xfId="0" applyFont="1" applyFill="1" applyBorder="1" applyAlignment="1">
      <alignment horizontal="center" vertical="center"/>
    </xf>
    <xf numFmtId="0" fontId="0" fillId="0" borderId="19" xfId="0" applyFill="1" applyBorder="1"/>
    <xf numFmtId="0" fontId="0" fillId="0" borderId="20" xfId="0" applyFill="1" applyBorder="1"/>
    <xf numFmtId="0" fontId="41" fillId="0" borderId="38" xfId="0" applyFont="1" applyFill="1" applyBorder="1" applyAlignment="1">
      <alignment horizontal="center" vertical="center"/>
    </xf>
    <xf numFmtId="0" fontId="41" fillId="0" borderId="39" xfId="0" applyFont="1" applyFill="1" applyBorder="1" applyAlignment="1">
      <alignment horizontal="center" vertical="center"/>
    </xf>
    <xf numFmtId="0" fontId="41" fillId="0" borderId="40" xfId="0" applyFont="1" applyFill="1" applyBorder="1" applyAlignment="1">
      <alignment horizontal="center" vertical="center"/>
    </xf>
    <xf numFmtId="0" fontId="37" fillId="0" borderId="38" xfId="0" applyFont="1" applyFill="1" applyBorder="1" applyAlignment="1">
      <alignment horizontal="center" vertical="center"/>
    </xf>
    <xf numFmtId="0" fontId="37" fillId="0" borderId="39" xfId="0" applyFont="1" applyFill="1" applyBorder="1" applyAlignment="1">
      <alignment horizontal="center" vertical="center"/>
    </xf>
    <xf numFmtId="0" fontId="37" fillId="0" borderId="40" xfId="0" applyFont="1" applyFill="1" applyBorder="1" applyAlignment="1">
      <alignment horizontal="center" vertical="center"/>
    </xf>
    <xf numFmtId="0" fontId="13" fillId="0" borderId="7"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26" fillId="0" borderId="7" xfId="0" applyFont="1" applyFill="1" applyBorder="1" applyAlignment="1">
      <alignment horizontal="center" vertical="center"/>
    </xf>
    <xf numFmtId="0" fontId="26" fillId="0" borderId="8" xfId="0" applyFont="1" applyFill="1" applyBorder="1" applyAlignment="1">
      <alignment horizontal="center"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8" xfId="0" applyFont="1" applyFill="1" applyBorder="1" applyAlignment="1">
      <alignment horizontal="center" vertical="center"/>
    </xf>
    <xf numFmtId="0" fontId="13" fillId="0" borderId="13" xfId="0" applyFont="1" applyFill="1" applyBorder="1" applyAlignment="1">
      <alignment horizontal="center" vertical="center"/>
    </xf>
    <xf numFmtId="0" fontId="100" fillId="10" borderId="7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 xfId="0" applyFont="1" applyFill="1" applyBorder="1" applyAlignment="1">
      <alignment horizontal="center" vertical="center"/>
    </xf>
    <xf numFmtId="0" fontId="0" fillId="0" borderId="6" xfId="0" applyBorder="1"/>
    <xf numFmtId="0" fontId="0" fillId="0" borderId="3" xfId="0" applyBorder="1"/>
    <xf numFmtId="0" fontId="11" fillId="2" borderId="2"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5" xfId="0" applyFont="1" applyFill="1" applyBorder="1" applyAlignment="1">
      <alignment horizontal="left" vertical="center"/>
    </xf>
    <xf numFmtId="0" fontId="11" fillId="2" borderId="3" xfId="0" applyFont="1" applyFill="1" applyBorder="1" applyAlignment="1">
      <alignment horizontal="left" vertical="center"/>
    </xf>
    <xf numFmtId="0" fontId="10" fillId="0" borderId="13" xfId="0" applyFont="1" applyFill="1" applyBorder="1" applyAlignment="1">
      <alignment horizontal="left" vertical="center"/>
    </xf>
    <xf numFmtId="0" fontId="13" fillId="0" borderId="2"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3" fillId="0" borderId="0" xfId="0" applyFont="1" applyFill="1" applyBorder="1" applyAlignment="1">
      <alignment horizontal="center" vertical="center"/>
    </xf>
    <xf numFmtId="0" fontId="89" fillId="0" borderId="2" xfId="0" applyFont="1" applyFill="1" applyBorder="1" applyAlignment="1">
      <alignment horizontal="center" vertical="center"/>
    </xf>
    <xf numFmtId="0" fontId="89"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1" fillId="2" borderId="1" xfId="0" applyFont="1" applyFill="1" applyBorder="1" applyAlignment="1">
      <alignment horizontal="center" wrapText="1"/>
    </xf>
    <xf numFmtId="0" fontId="24" fillId="0" borderId="2" xfId="0" applyFont="1" applyFill="1" applyBorder="1" applyAlignment="1">
      <alignment horizontal="left" vertical="center"/>
    </xf>
    <xf numFmtId="0" fontId="24" fillId="0" borderId="6" xfId="0" applyFont="1" applyFill="1" applyBorder="1" applyAlignment="1">
      <alignment horizontal="left" vertical="center"/>
    </xf>
    <xf numFmtId="0" fontId="24" fillId="0" borderId="15" xfId="0" applyFont="1" applyFill="1" applyBorder="1" applyAlignment="1">
      <alignment horizontal="center" vertical="center"/>
    </xf>
    <xf numFmtId="0" fontId="25" fillId="0" borderId="38" xfId="0" applyFont="1" applyFill="1" applyBorder="1" applyAlignment="1">
      <alignment horizontal="center" vertical="center"/>
    </xf>
    <xf numFmtId="0" fontId="25" fillId="0" borderId="40" xfId="0" applyFont="1" applyFill="1" applyBorder="1" applyAlignment="1">
      <alignment horizontal="center" vertical="center"/>
    </xf>
    <xf numFmtId="209" fontId="40" fillId="0" borderId="43" xfId="0" applyNumberFormat="1" applyFont="1" applyFill="1" applyBorder="1" applyAlignment="1">
      <alignment horizontal="center"/>
    </xf>
    <xf numFmtId="209" fontId="40" fillId="0" borderId="44" xfId="0" applyNumberFormat="1" applyFont="1" applyFill="1" applyBorder="1" applyAlignment="1">
      <alignment horizontal="center"/>
    </xf>
    <xf numFmtId="209" fontId="40" fillId="0" borderId="45" xfId="0" applyNumberFormat="1" applyFont="1" applyFill="1" applyBorder="1" applyAlignment="1">
      <alignment horizontal="center"/>
    </xf>
    <xf numFmtId="209" fontId="40" fillId="0" borderId="48" xfId="0" applyNumberFormat="1" applyFont="1" applyFill="1" applyBorder="1" applyAlignment="1">
      <alignment horizontal="center"/>
    </xf>
    <xf numFmtId="209" fontId="40" fillId="0" borderId="49" xfId="0" applyNumberFormat="1" applyFont="1" applyFill="1" applyBorder="1" applyAlignment="1">
      <alignment horizontal="center"/>
    </xf>
    <xf numFmtId="209" fontId="40" fillId="0" borderId="50" xfId="0" applyNumberFormat="1" applyFont="1" applyFill="1" applyBorder="1" applyAlignment="1">
      <alignment horizontal="center"/>
    </xf>
    <xf numFmtId="209" fontId="40" fillId="0" borderId="62" xfId="0" applyNumberFormat="1" applyFont="1" applyFill="1" applyBorder="1" applyAlignment="1">
      <alignment horizontal="center"/>
    </xf>
    <xf numFmtId="209" fontId="40" fillId="0" borderId="63" xfId="0" applyNumberFormat="1" applyFont="1" applyFill="1" applyBorder="1" applyAlignment="1">
      <alignment horizontal="center"/>
    </xf>
    <xf numFmtId="209" fontId="40" fillId="0" borderId="64" xfId="0" applyNumberFormat="1" applyFont="1" applyFill="1" applyBorder="1" applyAlignment="1">
      <alignment horizontal="center"/>
    </xf>
    <xf numFmtId="0" fontId="3" fillId="0" borderId="2"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3" xfId="0" applyFont="1" applyFill="1" applyBorder="1" applyAlignment="1">
      <alignment horizontal="left" vertical="center" wrapText="1"/>
    </xf>
    <xf numFmtId="0" fontId="10" fillId="0" borderId="2" xfId="0" applyFont="1" applyFill="1" applyBorder="1" applyAlignment="1">
      <alignment vertical="center"/>
    </xf>
    <xf numFmtId="0" fontId="10" fillId="0" borderId="6" xfId="0" applyFont="1" applyFill="1" applyBorder="1" applyAlignment="1">
      <alignment vertical="center"/>
    </xf>
    <xf numFmtId="0" fontId="3" fillId="2" borderId="12"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10" fillId="0" borderId="7"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3" xfId="0" applyFont="1" applyFill="1" applyBorder="1" applyAlignment="1">
      <alignment horizontal="center" vertical="center"/>
    </xf>
    <xf numFmtId="0" fontId="33" fillId="0" borderId="10"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6" xfId="0" applyFont="1" applyFill="1" applyBorder="1" applyAlignment="1">
      <alignment horizontal="left" vertical="center" wrapText="1"/>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67" fillId="0" borderId="6" xfId="0" applyFont="1" applyFill="1" applyBorder="1" applyAlignment="1">
      <alignment horizontal="center" vertical="center" wrapText="1"/>
    </xf>
    <xf numFmtId="0" fontId="13" fillId="0" borderId="17" xfId="0" applyFont="1" applyFill="1" applyBorder="1" applyAlignment="1">
      <alignment horizontal="center" vertical="center"/>
    </xf>
    <xf numFmtId="0" fontId="13" fillId="0" borderId="16" xfId="0" applyFont="1" applyFill="1" applyBorder="1" applyAlignment="1">
      <alignment horizontal="center" vertical="center"/>
    </xf>
    <xf numFmtId="0" fontId="17" fillId="0" borderId="0" xfId="0" applyFont="1" applyFill="1" applyBorder="1" applyAlignment="1">
      <alignment horizontal="left" vertical="center" wrapText="1"/>
    </xf>
    <xf numFmtId="0" fontId="10" fillId="0" borderId="12" xfId="0" applyFont="1" applyFill="1" applyBorder="1" applyAlignment="1">
      <alignment horizontal="left" wrapText="1"/>
    </xf>
    <xf numFmtId="0" fontId="10" fillId="0" borderId="15" xfId="0" applyFont="1" applyFill="1" applyBorder="1" applyAlignment="1">
      <alignment horizontal="left" wrapText="1"/>
    </xf>
    <xf numFmtId="0" fontId="0" fillId="2" borderId="6" xfId="0" applyFont="1" applyFill="1" applyBorder="1" applyAlignment="1">
      <alignment vertical="center"/>
    </xf>
    <xf numFmtId="210" fontId="88" fillId="0" borderId="6" xfId="0" applyNumberFormat="1" applyFont="1" applyFill="1" applyBorder="1" applyAlignment="1">
      <alignment horizontal="center"/>
    </xf>
    <xf numFmtId="210" fontId="88" fillId="0" borderId="3" xfId="0" applyNumberFormat="1" applyFont="1" applyFill="1" applyBorder="1" applyAlignment="1">
      <alignment horizontal="center"/>
    </xf>
    <xf numFmtId="210" fontId="88" fillId="0" borderId="6" xfId="0" applyNumberFormat="1" applyFont="1" applyFill="1" applyBorder="1" applyAlignment="1">
      <alignment horizontal="center" vertical="center"/>
    </xf>
    <xf numFmtId="0" fontId="96" fillId="0" borderId="3" xfId="0" applyFont="1" applyFill="1" applyBorder="1" applyAlignment="1">
      <alignment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12" fillId="2" borderId="2" xfId="0" applyNumberFormat="1" applyFont="1" applyFill="1" applyBorder="1" applyAlignment="1" applyProtection="1">
      <alignment horizontal="center"/>
    </xf>
    <xf numFmtId="0" fontId="12" fillId="2" borderId="6" xfId="0" applyNumberFormat="1" applyFont="1" applyFill="1" applyBorder="1" applyAlignment="1" applyProtection="1">
      <alignment horizontal="center"/>
    </xf>
    <xf numFmtId="0" fontId="12" fillId="2" borderId="3" xfId="0" applyNumberFormat="1" applyFont="1" applyFill="1" applyBorder="1" applyAlignment="1" applyProtection="1">
      <alignment horizontal="center"/>
    </xf>
    <xf numFmtId="0" fontId="11" fillId="0" borderId="15"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6"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0" xfId="0" applyFont="1" applyFill="1" applyBorder="1" applyAlignment="1">
      <alignment horizontal="left" vertical="center"/>
    </xf>
    <xf numFmtId="0" fontId="30" fillId="0" borderId="2" xfId="0" applyFont="1" applyFill="1" applyBorder="1" applyAlignment="1">
      <alignment horizontal="center" vertical="center"/>
    </xf>
    <xf numFmtId="0" fontId="30"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8"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2" fontId="17" fillId="0" borderId="2" xfId="0" applyNumberFormat="1" applyFont="1" applyFill="1" applyBorder="1" applyAlignment="1">
      <alignment horizontal="center" vertical="center"/>
    </xf>
    <xf numFmtId="2" fontId="17" fillId="0" borderId="6" xfId="0" applyNumberFormat="1" applyFont="1" applyFill="1" applyBorder="1" applyAlignment="1">
      <alignment horizontal="center" vertical="center"/>
    </xf>
    <xf numFmtId="2" fontId="17" fillId="0" borderId="3" xfId="0" applyNumberFormat="1" applyFont="1" applyFill="1" applyBorder="1" applyAlignment="1">
      <alignment horizontal="center" vertical="center"/>
    </xf>
    <xf numFmtId="0" fontId="20" fillId="0" borderId="2" xfId="0" applyFont="1" applyFill="1" applyBorder="1" applyAlignment="1">
      <alignment horizontal="center" vertical="center"/>
    </xf>
    <xf numFmtId="0" fontId="20" fillId="0" borderId="6" xfId="0" applyFont="1" applyFill="1" applyBorder="1" applyAlignment="1">
      <alignment horizontal="center" vertical="center"/>
    </xf>
    <xf numFmtId="0" fontId="13" fillId="0" borderId="3" xfId="0" applyFont="1" applyFill="1" applyBorder="1" applyAlignment="1">
      <alignment horizontal="left" vertical="center" wrapText="1"/>
    </xf>
    <xf numFmtId="0" fontId="9" fillId="0" borderId="0" xfId="0" applyFont="1" applyFill="1" applyBorder="1" applyAlignment="1">
      <alignment wrapText="1"/>
    </xf>
    <xf numFmtId="0" fontId="0" fillId="0" borderId="0" xfId="0" applyFill="1" applyAlignment="1">
      <alignment wrapText="1"/>
    </xf>
    <xf numFmtId="0" fontId="14" fillId="0" borderId="0" xfId="0" applyFont="1" applyFill="1" applyAlignment="1">
      <alignment horizontal="center" vertical="center" wrapText="1"/>
    </xf>
    <xf numFmtId="0" fontId="28" fillId="0" borderId="0" xfId="0" applyFont="1" applyFill="1" applyAlignment="1">
      <alignment horizontal="center" vertical="center" wrapText="1"/>
    </xf>
    <xf numFmtId="0" fontId="8" fillId="0" borderId="2"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3" xfId="0" applyFont="1" applyFill="1" applyBorder="1" applyAlignment="1">
      <alignment horizontal="left" vertical="center" wrapText="1"/>
    </xf>
    <xf numFmtId="209" fontId="40" fillId="0" borderId="46" xfId="0" applyNumberFormat="1" applyFont="1" applyFill="1" applyBorder="1" applyAlignment="1">
      <alignment horizontal="center"/>
    </xf>
    <xf numFmtId="209" fontId="40" fillId="0" borderId="19" xfId="0" applyNumberFormat="1" applyFont="1" applyFill="1" applyBorder="1" applyAlignment="1">
      <alignment horizontal="center"/>
    </xf>
    <xf numFmtId="209" fontId="40" fillId="0" borderId="47" xfId="0" applyNumberFormat="1" applyFont="1" applyFill="1" applyBorder="1" applyAlignment="1">
      <alignment horizontal="center"/>
    </xf>
    <xf numFmtId="0" fontId="12" fillId="4" borderId="2" xfId="0" applyFont="1" applyFill="1" applyBorder="1" applyAlignment="1">
      <alignment horizontal="center" vertical="center" wrapText="1"/>
    </xf>
    <xf numFmtId="0" fontId="0" fillId="4" borderId="6" xfId="0" applyFill="1" applyBorder="1"/>
    <xf numFmtId="0" fontId="0" fillId="4" borderId="3" xfId="0" applyFill="1" applyBorder="1"/>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1" xfId="0" applyFont="1" applyFill="1" applyBorder="1" applyAlignment="1">
      <alignment horizontal="center" vertical="center"/>
    </xf>
    <xf numFmtId="0" fontId="0" fillId="9" borderId="54" xfId="0" applyFill="1" applyBorder="1" applyAlignment="1">
      <alignment horizontal="center"/>
    </xf>
    <xf numFmtId="0" fontId="0" fillId="9" borderId="55" xfId="0" applyFill="1" applyBorder="1" applyAlignment="1">
      <alignment horizontal="center"/>
    </xf>
    <xf numFmtId="0" fontId="0" fillId="9" borderId="56" xfId="0" applyFill="1" applyBorder="1" applyAlignment="1">
      <alignment horizontal="center"/>
    </xf>
    <xf numFmtId="0" fontId="0" fillId="9" borderId="57" xfId="0" applyFill="1" applyBorder="1" applyAlignment="1">
      <alignment horizontal="center"/>
    </xf>
    <xf numFmtId="0" fontId="0" fillId="9" borderId="0" xfId="0" applyFill="1" applyBorder="1" applyAlignment="1">
      <alignment horizontal="center"/>
    </xf>
    <xf numFmtId="0" fontId="0" fillId="9" borderId="58" xfId="0" applyFill="1" applyBorder="1" applyAlignment="1">
      <alignment horizontal="center"/>
    </xf>
    <xf numFmtId="0" fontId="0" fillId="9" borderId="59" xfId="0" applyFill="1" applyBorder="1" applyAlignment="1">
      <alignment horizontal="center"/>
    </xf>
    <xf numFmtId="0" fontId="0" fillId="9" borderId="60" xfId="0" applyFill="1" applyBorder="1" applyAlignment="1">
      <alignment horizontal="center"/>
    </xf>
    <xf numFmtId="0" fontId="0" fillId="9" borderId="61" xfId="0" applyFill="1" applyBorder="1" applyAlignment="1">
      <alignment horizontal="center"/>
    </xf>
    <xf numFmtId="0" fontId="0" fillId="5" borderId="54" xfId="0" applyFill="1" applyBorder="1" applyAlignment="1">
      <alignment horizontal="center"/>
    </xf>
    <xf numFmtId="0" fontId="0" fillId="5" borderId="55" xfId="0" applyFill="1" applyBorder="1" applyAlignment="1">
      <alignment horizontal="center"/>
    </xf>
    <xf numFmtId="0" fontId="0" fillId="5" borderId="56" xfId="0" applyFill="1" applyBorder="1" applyAlignment="1">
      <alignment horizontal="center"/>
    </xf>
    <xf numFmtId="0" fontId="0" fillId="5" borderId="57" xfId="0" applyFill="1" applyBorder="1" applyAlignment="1">
      <alignment horizontal="center"/>
    </xf>
    <xf numFmtId="0" fontId="0" fillId="5" borderId="0" xfId="0" applyFill="1" applyBorder="1" applyAlignment="1">
      <alignment horizontal="center"/>
    </xf>
    <xf numFmtId="0" fontId="0" fillId="5" borderId="58" xfId="0" applyFill="1" applyBorder="1" applyAlignment="1">
      <alignment horizontal="center"/>
    </xf>
    <xf numFmtId="0" fontId="0" fillId="5" borderId="59" xfId="0" applyFill="1" applyBorder="1" applyAlignment="1">
      <alignment horizontal="center"/>
    </xf>
    <xf numFmtId="0" fontId="0" fillId="5" borderId="60" xfId="0" applyFill="1" applyBorder="1" applyAlignment="1">
      <alignment horizontal="center"/>
    </xf>
    <xf numFmtId="0" fontId="0" fillId="5" borderId="61" xfId="0" applyFill="1" applyBorder="1" applyAlignment="1">
      <alignment horizontal="center"/>
    </xf>
    <xf numFmtId="0" fontId="37" fillId="0" borderId="14" xfId="0" applyFont="1" applyFill="1" applyBorder="1" applyAlignment="1">
      <alignment horizontal="center" vertical="center"/>
    </xf>
    <xf numFmtId="0" fontId="35" fillId="2" borderId="2" xfId="0" applyFont="1" applyFill="1" applyBorder="1" applyAlignment="1">
      <alignment horizontal="left" vertical="center" wrapText="1"/>
    </xf>
    <xf numFmtId="0" fontId="35" fillId="2" borderId="6" xfId="0" applyFont="1" applyFill="1" applyBorder="1" applyAlignment="1">
      <alignment horizontal="left" vertical="center" wrapText="1"/>
    </xf>
    <xf numFmtId="0" fontId="35" fillId="2" borderId="3" xfId="0" applyFont="1" applyFill="1" applyBorder="1" applyAlignment="1">
      <alignment horizontal="left" vertical="center" wrapText="1"/>
    </xf>
    <xf numFmtId="0" fontId="35" fillId="2" borderId="12" xfId="0" applyFont="1" applyFill="1" applyBorder="1" applyAlignment="1">
      <alignment horizontal="left" vertical="center"/>
    </xf>
    <xf numFmtId="0" fontId="35" fillId="2" borderId="15" xfId="0" applyFont="1" applyFill="1" applyBorder="1" applyAlignment="1">
      <alignment horizontal="left" vertical="center"/>
    </xf>
    <xf numFmtId="0" fontId="35" fillId="2" borderId="13" xfId="0" applyFont="1" applyFill="1" applyBorder="1" applyAlignment="1">
      <alignment horizontal="left" vertical="center"/>
    </xf>
    <xf numFmtId="0" fontId="11" fillId="2" borderId="12" xfId="0" applyFont="1" applyFill="1" applyBorder="1" applyAlignment="1">
      <alignment horizontal="left" vertical="center"/>
    </xf>
    <xf numFmtId="0" fontId="11" fillId="2" borderId="13" xfId="0" applyFont="1" applyFill="1" applyBorder="1" applyAlignment="1">
      <alignment horizontal="left" vertical="center"/>
    </xf>
    <xf numFmtId="0" fontId="88" fillId="2" borderId="12" xfId="0" applyFont="1" applyFill="1" applyBorder="1" applyAlignment="1">
      <alignment horizontal="center" vertical="center" wrapText="1"/>
    </xf>
    <xf numFmtId="0" fontId="88" fillId="2" borderId="15" xfId="0" applyFont="1" applyFill="1" applyBorder="1" applyAlignment="1">
      <alignment horizontal="center" vertical="center" wrapText="1"/>
    </xf>
    <xf numFmtId="0" fontId="88" fillId="2" borderId="13" xfId="0" applyFont="1" applyFill="1" applyBorder="1" applyAlignment="1">
      <alignment horizontal="center" vertical="center" wrapText="1"/>
    </xf>
    <xf numFmtId="189" fontId="101" fillId="2" borderId="2" xfId="0" applyNumberFormat="1" applyFont="1" applyFill="1" applyBorder="1" applyAlignment="1">
      <alignment horizontal="center" vertical="center"/>
    </xf>
    <xf numFmtId="189" fontId="101" fillId="2" borderId="6" xfId="0" applyNumberFormat="1" applyFont="1" applyFill="1" applyBorder="1" applyAlignment="1">
      <alignment horizontal="center" vertical="center"/>
    </xf>
    <xf numFmtId="189" fontId="101" fillId="2" borderId="3" xfId="0" applyNumberFormat="1" applyFont="1" applyFill="1" applyBorder="1" applyAlignment="1">
      <alignment horizontal="center" vertical="center"/>
    </xf>
    <xf numFmtId="0" fontId="102" fillId="0" borderId="37" xfId="0" applyFont="1" applyFill="1" applyBorder="1" applyAlignment="1">
      <alignment horizontal="center" vertical="center"/>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colors>
    <mruColors>
      <color rgb="FFCCECFF"/>
      <color rgb="FFF2BEEE"/>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th-TH"/>
  <c:style val="4"/>
  <c:chart>
    <c:autoTitleDeleted val="1"/>
    <c:plotArea>
      <c:layout>
        <c:manualLayout>
          <c:layoutTarget val="inner"/>
          <c:xMode val="edge"/>
          <c:yMode val="edge"/>
          <c:x val="0"/>
          <c:y val="2.9375006799770264E-4"/>
          <c:w val="1"/>
          <c:h val="0.99970623771054934"/>
        </c:manualLayout>
      </c:layout>
      <c:bubbleChart>
        <c:varyColors val="1"/>
        <c:ser>
          <c:idx val="3"/>
          <c:order val="0"/>
          <c:tx>
            <c:v>underside l2</c:v>
          </c:tx>
          <c:spPr>
            <a:solidFill>
              <a:srgbClr val="FF0000"/>
            </a:solidFill>
            <a:ln w="25400">
              <a:noFill/>
            </a:ln>
          </c:spPr>
          <c:xVal>
            <c:numRef>
              <c:f>'desigh Stairs'!$BB$26</c:f>
              <c:numCache>
                <c:formatCode>General</c:formatCode>
                <c:ptCount val="1"/>
                <c:pt idx="0">
                  <c:v>14.5</c:v>
                </c:pt>
              </c:numCache>
            </c:numRef>
          </c:xVal>
          <c:yVal>
            <c:numRef>
              <c:f>'desigh Stairs'!$BC$26</c:f>
              <c:numCache>
                <c:formatCode>General</c:formatCode>
                <c:ptCount val="1"/>
                <c:pt idx="0">
                  <c:v>20</c:v>
                </c:pt>
              </c:numCache>
            </c:numRef>
          </c:yVal>
          <c:bubbleSize>
            <c:numLit>
              <c:formatCode>General</c:formatCode>
              <c:ptCount val="1"/>
              <c:pt idx="0">
                <c:v>1</c:v>
              </c:pt>
            </c:numLit>
          </c:bubbleSize>
        </c:ser>
        <c:ser>
          <c:idx val="2"/>
          <c:order val="1"/>
          <c:tx>
            <c:v>under c</c:v>
          </c:tx>
          <c:spPr>
            <a:solidFill>
              <a:srgbClr val="FF0000"/>
            </a:solidFill>
            <a:ln>
              <a:noFill/>
            </a:ln>
          </c:spPr>
          <c:xVal>
            <c:numRef>
              <c:f>'desigh Stairs'!$BB$25</c:f>
              <c:numCache>
                <c:formatCode>General</c:formatCode>
                <c:ptCount val="1"/>
                <c:pt idx="0">
                  <c:v>25</c:v>
                </c:pt>
              </c:numCache>
            </c:numRef>
          </c:xVal>
          <c:yVal>
            <c:numRef>
              <c:f>'desigh Stairs'!$BC$25</c:f>
              <c:numCache>
                <c:formatCode>General</c:formatCode>
                <c:ptCount val="1"/>
                <c:pt idx="0">
                  <c:v>15.85</c:v>
                </c:pt>
              </c:numCache>
            </c:numRef>
          </c:yVal>
          <c:bubbleSize>
            <c:numLit>
              <c:formatCode>General</c:formatCode>
              <c:ptCount val="2"/>
              <c:pt idx="0">
                <c:v>1</c:v>
              </c:pt>
              <c:pt idx="1">
                <c:v>1</c:v>
              </c:pt>
            </c:numLit>
          </c:bubbleSize>
        </c:ser>
        <c:ser>
          <c:idx val="1"/>
          <c:order val="2"/>
          <c:tx>
            <c:v>under2</c:v>
          </c:tx>
          <c:spPr>
            <a:solidFill>
              <a:srgbClr val="FF0000"/>
            </a:solidFill>
            <a:ln w="25400">
              <a:noFill/>
            </a:ln>
          </c:spPr>
          <c:xVal>
            <c:numRef>
              <c:f>'desigh Stairs'!$BB$23:$BB$24</c:f>
              <c:numCache>
                <c:formatCode>General</c:formatCode>
                <c:ptCount val="2"/>
                <c:pt idx="0">
                  <c:v>14.5</c:v>
                </c:pt>
                <c:pt idx="1">
                  <c:v>36</c:v>
                </c:pt>
              </c:numCache>
            </c:numRef>
          </c:xVal>
          <c:yVal>
            <c:numRef>
              <c:f>'desigh Stairs'!$BC$23:$BC$24</c:f>
              <c:numCache>
                <c:formatCode>General</c:formatCode>
                <c:ptCount val="2"/>
                <c:pt idx="0">
                  <c:v>64.400000000000006</c:v>
                </c:pt>
                <c:pt idx="1">
                  <c:v>64.400000000000006</c:v>
                </c:pt>
              </c:numCache>
            </c:numRef>
          </c:yVal>
          <c:bubbleSize>
            <c:numLit>
              <c:formatCode>General</c:formatCode>
              <c:ptCount val="2"/>
              <c:pt idx="0">
                <c:v>1</c:v>
              </c:pt>
              <c:pt idx="1">
                <c:v>1</c:v>
              </c:pt>
            </c:numLit>
          </c:bubbleSize>
        </c:ser>
        <c:ser>
          <c:idx val="0"/>
          <c:order val="3"/>
          <c:tx>
            <c:v>under l</c:v>
          </c:tx>
          <c:spPr>
            <a:solidFill>
              <a:srgbClr val="FF0000"/>
            </a:solidFill>
          </c:spPr>
          <c:xVal>
            <c:numRef>
              <c:f>'desigh Stairs'!$BB$21</c:f>
              <c:numCache>
                <c:formatCode>General</c:formatCode>
                <c:ptCount val="1"/>
                <c:pt idx="0">
                  <c:v>14.5</c:v>
                </c:pt>
              </c:numCache>
            </c:numRef>
          </c:xVal>
          <c:yVal>
            <c:numRef>
              <c:f>'desigh Stairs'!$BC$21</c:f>
              <c:numCache>
                <c:formatCode>General</c:formatCode>
                <c:ptCount val="1"/>
                <c:pt idx="0">
                  <c:v>15.85</c:v>
                </c:pt>
              </c:numCache>
            </c:numRef>
          </c:yVal>
          <c:bubbleSize>
            <c:numLit>
              <c:formatCode>General</c:formatCode>
              <c:ptCount val="1"/>
              <c:pt idx="0">
                <c:v>1</c:v>
              </c:pt>
            </c:numLit>
          </c:bubbleSize>
        </c:ser>
        <c:ser>
          <c:idx val="4"/>
          <c:order val="4"/>
          <c:tx>
            <c:v>under c2</c:v>
          </c:tx>
          <c:spPr>
            <a:solidFill>
              <a:srgbClr val="FF0000"/>
            </a:solidFill>
            <a:ln w="25400">
              <a:noFill/>
            </a:ln>
          </c:spPr>
          <c:xVal>
            <c:strRef>
              <c:f>'desigh Stairs'!$BB$28</c:f>
              <c:strCache>
                <c:ptCount val="1"/>
                <c:pt idx="0">
                  <c:v> </c:v>
                </c:pt>
              </c:strCache>
            </c:strRef>
          </c:xVal>
          <c:yVal>
            <c:numRef>
              <c:f>'desigh Stairs'!$BC$28</c:f>
              <c:numCache>
                <c:formatCode>General</c:formatCode>
                <c:ptCount val="1"/>
                <c:pt idx="0">
                  <c:v>0</c:v>
                </c:pt>
              </c:numCache>
            </c:numRef>
          </c:yVal>
          <c:bubbleSize>
            <c:numLit>
              <c:formatCode>General</c:formatCode>
              <c:ptCount val="1"/>
              <c:pt idx="0">
                <c:v>1</c:v>
              </c:pt>
            </c:numLit>
          </c:bubbleSize>
        </c:ser>
        <c:ser>
          <c:idx val="5"/>
          <c:order val="5"/>
          <c:tx>
            <c:v>under side 3</c:v>
          </c:tx>
          <c:spPr>
            <a:solidFill>
              <a:srgbClr val="FF0000"/>
            </a:solidFill>
            <a:ln w="25400">
              <a:noFill/>
            </a:ln>
          </c:spPr>
          <c:xVal>
            <c:strRef>
              <c:f>'desigh Stairs'!$BB$29</c:f>
              <c:strCache>
                <c:ptCount val="1"/>
                <c:pt idx="0">
                  <c:v> </c:v>
                </c:pt>
              </c:strCache>
            </c:strRef>
          </c:xVal>
          <c:yVal>
            <c:numRef>
              <c:f>'desigh Stairs'!$BC$29</c:f>
              <c:numCache>
                <c:formatCode>General</c:formatCode>
                <c:ptCount val="1"/>
                <c:pt idx="0">
                  <c:v>0</c:v>
                </c:pt>
              </c:numCache>
            </c:numRef>
          </c:yVal>
          <c:bubbleSize>
            <c:numLit>
              <c:formatCode>General</c:formatCode>
              <c:ptCount val="1"/>
              <c:pt idx="0">
                <c:v>1</c:v>
              </c:pt>
            </c:numLit>
          </c:bubbleSize>
        </c:ser>
        <c:ser>
          <c:idx val="6"/>
          <c:order val="6"/>
          <c:tx>
            <c:v>under c3</c:v>
          </c:tx>
          <c:spPr>
            <a:solidFill>
              <a:srgbClr val="FF0000"/>
            </a:solidFill>
            <a:ln w="25400">
              <a:noFill/>
            </a:ln>
          </c:spPr>
          <c:xVal>
            <c:strRef>
              <c:f>'desigh Stairs'!$BB$31</c:f>
              <c:strCache>
                <c:ptCount val="1"/>
                <c:pt idx="0">
                  <c:v> </c:v>
                </c:pt>
              </c:strCache>
            </c:strRef>
          </c:xVal>
          <c:yVal>
            <c:numRef>
              <c:f>'desigh Stairs'!$BC$31</c:f>
              <c:numCache>
                <c:formatCode>General</c:formatCode>
                <c:ptCount val="1"/>
                <c:pt idx="0">
                  <c:v>0</c:v>
                </c:pt>
              </c:numCache>
            </c:numRef>
          </c:yVal>
          <c:bubbleSize>
            <c:numLit>
              <c:formatCode>General</c:formatCode>
              <c:ptCount val="1"/>
              <c:pt idx="0">
                <c:v>1</c:v>
              </c:pt>
            </c:numLit>
          </c:bubbleSize>
        </c:ser>
        <c:ser>
          <c:idx val="7"/>
          <c:order val="7"/>
          <c:tx>
            <c:v>midle L</c:v>
          </c:tx>
          <c:spPr>
            <a:solidFill>
              <a:srgbClr val="FF0000"/>
            </a:solidFill>
            <a:ln w="25400">
              <a:noFill/>
            </a:ln>
          </c:spPr>
          <c:xVal>
            <c:strRef>
              <c:f>'desigh Stairs'!$BB$32</c:f>
              <c:strCache>
                <c:ptCount val="1"/>
                <c:pt idx="0">
                  <c:v> </c:v>
                </c:pt>
              </c:strCache>
            </c:strRef>
          </c:xVal>
          <c:yVal>
            <c:numRef>
              <c:f>'desigh Stairs'!$BC$32</c:f>
              <c:numCache>
                <c:formatCode>General</c:formatCode>
                <c:ptCount val="1"/>
                <c:pt idx="0">
                  <c:v>0</c:v>
                </c:pt>
              </c:numCache>
            </c:numRef>
          </c:yVal>
          <c:bubbleSize>
            <c:numLit>
              <c:formatCode>General</c:formatCode>
              <c:ptCount val="1"/>
              <c:pt idx="0">
                <c:v>1</c:v>
              </c:pt>
            </c:numLit>
          </c:bubbleSize>
        </c:ser>
        <c:ser>
          <c:idx val="8"/>
          <c:order val="8"/>
          <c:tx>
            <c:v>middle R</c:v>
          </c:tx>
          <c:spPr>
            <a:solidFill>
              <a:srgbClr val="FF0000"/>
            </a:solidFill>
            <a:ln w="25400">
              <a:noFill/>
            </a:ln>
          </c:spPr>
          <c:xVal>
            <c:strRef>
              <c:f>'desigh Stairs'!$BB$33</c:f>
              <c:strCache>
                <c:ptCount val="1"/>
                <c:pt idx="0">
                  <c:v> </c:v>
                </c:pt>
              </c:strCache>
            </c:strRef>
          </c:xVal>
          <c:yVal>
            <c:numRef>
              <c:f>'desigh Stairs'!$BC$33</c:f>
              <c:numCache>
                <c:formatCode>General</c:formatCode>
                <c:ptCount val="1"/>
                <c:pt idx="0">
                  <c:v>0</c:v>
                </c:pt>
              </c:numCache>
            </c:numRef>
          </c:yVal>
          <c:bubbleSize>
            <c:numLit>
              <c:formatCode>General</c:formatCode>
              <c:ptCount val="1"/>
              <c:pt idx="0">
                <c:v>1</c:v>
              </c:pt>
            </c:numLit>
          </c:bubbleSize>
        </c:ser>
        <c:ser>
          <c:idx val="9"/>
          <c:order val="9"/>
          <c:tx>
            <c:v>underside  R</c:v>
          </c:tx>
          <c:spPr>
            <a:solidFill>
              <a:srgbClr val="FF0000"/>
            </a:solidFill>
            <a:ln w="25400">
              <a:noFill/>
            </a:ln>
          </c:spPr>
          <c:xVal>
            <c:numRef>
              <c:f>'desigh Stairs'!$BB$27</c:f>
              <c:numCache>
                <c:formatCode>General</c:formatCode>
                <c:ptCount val="1"/>
                <c:pt idx="0">
                  <c:v>36</c:v>
                </c:pt>
              </c:numCache>
            </c:numRef>
          </c:xVal>
          <c:yVal>
            <c:numRef>
              <c:f>'desigh Stairs'!$BC$27</c:f>
              <c:numCache>
                <c:formatCode>General</c:formatCode>
                <c:ptCount val="1"/>
                <c:pt idx="0">
                  <c:v>20</c:v>
                </c:pt>
              </c:numCache>
            </c:numRef>
          </c:yVal>
          <c:bubbleSize>
            <c:numLit>
              <c:formatCode>General</c:formatCode>
              <c:ptCount val="1"/>
              <c:pt idx="0">
                <c:v>1</c:v>
              </c:pt>
            </c:numLit>
          </c:bubbleSize>
        </c:ser>
        <c:ser>
          <c:idx val="10"/>
          <c:order val="10"/>
          <c:tx>
            <c:v>middle c</c:v>
          </c:tx>
          <c:spPr>
            <a:solidFill>
              <a:srgbClr val="FF0000"/>
            </a:solidFill>
            <a:ln w="25400">
              <a:noFill/>
            </a:ln>
          </c:spPr>
          <c:xVal>
            <c:strRef>
              <c:f>'desigh Stairs'!$BB$34</c:f>
              <c:strCache>
                <c:ptCount val="1"/>
                <c:pt idx="0">
                  <c:v> </c:v>
                </c:pt>
              </c:strCache>
            </c:strRef>
          </c:xVal>
          <c:yVal>
            <c:numRef>
              <c:f>'desigh Stairs'!$BC$34</c:f>
              <c:numCache>
                <c:formatCode>General</c:formatCode>
                <c:ptCount val="1"/>
                <c:pt idx="0">
                  <c:v>0</c:v>
                </c:pt>
              </c:numCache>
            </c:numRef>
          </c:yVal>
          <c:bubbleSize>
            <c:numLit>
              <c:formatCode>General</c:formatCode>
              <c:ptCount val="1"/>
              <c:pt idx="0">
                <c:v>1</c:v>
              </c:pt>
            </c:numLit>
          </c:bubbleSize>
        </c:ser>
        <c:ser>
          <c:idx val="11"/>
          <c:order val="11"/>
          <c:tx>
            <c:v>middle L2</c:v>
          </c:tx>
          <c:spPr>
            <a:solidFill>
              <a:srgbClr val="FF0000"/>
            </a:solidFill>
            <a:ln w="25400">
              <a:noFill/>
            </a:ln>
          </c:spPr>
          <c:xVal>
            <c:numRef>
              <c:f>'desigh Stairs'!$BB$35</c:f>
              <c:numCache>
                <c:formatCode>General</c:formatCode>
                <c:ptCount val="1"/>
                <c:pt idx="0">
                  <c:v>14.5</c:v>
                </c:pt>
              </c:numCache>
            </c:numRef>
          </c:xVal>
          <c:yVal>
            <c:numRef>
              <c:f>'desigh Stairs'!$BC$35</c:f>
              <c:numCache>
                <c:formatCode>General</c:formatCode>
                <c:ptCount val="1"/>
                <c:pt idx="0">
                  <c:v>45</c:v>
                </c:pt>
              </c:numCache>
            </c:numRef>
          </c:yVal>
          <c:bubbleSize>
            <c:numLit>
              <c:formatCode>General</c:formatCode>
              <c:ptCount val="1"/>
              <c:pt idx="0">
                <c:v>1</c:v>
              </c:pt>
            </c:numLit>
          </c:bubbleSize>
        </c:ser>
        <c:ser>
          <c:idx val="12"/>
          <c:order val="12"/>
          <c:tx>
            <c:v>middle r2</c:v>
          </c:tx>
          <c:spPr>
            <a:solidFill>
              <a:srgbClr val="FF0000"/>
            </a:solidFill>
            <a:ln w="25400">
              <a:noFill/>
            </a:ln>
          </c:spPr>
          <c:xVal>
            <c:numRef>
              <c:f>'desigh Stairs'!$BB$36</c:f>
              <c:numCache>
                <c:formatCode>General</c:formatCode>
                <c:ptCount val="1"/>
                <c:pt idx="0">
                  <c:v>36</c:v>
                </c:pt>
              </c:numCache>
            </c:numRef>
          </c:xVal>
          <c:yVal>
            <c:numRef>
              <c:f>'desigh Stairs'!$BC$36</c:f>
              <c:numCache>
                <c:formatCode>General</c:formatCode>
                <c:ptCount val="1"/>
                <c:pt idx="0">
                  <c:v>45</c:v>
                </c:pt>
              </c:numCache>
            </c:numRef>
          </c:yVal>
          <c:bubbleSize>
            <c:numLit>
              <c:formatCode>General</c:formatCode>
              <c:ptCount val="1"/>
              <c:pt idx="0">
                <c:v>1</c:v>
              </c:pt>
            </c:numLit>
          </c:bubbleSize>
        </c:ser>
        <c:ser>
          <c:idx val="13"/>
          <c:order val="13"/>
          <c:tx>
            <c:v>middle c2</c:v>
          </c:tx>
          <c:spPr>
            <a:ln w="25400">
              <a:noFill/>
            </a:ln>
          </c:spPr>
          <c:dPt>
            <c:idx val="0"/>
            <c:spPr>
              <a:solidFill>
                <a:srgbClr val="FF0000"/>
              </a:solidFill>
              <a:ln w="25400">
                <a:noFill/>
              </a:ln>
            </c:spPr>
          </c:dPt>
          <c:xVal>
            <c:strRef>
              <c:f>'desigh Stairs'!$BB$37</c:f>
              <c:strCache>
                <c:ptCount val="1"/>
                <c:pt idx="0">
                  <c:v> </c:v>
                </c:pt>
              </c:strCache>
            </c:strRef>
          </c:xVal>
          <c:yVal>
            <c:numRef>
              <c:f>'desigh Stairs'!$BC$37</c:f>
              <c:numCache>
                <c:formatCode>General</c:formatCode>
                <c:ptCount val="1"/>
                <c:pt idx="0">
                  <c:v>0</c:v>
                </c:pt>
              </c:numCache>
            </c:numRef>
          </c:yVal>
          <c:bubbleSize>
            <c:numLit>
              <c:formatCode>General</c:formatCode>
              <c:ptCount val="1"/>
              <c:pt idx="0">
                <c:v>1</c:v>
              </c:pt>
            </c:numLit>
          </c:bubbleSize>
        </c:ser>
        <c:ser>
          <c:idx val="14"/>
          <c:order val="14"/>
          <c:tx>
            <c:v>under r</c:v>
          </c:tx>
          <c:spPr>
            <a:solidFill>
              <a:srgbClr val="FF0000"/>
            </a:solidFill>
            <a:ln w="25400">
              <a:noFill/>
            </a:ln>
          </c:spPr>
          <c:xVal>
            <c:numRef>
              <c:f>'desigh Stairs'!$BB$22</c:f>
              <c:numCache>
                <c:formatCode>General</c:formatCode>
                <c:ptCount val="1"/>
                <c:pt idx="0">
                  <c:v>36</c:v>
                </c:pt>
              </c:numCache>
            </c:numRef>
          </c:xVal>
          <c:yVal>
            <c:numRef>
              <c:f>'desigh Stairs'!$BC$22</c:f>
              <c:numCache>
                <c:formatCode>General</c:formatCode>
                <c:ptCount val="1"/>
                <c:pt idx="0">
                  <c:v>15.85</c:v>
                </c:pt>
              </c:numCache>
            </c:numRef>
          </c:yVal>
          <c:bubbleSize>
            <c:numLit>
              <c:formatCode>General</c:formatCode>
              <c:ptCount val="1"/>
              <c:pt idx="0">
                <c:v>1</c:v>
              </c:pt>
            </c:numLit>
          </c:bubbleSize>
        </c:ser>
        <c:ser>
          <c:idx val="15"/>
          <c:order val="15"/>
          <c:tx>
            <c:v>miidle l3</c:v>
          </c:tx>
          <c:spPr>
            <a:solidFill>
              <a:srgbClr val="FF0000"/>
            </a:solidFill>
            <a:ln w="25400">
              <a:noFill/>
            </a:ln>
          </c:spPr>
          <c:xVal>
            <c:numRef>
              <c:f>'desigh Stairs'!$BB$38</c:f>
              <c:numCache>
                <c:formatCode>General</c:formatCode>
                <c:ptCount val="1"/>
                <c:pt idx="0">
                  <c:v>14.5</c:v>
                </c:pt>
              </c:numCache>
            </c:numRef>
          </c:xVal>
          <c:yVal>
            <c:numRef>
              <c:f>'desigh Stairs'!$BC$38</c:f>
              <c:numCache>
                <c:formatCode>General</c:formatCode>
                <c:ptCount val="1"/>
                <c:pt idx="0">
                  <c:v>35</c:v>
                </c:pt>
              </c:numCache>
            </c:numRef>
          </c:yVal>
          <c:bubbleSize>
            <c:numLit>
              <c:formatCode>General</c:formatCode>
              <c:ptCount val="1"/>
              <c:pt idx="0">
                <c:v>1</c:v>
              </c:pt>
            </c:numLit>
          </c:bubbleSize>
        </c:ser>
        <c:ser>
          <c:idx val="16"/>
          <c:order val="16"/>
          <c:tx>
            <c:v>midle c3</c:v>
          </c:tx>
          <c:spPr>
            <a:solidFill>
              <a:srgbClr val="FF0000"/>
            </a:solidFill>
            <a:ln w="25400">
              <a:noFill/>
            </a:ln>
          </c:spPr>
          <c:xVal>
            <c:strRef>
              <c:f>'desigh Stairs'!$BB$39</c:f>
              <c:strCache>
                <c:ptCount val="1"/>
                <c:pt idx="0">
                  <c:v> </c:v>
                </c:pt>
              </c:strCache>
            </c:strRef>
          </c:xVal>
          <c:yVal>
            <c:numRef>
              <c:f>'desigh Stairs'!$BC$39</c:f>
              <c:numCache>
                <c:formatCode>General</c:formatCode>
                <c:ptCount val="1"/>
                <c:pt idx="0">
                  <c:v>0</c:v>
                </c:pt>
              </c:numCache>
            </c:numRef>
          </c:yVal>
          <c:bubbleSize>
            <c:numLit>
              <c:formatCode>General</c:formatCode>
              <c:ptCount val="1"/>
              <c:pt idx="0">
                <c:v>1</c:v>
              </c:pt>
            </c:numLit>
          </c:bubbleSize>
        </c:ser>
        <c:ser>
          <c:idx val="17"/>
          <c:order val="17"/>
          <c:tx>
            <c:v>middle R3</c:v>
          </c:tx>
          <c:spPr>
            <a:solidFill>
              <a:srgbClr val="FF0000"/>
            </a:solidFill>
            <a:ln w="25400">
              <a:noFill/>
            </a:ln>
          </c:spPr>
          <c:xVal>
            <c:numRef>
              <c:f>'desigh Stairs'!$BB$40</c:f>
              <c:numCache>
                <c:formatCode>General</c:formatCode>
                <c:ptCount val="1"/>
                <c:pt idx="0">
                  <c:v>36</c:v>
                </c:pt>
              </c:numCache>
            </c:numRef>
          </c:xVal>
          <c:yVal>
            <c:numRef>
              <c:f>'desigh Stairs'!$BC$40</c:f>
              <c:numCache>
                <c:formatCode>General</c:formatCode>
                <c:ptCount val="1"/>
                <c:pt idx="0">
                  <c:v>35</c:v>
                </c:pt>
              </c:numCache>
            </c:numRef>
          </c:yVal>
          <c:bubbleSize>
            <c:numLit>
              <c:formatCode>General</c:formatCode>
              <c:ptCount val="1"/>
              <c:pt idx="0">
                <c:v>1</c:v>
              </c:pt>
            </c:numLit>
          </c:bubbleSize>
        </c:ser>
        <c:ser>
          <c:idx val="18"/>
          <c:order val="18"/>
          <c:tx>
            <c:v>top c</c:v>
          </c:tx>
          <c:spPr>
            <a:solidFill>
              <a:srgbClr val="FF0000"/>
            </a:solidFill>
            <a:ln w="25400">
              <a:noFill/>
            </a:ln>
          </c:spPr>
          <c:xVal>
            <c:numRef>
              <c:f>'desigh Stairs'!$BB$41</c:f>
              <c:numCache>
                <c:formatCode>General</c:formatCode>
                <c:ptCount val="1"/>
                <c:pt idx="0">
                  <c:v>25</c:v>
                </c:pt>
              </c:numCache>
            </c:numRef>
          </c:xVal>
          <c:yVal>
            <c:numRef>
              <c:f>'desigh Stairs'!$BC$41</c:f>
              <c:numCache>
                <c:formatCode>General</c:formatCode>
                <c:ptCount val="1"/>
                <c:pt idx="0">
                  <c:v>64.400000000000006</c:v>
                </c:pt>
              </c:numCache>
            </c:numRef>
          </c:yVal>
          <c:bubbleSize>
            <c:numLit>
              <c:formatCode>General</c:formatCode>
              <c:ptCount val="1"/>
              <c:pt idx="0">
                <c:v>1</c:v>
              </c:pt>
            </c:numLit>
          </c:bubbleSize>
        </c:ser>
        <c:ser>
          <c:idx val="19"/>
          <c:order val="19"/>
          <c:tx>
            <c:v>top r2</c:v>
          </c:tx>
          <c:spPr>
            <a:solidFill>
              <a:srgbClr val="FF0000"/>
            </a:solidFill>
            <a:ln>
              <a:noFill/>
            </a:ln>
          </c:spPr>
          <c:xVal>
            <c:numRef>
              <c:f>'desigh Stairs'!$BB$42</c:f>
              <c:numCache>
                <c:formatCode>General</c:formatCode>
                <c:ptCount val="1"/>
                <c:pt idx="0">
                  <c:v>14.5</c:v>
                </c:pt>
              </c:numCache>
            </c:numRef>
          </c:xVal>
          <c:yVal>
            <c:numRef>
              <c:f>'desigh Stairs'!$BC$42</c:f>
              <c:numCache>
                <c:formatCode>General</c:formatCode>
                <c:ptCount val="1"/>
                <c:pt idx="0">
                  <c:v>59.7</c:v>
                </c:pt>
              </c:numCache>
            </c:numRef>
          </c:yVal>
          <c:bubbleSize>
            <c:numLit>
              <c:formatCode>General</c:formatCode>
              <c:ptCount val="1"/>
              <c:pt idx="0">
                <c:v>1</c:v>
              </c:pt>
            </c:numLit>
          </c:bubbleSize>
        </c:ser>
        <c:ser>
          <c:idx val="20"/>
          <c:order val="20"/>
          <c:tx>
            <c:v>top L2</c:v>
          </c:tx>
          <c:spPr>
            <a:solidFill>
              <a:srgbClr val="FF0000"/>
            </a:solidFill>
            <a:ln w="25400">
              <a:noFill/>
            </a:ln>
          </c:spPr>
          <c:xVal>
            <c:numRef>
              <c:f>'desigh Stairs'!$BB$43</c:f>
              <c:numCache>
                <c:formatCode>General</c:formatCode>
                <c:ptCount val="1"/>
                <c:pt idx="0">
                  <c:v>36</c:v>
                </c:pt>
              </c:numCache>
            </c:numRef>
          </c:xVal>
          <c:yVal>
            <c:numRef>
              <c:f>'desigh Stairs'!$BC$43</c:f>
              <c:numCache>
                <c:formatCode>General</c:formatCode>
                <c:ptCount val="1"/>
                <c:pt idx="0">
                  <c:v>59.7</c:v>
                </c:pt>
              </c:numCache>
            </c:numRef>
          </c:yVal>
          <c:bubbleSize>
            <c:numLit>
              <c:formatCode>General</c:formatCode>
              <c:ptCount val="1"/>
              <c:pt idx="0">
                <c:v>1</c:v>
              </c:pt>
            </c:numLit>
          </c:bubbleSize>
        </c:ser>
        <c:ser>
          <c:idx val="21"/>
          <c:order val="21"/>
          <c:tx>
            <c:v>top c 2</c:v>
          </c:tx>
          <c:spPr>
            <a:solidFill>
              <a:srgbClr val="FF0000"/>
            </a:solidFill>
            <a:ln w="25400">
              <a:noFill/>
            </a:ln>
          </c:spPr>
          <c:xVal>
            <c:strRef>
              <c:f>'desigh Stairs'!$BB$44</c:f>
              <c:strCache>
                <c:ptCount val="1"/>
                <c:pt idx="0">
                  <c:v> </c:v>
                </c:pt>
              </c:strCache>
            </c:strRef>
          </c:xVal>
          <c:yVal>
            <c:numRef>
              <c:f>'desigh Stairs'!$BC$44</c:f>
              <c:numCache>
                <c:formatCode>General</c:formatCode>
                <c:ptCount val="1"/>
                <c:pt idx="0">
                  <c:v>0</c:v>
                </c:pt>
              </c:numCache>
            </c:numRef>
          </c:yVal>
          <c:bubbleSize>
            <c:numLit>
              <c:formatCode>General</c:formatCode>
              <c:ptCount val="1"/>
              <c:pt idx="0">
                <c:v>1</c:v>
              </c:pt>
            </c:numLit>
          </c:bubbleSize>
        </c:ser>
        <c:ser>
          <c:idx val="22"/>
          <c:order val="22"/>
          <c:tx>
            <c:v>top R3</c:v>
          </c:tx>
          <c:spPr>
            <a:solidFill>
              <a:srgbClr val="FF0000"/>
            </a:solidFill>
            <a:ln w="25400">
              <a:noFill/>
            </a:ln>
          </c:spPr>
          <c:xVal>
            <c:strRef>
              <c:f>'desigh Stairs'!$BB$45</c:f>
              <c:strCache>
                <c:ptCount val="1"/>
                <c:pt idx="0">
                  <c:v> </c:v>
                </c:pt>
              </c:strCache>
            </c:strRef>
          </c:xVal>
          <c:yVal>
            <c:numRef>
              <c:f>'desigh Stairs'!$BC$45</c:f>
              <c:numCache>
                <c:formatCode>General</c:formatCode>
                <c:ptCount val="1"/>
                <c:pt idx="0">
                  <c:v>0</c:v>
                </c:pt>
              </c:numCache>
            </c:numRef>
          </c:yVal>
          <c:bubbleSize>
            <c:numLit>
              <c:formatCode>General</c:formatCode>
              <c:ptCount val="1"/>
              <c:pt idx="0">
                <c:v>1</c:v>
              </c:pt>
            </c:numLit>
          </c:bubbleSize>
        </c:ser>
        <c:ser>
          <c:idx val="23"/>
          <c:order val="23"/>
          <c:tx>
            <c:v>top c3</c:v>
          </c:tx>
          <c:spPr>
            <a:solidFill>
              <a:srgbClr val="FF0000"/>
            </a:solidFill>
            <a:ln w="25400">
              <a:noFill/>
            </a:ln>
          </c:spPr>
          <c:xVal>
            <c:strRef>
              <c:f>'desigh Stairs'!$BB$46</c:f>
              <c:strCache>
                <c:ptCount val="1"/>
                <c:pt idx="0">
                  <c:v> </c:v>
                </c:pt>
              </c:strCache>
            </c:strRef>
          </c:xVal>
          <c:yVal>
            <c:numRef>
              <c:f>'desigh Stairs'!$BC$46</c:f>
              <c:numCache>
                <c:formatCode>General</c:formatCode>
                <c:ptCount val="1"/>
                <c:pt idx="0">
                  <c:v>0</c:v>
                </c:pt>
              </c:numCache>
            </c:numRef>
          </c:yVal>
          <c:bubbleSize>
            <c:numLit>
              <c:formatCode>General</c:formatCode>
              <c:ptCount val="1"/>
              <c:pt idx="0">
                <c:v>1</c:v>
              </c:pt>
            </c:numLit>
          </c:bubbleSize>
        </c:ser>
        <c:ser>
          <c:idx val="24"/>
          <c:order val="24"/>
          <c:tx>
            <c:v>top l3</c:v>
          </c:tx>
          <c:spPr>
            <a:solidFill>
              <a:srgbClr val="FF0000"/>
            </a:solidFill>
            <a:ln w="25400">
              <a:noFill/>
            </a:ln>
          </c:spPr>
          <c:xVal>
            <c:strRef>
              <c:f>'desigh Stairs'!$BB$47</c:f>
              <c:strCache>
                <c:ptCount val="1"/>
                <c:pt idx="0">
                  <c:v> </c:v>
                </c:pt>
              </c:strCache>
            </c:strRef>
          </c:xVal>
          <c:yVal>
            <c:numRef>
              <c:f>'desigh Stairs'!$BC$47</c:f>
              <c:numCache>
                <c:formatCode>General</c:formatCode>
                <c:ptCount val="1"/>
                <c:pt idx="0">
                  <c:v>0</c:v>
                </c:pt>
              </c:numCache>
            </c:numRef>
          </c:yVal>
          <c:bubbleSize>
            <c:numLit>
              <c:formatCode>General</c:formatCode>
              <c:ptCount val="1"/>
              <c:pt idx="0">
                <c:v>1</c:v>
              </c:pt>
            </c:numLit>
          </c:bubbleSize>
        </c:ser>
        <c:ser>
          <c:idx val="25"/>
          <c:order val="25"/>
          <c:tx>
            <c:v>unde side L3</c:v>
          </c:tx>
          <c:spPr>
            <a:solidFill>
              <a:srgbClr val="FF0000"/>
            </a:solidFill>
            <a:ln w="25400">
              <a:noFill/>
            </a:ln>
          </c:spPr>
          <c:xVal>
            <c:strRef>
              <c:f>'desigh Stairs'!$BB$30</c:f>
              <c:strCache>
                <c:ptCount val="1"/>
                <c:pt idx="0">
                  <c:v> </c:v>
                </c:pt>
              </c:strCache>
            </c:strRef>
          </c:xVal>
          <c:yVal>
            <c:numRef>
              <c:f>'desigh Stairs'!$BC$30</c:f>
              <c:numCache>
                <c:formatCode>General</c:formatCode>
                <c:ptCount val="1"/>
                <c:pt idx="0">
                  <c:v>0</c:v>
                </c:pt>
              </c:numCache>
            </c:numRef>
          </c:yVal>
          <c:bubbleSize>
            <c:numLit>
              <c:formatCode>General</c:formatCode>
              <c:ptCount val="1"/>
              <c:pt idx="0">
                <c:v>1</c:v>
              </c:pt>
            </c:numLit>
          </c:bubbleSize>
        </c:ser>
        <c:bubbleScale val="5"/>
        <c:axId val="80663296"/>
        <c:axId val="80664832"/>
      </c:bubbleChart>
      <c:valAx>
        <c:axId val="80663296"/>
        <c:scaling>
          <c:orientation val="minMax"/>
          <c:max val="140"/>
          <c:min val="0"/>
        </c:scaling>
        <c:delete val="1"/>
        <c:axPos val="b"/>
        <c:numFmt formatCode="General" sourceLinked="1"/>
        <c:tickLblPos val="nextTo"/>
        <c:crossAx val="80664832"/>
        <c:crossesAt val="0"/>
        <c:crossBetween val="midCat"/>
        <c:majorUnit val="10"/>
        <c:minorUnit val="2"/>
      </c:valAx>
      <c:valAx>
        <c:axId val="80664832"/>
        <c:scaling>
          <c:orientation val="minMax"/>
          <c:max val="160"/>
          <c:min val="0"/>
        </c:scaling>
        <c:delete val="1"/>
        <c:axPos val="l"/>
        <c:numFmt formatCode="General" sourceLinked="1"/>
        <c:tickLblPos val="nextTo"/>
        <c:crossAx val="80663296"/>
        <c:crossesAt val="0"/>
        <c:crossBetween val="midCat"/>
        <c:majorUnit val="10"/>
        <c:minorUnit val="2"/>
      </c:valAx>
      <c:spPr>
        <a:noFill/>
        <a:ln>
          <a:noFill/>
        </a:ln>
      </c:spPr>
    </c:plotArea>
    <c:plotVisOnly val="1"/>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th-TH"/>
  <c:style val="18"/>
  <c:chart>
    <c:autoTitleDeleted val="1"/>
    <c:plotArea>
      <c:layout>
        <c:manualLayout>
          <c:layoutTarget val="inner"/>
          <c:xMode val="edge"/>
          <c:yMode val="edge"/>
          <c:x val="2.5262713004053604E-3"/>
          <c:y val="0"/>
          <c:w val="0.99338253822403799"/>
          <c:h val="1"/>
        </c:manualLayout>
      </c:layout>
      <c:scatterChart>
        <c:scatterStyle val="lineMarker"/>
        <c:ser>
          <c:idx val="0"/>
          <c:order val="0"/>
          <c:tx>
            <c:v>beam</c:v>
          </c:tx>
          <c:spPr>
            <a:ln w="19050">
              <a:solidFill>
                <a:schemeClr val="bg1">
                  <a:lumMod val="50000"/>
                </a:schemeClr>
              </a:solidFill>
            </a:ln>
          </c:spPr>
          <c:marker>
            <c:symbol val="none"/>
          </c:marker>
          <c:xVal>
            <c:numRef>
              <c:f>'desigh Stairs'!$AY$21:$AY$25</c:f>
              <c:numCache>
                <c:formatCode>General</c:formatCode>
                <c:ptCount val="5"/>
                <c:pt idx="0">
                  <c:v>40</c:v>
                </c:pt>
                <c:pt idx="1">
                  <c:v>40</c:v>
                </c:pt>
                <c:pt idx="2">
                  <c:v>10</c:v>
                </c:pt>
                <c:pt idx="3">
                  <c:v>10</c:v>
                </c:pt>
                <c:pt idx="4">
                  <c:v>40</c:v>
                </c:pt>
              </c:numCache>
            </c:numRef>
          </c:xVal>
          <c:yVal>
            <c:numRef>
              <c:f>'desigh Stairs'!$AZ$21:$AZ$25</c:f>
              <c:numCache>
                <c:formatCode>General</c:formatCode>
                <c:ptCount val="5"/>
                <c:pt idx="0">
                  <c:v>70</c:v>
                </c:pt>
                <c:pt idx="1">
                  <c:v>10</c:v>
                </c:pt>
                <c:pt idx="2">
                  <c:v>10</c:v>
                </c:pt>
                <c:pt idx="3">
                  <c:v>70</c:v>
                </c:pt>
                <c:pt idx="4">
                  <c:v>70</c:v>
                </c:pt>
              </c:numCache>
            </c:numRef>
          </c:yVal>
        </c:ser>
        <c:ser>
          <c:idx val="1"/>
          <c:order val="1"/>
          <c:tx>
            <c:v>strirup</c:v>
          </c:tx>
          <c:spPr>
            <a:ln w="19050">
              <a:solidFill>
                <a:srgbClr val="C00000"/>
              </a:solidFill>
            </a:ln>
          </c:spPr>
          <c:marker>
            <c:symbol val="none"/>
          </c:marker>
          <c:xVal>
            <c:numRef>
              <c:f>'desigh Stairs'!$AY$26:$AY$30</c:f>
              <c:numCache>
                <c:formatCode>General</c:formatCode>
                <c:ptCount val="5"/>
                <c:pt idx="0">
                  <c:v>37.5</c:v>
                </c:pt>
                <c:pt idx="1">
                  <c:v>37.5</c:v>
                </c:pt>
                <c:pt idx="2">
                  <c:v>12.5</c:v>
                </c:pt>
                <c:pt idx="3">
                  <c:v>12.5</c:v>
                </c:pt>
                <c:pt idx="4">
                  <c:v>37.5</c:v>
                </c:pt>
              </c:numCache>
            </c:numRef>
          </c:xVal>
          <c:yVal>
            <c:numRef>
              <c:f>'desigh Stairs'!$AZ$26:$AZ$30</c:f>
              <c:numCache>
                <c:formatCode>General</c:formatCode>
                <c:ptCount val="5"/>
                <c:pt idx="0">
                  <c:v>66</c:v>
                </c:pt>
                <c:pt idx="1">
                  <c:v>14</c:v>
                </c:pt>
                <c:pt idx="2">
                  <c:v>14</c:v>
                </c:pt>
                <c:pt idx="3">
                  <c:v>66</c:v>
                </c:pt>
                <c:pt idx="4">
                  <c:v>66</c:v>
                </c:pt>
              </c:numCache>
            </c:numRef>
          </c:yVal>
        </c:ser>
        <c:ser>
          <c:idx val="2"/>
          <c:order val="2"/>
          <c:tx>
            <c:v>dimension bx</c:v>
          </c:tx>
          <c:spPr>
            <a:ln w="9525">
              <a:solidFill>
                <a:sysClr val="windowText" lastClr="000000"/>
              </a:solidFill>
            </a:ln>
          </c:spPr>
          <c:marker>
            <c:symbol val="none"/>
          </c:marker>
          <c:xVal>
            <c:numRef>
              <c:f>'desigh Stairs'!$BK$22:$BK$23</c:f>
              <c:numCache>
                <c:formatCode>General</c:formatCode>
                <c:ptCount val="2"/>
                <c:pt idx="0">
                  <c:v>10</c:v>
                </c:pt>
                <c:pt idx="1">
                  <c:v>10</c:v>
                </c:pt>
              </c:numCache>
            </c:numRef>
          </c:xVal>
          <c:yVal>
            <c:numRef>
              <c:f>'desigh Stairs'!$BL$22:$BL$23</c:f>
              <c:numCache>
                <c:formatCode>General</c:formatCode>
                <c:ptCount val="2"/>
                <c:pt idx="0">
                  <c:v>77</c:v>
                </c:pt>
                <c:pt idx="1">
                  <c:v>92</c:v>
                </c:pt>
              </c:numCache>
            </c:numRef>
          </c:yVal>
        </c:ser>
        <c:ser>
          <c:idx val="3"/>
          <c:order val="3"/>
          <c:tx>
            <c:v>dimension by</c:v>
          </c:tx>
          <c:spPr>
            <a:ln w="6350" cap="rnd">
              <a:solidFill>
                <a:srgbClr val="C00000"/>
              </a:solidFill>
              <a:headEnd type="triangle" w="sm" len="med"/>
              <a:tailEnd type="triangle" w="sm" len="med"/>
            </a:ln>
          </c:spPr>
          <c:marker>
            <c:symbol val="none"/>
          </c:marker>
          <c:xVal>
            <c:numRef>
              <c:f>'desigh Stairs'!$BM$22:$BM$23</c:f>
              <c:numCache>
                <c:formatCode>General</c:formatCode>
                <c:ptCount val="2"/>
                <c:pt idx="0">
                  <c:v>60</c:v>
                </c:pt>
                <c:pt idx="1">
                  <c:v>60</c:v>
                </c:pt>
              </c:numCache>
            </c:numRef>
          </c:xVal>
          <c:yVal>
            <c:numRef>
              <c:f>'desigh Stairs'!$BN$22:$BN$23</c:f>
              <c:numCache>
                <c:formatCode>General</c:formatCode>
                <c:ptCount val="2"/>
                <c:pt idx="0">
                  <c:v>10</c:v>
                </c:pt>
                <c:pt idx="1">
                  <c:v>70</c:v>
                </c:pt>
              </c:numCache>
            </c:numRef>
          </c:yVal>
          <c:smooth val="1"/>
        </c:ser>
        <c:ser>
          <c:idx val="4"/>
          <c:order val="4"/>
          <c:tx>
            <c:v>dimension by 2</c:v>
          </c:tx>
          <c:spPr>
            <a:ln w="9525">
              <a:solidFill>
                <a:sysClr val="windowText" lastClr="000000"/>
              </a:solidFill>
            </a:ln>
          </c:spPr>
          <c:marker>
            <c:symbol val="none"/>
          </c:marker>
          <c:xVal>
            <c:numRef>
              <c:f>'desigh Stairs'!$BM$24:$BM$25</c:f>
              <c:numCache>
                <c:formatCode>General</c:formatCode>
                <c:ptCount val="2"/>
                <c:pt idx="0">
                  <c:v>50</c:v>
                </c:pt>
                <c:pt idx="1">
                  <c:v>65</c:v>
                </c:pt>
              </c:numCache>
            </c:numRef>
          </c:xVal>
          <c:yVal>
            <c:numRef>
              <c:f>'desigh Stairs'!$BN$24:$BN$25</c:f>
              <c:numCache>
                <c:formatCode>General</c:formatCode>
                <c:ptCount val="2"/>
                <c:pt idx="0">
                  <c:v>10</c:v>
                </c:pt>
                <c:pt idx="1">
                  <c:v>10</c:v>
                </c:pt>
              </c:numCache>
            </c:numRef>
          </c:yVal>
        </c:ser>
        <c:ser>
          <c:idx val="5"/>
          <c:order val="5"/>
          <c:tx>
            <c:v>dimension by3</c:v>
          </c:tx>
          <c:spPr>
            <a:ln w="9525">
              <a:solidFill>
                <a:schemeClr val="tx1"/>
              </a:solidFill>
              <a:prstDash val="solid"/>
            </a:ln>
          </c:spPr>
          <c:marker>
            <c:symbol val="none"/>
          </c:marker>
          <c:xVal>
            <c:numRef>
              <c:f>'desigh Stairs'!$BM$26:$BM$27</c:f>
              <c:numCache>
                <c:formatCode>General</c:formatCode>
                <c:ptCount val="2"/>
                <c:pt idx="0">
                  <c:v>50</c:v>
                </c:pt>
                <c:pt idx="1">
                  <c:v>65</c:v>
                </c:pt>
              </c:numCache>
            </c:numRef>
          </c:xVal>
          <c:yVal>
            <c:numRef>
              <c:f>'desigh Stairs'!$BN$26:$BN$27</c:f>
              <c:numCache>
                <c:formatCode>General</c:formatCode>
                <c:ptCount val="2"/>
                <c:pt idx="0">
                  <c:v>70</c:v>
                </c:pt>
                <c:pt idx="1">
                  <c:v>70</c:v>
                </c:pt>
              </c:numCache>
            </c:numRef>
          </c:yVal>
        </c:ser>
        <c:ser>
          <c:idx val="6"/>
          <c:order val="6"/>
          <c:tx>
            <c:v>dimension bx2</c:v>
          </c:tx>
          <c:spPr>
            <a:ln w="6350">
              <a:solidFill>
                <a:srgbClr val="C00000"/>
              </a:solidFill>
              <a:headEnd type="triangle" w="sm" len="med"/>
              <a:tailEnd type="triangle" w="sm" len="med"/>
            </a:ln>
          </c:spPr>
          <c:marker>
            <c:symbol val="none"/>
          </c:marker>
          <c:xVal>
            <c:numRef>
              <c:f>'desigh Stairs'!$BK$24:$BK$25</c:f>
              <c:numCache>
                <c:formatCode>General</c:formatCode>
                <c:ptCount val="2"/>
                <c:pt idx="0">
                  <c:v>10</c:v>
                </c:pt>
                <c:pt idx="1">
                  <c:v>40</c:v>
                </c:pt>
              </c:numCache>
            </c:numRef>
          </c:xVal>
          <c:yVal>
            <c:numRef>
              <c:f>'desigh Stairs'!$BL$24:$BL$25</c:f>
              <c:numCache>
                <c:formatCode>General</c:formatCode>
                <c:ptCount val="2"/>
                <c:pt idx="0">
                  <c:v>88</c:v>
                </c:pt>
                <c:pt idx="1">
                  <c:v>88</c:v>
                </c:pt>
              </c:numCache>
            </c:numRef>
          </c:yVal>
          <c:smooth val="1"/>
        </c:ser>
        <c:ser>
          <c:idx val="7"/>
          <c:order val="7"/>
          <c:tx>
            <c:v>dimension bx3</c:v>
          </c:tx>
          <c:spPr>
            <a:ln w="9525">
              <a:solidFill>
                <a:sysClr val="windowText" lastClr="000000"/>
              </a:solidFill>
            </a:ln>
          </c:spPr>
          <c:marker>
            <c:symbol val="none"/>
          </c:marker>
          <c:xVal>
            <c:numRef>
              <c:f>'desigh Stairs'!$BK$26:$BK$27</c:f>
              <c:numCache>
                <c:formatCode>General</c:formatCode>
                <c:ptCount val="2"/>
                <c:pt idx="0">
                  <c:v>40</c:v>
                </c:pt>
                <c:pt idx="1">
                  <c:v>40</c:v>
                </c:pt>
              </c:numCache>
            </c:numRef>
          </c:xVal>
          <c:yVal>
            <c:numRef>
              <c:f>'desigh Stairs'!$BL$26:$BL$27</c:f>
              <c:numCache>
                <c:formatCode>General</c:formatCode>
                <c:ptCount val="2"/>
                <c:pt idx="0">
                  <c:v>92</c:v>
                </c:pt>
                <c:pt idx="1">
                  <c:v>77</c:v>
                </c:pt>
              </c:numCache>
            </c:numRef>
          </c:yVal>
        </c:ser>
        <c:axId val="84899328"/>
        <c:axId val="84900864"/>
      </c:scatterChart>
      <c:valAx>
        <c:axId val="84899328"/>
        <c:scaling>
          <c:orientation val="minMax"/>
          <c:max val="140"/>
          <c:min val="0"/>
        </c:scaling>
        <c:delete val="1"/>
        <c:axPos val="b"/>
        <c:numFmt formatCode="General" sourceLinked="1"/>
        <c:tickLblPos val="nextTo"/>
        <c:crossAx val="84900864"/>
        <c:crossesAt val="0"/>
        <c:crossBetween val="midCat"/>
        <c:majorUnit val="10"/>
        <c:minorUnit val="2"/>
      </c:valAx>
      <c:valAx>
        <c:axId val="84900864"/>
        <c:scaling>
          <c:orientation val="minMax"/>
          <c:max val="160"/>
          <c:min val="0"/>
        </c:scaling>
        <c:delete val="1"/>
        <c:axPos val="l"/>
        <c:majorGridlines>
          <c:spPr>
            <a:ln>
              <a:noFill/>
            </a:ln>
          </c:spPr>
        </c:majorGridlines>
        <c:numFmt formatCode="General" sourceLinked="1"/>
        <c:tickLblPos val="nextTo"/>
        <c:crossAx val="84899328"/>
        <c:crossesAt val="0"/>
        <c:crossBetween val="midCat"/>
        <c:majorUnit val="10"/>
        <c:minorUnit val="2"/>
      </c:valAx>
      <c:spPr>
        <a:noFill/>
        <a:ln>
          <a:noFill/>
        </a:ln>
      </c:spPr>
    </c:plotArea>
    <c:plotVisOnly val="1"/>
    <c:dispBlanksAs val="gap"/>
  </c:chart>
  <c:spPr>
    <a:noFill/>
    <a:ln>
      <a:noFill/>
    </a:ln>
  </c:spPr>
  <c:printSettings>
    <c:headerFooter/>
    <c:pageMargins b="0.75000000000000577" l="0.70000000000000062" r="0.70000000000000062" t="0.750000000000005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th-TH"/>
  <c:style val="4"/>
  <c:chart>
    <c:autoTitleDeleted val="1"/>
    <c:plotArea>
      <c:layout>
        <c:manualLayout>
          <c:layoutTarget val="inner"/>
          <c:xMode val="edge"/>
          <c:yMode val="edge"/>
          <c:x val="0"/>
          <c:y val="2.9375006799770302E-4"/>
          <c:w val="1"/>
          <c:h val="0.99970623771054934"/>
        </c:manualLayout>
      </c:layout>
      <c:bubbleChart>
        <c:varyColors val="1"/>
        <c:ser>
          <c:idx val="3"/>
          <c:order val="0"/>
          <c:tx>
            <c:v>underside l2</c:v>
          </c:tx>
          <c:spPr>
            <a:solidFill>
              <a:srgbClr val="FF0000"/>
            </a:solidFill>
            <a:ln w="25400">
              <a:noFill/>
            </a:ln>
          </c:spPr>
          <c:xVal>
            <c:numRef>
              <c:f>'desigh Stairs'!$BB$26</c:f>
              <c:numCache>
                <c:formatCode>General</c:formatCode>
                <c:ptCount val="1"/>
                <c:pt idx="0">
                  <c:v>14.5</c:v>
                </c:pt>
              </c:numCache>
            </c:numRef>
          </c:xVal>
          <c:yVal>
            <c:numRef>
              <c:f>'desigh Stairs'!$BC$26</c:f>
              <c:numCache>
                <c:formatCode>General</c:formatCode>
                <c:ptCount val="1"/>
                <c:pt idx="0">
                  <c:v>20</c:v>
                </c:pt>
              </c:numCache>
            </c:numRef>
          </c:yVal>
          <c:bubbleSize>
            <c:numLit>
              <c:formatCode>General</c:formatCode>
              <c:ptCount val="1"/>
              <c:pt idx="0">
                <c:v>1</c:v>
              </c:pt>
            </c:numLit>
          </c:bubbleSize>
        </c:ser>
        <c:ser>
          <c:idx val="2"/>
          <c:order val="1"/>
          <c:tx>
            <c:v>under c</c:v>
          </c:tx>
          <c:spPr>
            <a:solidFill>
              <a:srgbClr val="FF0000"/>
            </a:solidFill>
            <a:ln>
              <a:noFill/>
            </a:ln>
          </c:spPr>
          <c:xVal>
            <c:numRef>
              <c:f>'desigh Stairs'!$BB$25</c:f>
              <c:numCache>
                <c:formatCode>General</c:formatCode>
                <c:ptCount val="1"/>
                <c:pt idx="0">
                  <c:v>25</c:v>
                </c:pt>
              </c:numCache>
            </c:numRef>
          </c:xVal>
          <c:yVal>
            <c:numRef>
              <c:f>'desigh Stairs'!$BC$25</c:f>
              <c:numCache>
                <c:formatCode>General</c:formatCode>
                <c:ptCount val="1"/>
                <c:pt idx="0">
                  <c:v>15.85</c:v>
                </c:pt>
              </c:numCache>
            </c:numRef>
          </c:yVal>
          <c:bubbleSize>
            <c:numLit>
              <c:formatCode>General</c:formatCode>
              <c:ptCount val="2"/>
              <c:pt idx="0">
                <c:v>1</c:v>
              </c:pt>
              <c:pt idx="1">
                <c:v>1</c:v>
              </c:pt>
            </c:numLit>
          </c:bubbleSize>
        </c:ser>
        <c:ser>
          <c:idx val="1"/>
          <c:order val="2"/>
          <c:tx>
            <c:v>under2</c:v>
          </c:tx>
          <c:spPr>
            <a:solidFill>
              <a:srgbClr val="FF0000"/>
            </a:solidFill>
            <a:ln w="25400">
              <a:noFill/>
            </a:ln>
          </c:spPr>
          <c:xVal>
            <c:numRef>
              <c:f>'desigh Stairs'!$BB$23:$BB$24</c:f>
              <c:numCache>
                <c:formatCode>General</c:formatCode>
                <c:ptCount val="2"/>
                <c:pt idx="0">
                  <c:v>14.5</c:v>
                </c:pt>
                <c:pt idx="1">
                  <c:v>36</c:v>
                </c:pt>
              </c:numCache>
            </c:numRef>
          </c:xVal>
          <c:yVal>
            <c:numRef>
              <c:f>'desigh Stairs'!$BC$23:$BC$24</c:f>
              <c:numCache>
                <c:formatCode>General</c:formatCode>
                <c:ptCount val="2"/>
                <c:pt idx="0">
                  <c:v>64.400000000000006</c:v>
                </c:pt>
                <c:pt idx="1">
                  <c:v>64.400000000000006</c:v>
                </c:pt>
              </c:numCache>
            </c:numRef>
          </c:yVal>
          <c:bubbleSize>
            <c:numLit>
              <c:formatCode>General</c:formatCode>
              <c:ptCount val="2"/>
              <c:pt idx="0">
                <c:v>1</c:v>
              </c:pt>
              <c:pt idx="1">
                <c:v>1</c:v>
              </c:pt>
            </c:numLit>
          </c:bubbleSize>
        </c:ser>
        <c:ser>
          <c:idx val="0"/>
          <c:order val="3"/>
          <c:tx>
            <c:v>under l</c:v>
          </c:tx>
          <c:spPr>
            <a:solidFill>
              <a:srgbClr val="FF0000"/>
            </a:solidFill>
          </c:spPr>
          <c:xVal>
            <c:numRef>
              <c:f>'desigh Stairs'!$BB$21</c:f>
              <c:numCache>
                <c:formatCode>General</c:formatCode>
                <c:ptCount val="1"/>
                <c:pt idx="0">
                  <c:v>14.5</c:v>
                </c:pt>
              </c:numCache>
            </c:numRef>
          </c:xVal>
          <c:yVal>
            <c:numRef>
              <c:f>'desigh Stairs'!$BC$21</c:f>
              <c:numCache>
                <c:formatCode>General</c:formatCode>
                <c:ptCount val="1"/>
                <c:pt idx="0">
                  <c:v>15.85</c:v>
                </c:pt>
              </c:numCache>
            </c:numRef>
          </c:yVal>
          <c:bubbleSize>
            <c:numLit>
              <c:formatCode>General</c:formatCode>
              <c:ptCount val="1"/>
              <c:pt idx="0">
                <c:v>1</c:v>
              </c:pt>
            </c:numLit>
          </c:bubbleSize>
        </c:ser>
        <c:ser>
          <c:idx val="4"/>
          <c:order val="4"/>
          <c:tx>
            <c:v>under c2</c:v>
          </c:tx>
          <c:spPr>
            <a:solidFill>
              <a:srgbClr val="FF0000"/>
            </a:solidFill>
            <a:ln w="25400">
              <a:noFill/>
            </a:ln>
          </c:spPr>
          <c:xVal>
            <c:strRef>
              <c:f>'desigh Stairs'!$BB$28</c:f>
              <c:strCache>
                <c:ptCount val="1"/>
                <c:pt idx="0">
                  <c:v> </c:v>
                </c:pt>
              </c:strCache>
            </c:strRef>
          </c:xVal>
          <c:yVal>
            <c:numRef>
              <c:f>'desigh Stairs'!$BC$28</c:f>
              <c:numCache>
                <c:formatCode>General</c:formatCode>
                <c:ptCount val="1"/>
                <c:pt idx="0">
                  <c:v>0</c:v>
                </c:pt>
              </c:numCache>
            </c:numRef>
          </c:yVal>
          <c:bubbleSize>
            <c:numLit>
              <c:formatCode>General</c:formatCode>
              <c:ptCount val="1"/>
              <c:pt idx="0">
                <c:v>1</c:v>
              </c:pt>
            </c:numLit>
          </c:bubbleSize>
        </c:ser>
        <c:ser>
          <c:idx val="5"/>
          <c:order val="5"/>
          <c:tx>
            <c:v>under side 3</c:v>
          </c:tx>
          <c:spPr>
            <a:solidFill>
              <a:srgbClr val="FF0000"/>
            </a:solidFill>
            <a:ln w="25400">
              <a:noFill/>
            </a:ln>
          </c:spPr>
          <c:xVal>
            <c:strRef>
              <c:f>'desigh Stairs'!$BB$29</c:f>
              <c:strCache>
                <c:ptCount val="1"/>
                <c:pt idx="0">
                  <c:v> </c:v>
                </c:pt>
              </c:strCache>
            </c:strRef>
          </c:xVal>
          <c:yVal>
            <c:numRef>
              <c:f>'desigh Stairs'!$BC$29</c:f>
              <c:numCache>
                <c:formatCode>General</c:formatCode>
                <c:ptCount val="1"/>
                <c:pt idx="0">
                  <c:v>0</c:v>
                </c:pt>
              </c:numCache>
            </c:numRef>
          </c:yVal>
          <c:bubbleSize>
            <c:numLit>
              <c:formatCode>General</c:formatCode>
              <c:ptCount val="1"/>
              <c:pt idx="0">
                <c:v>1</c:v>
              </c:pt>
            </c:numLit>
          </c:bubbleSize>
        </c:ser>
        <c:ser>
          <c:idx val="6"/>
          <c:order val="6"/>
          <c:tx>
            <c:v>under c3</c:v>
          </c:tx>
          <c:spPr>
            <a:solidFill>
              <a:srgbClr val="FF0000"/>
            </a:solidFill>
            <a:ln w="25400">
              <a:noFill/>
            </a:ln>
          </c:spPr>
          <c:xVal>
            <c:strRef>
              <c:f>'desigh Stairs'!$BB$31</c:f>
              <c:strCache>
                <c:ptCount val="1"/>
                <c:pt idx="0">
                  <c:v> </c:v>
                </c:pt>
              </c:strCache>
            </c:strRef>
          </c:xVal>
          <c:yVal>
            <c:numRef>
              <c:f>'desigh Stairs'!$BC$31</c:f>
              <c:numCache>
                <c:formatCode>General</c:formatCode>
                <c:ptCount val="1"/>
                <c:pt idx="0">
                  <c:v>0</c:v>
                </c:pt>
              </c:numCache>
            </c:numRef>
          </c:yVal>
          <c:bubbleSize>
            <c:numLit>
              <c:formatCode>General</c:formatCode>
              <c:ptCount val="1"/>
              <c:pt idx="0">
                <c:v>1</c:v>
              </c:pt>
            </c:numLit>
          </c:bubbleSize>
        </c:ser>
        <c:ser>
          <c:idx val="7"/>
          <c:order val="7"/>
          <c:tx>
            <c:v>midle L</c:v>
          </c:tx>
          <c:spPr>
            <a:solidFill>
              <a:srgbClr val="FF0000"/>
            </a:solidFill>
            <a:ln w="25400">
              <a:noFill/>
            </a:ln>
          </c:spPr>
          <c:xVal>
            <c:strRef>
              <c:f>'desigh Stairs'!$BB$32</c:f>
              <c:strCache>
                <c:ptCount val="1"/>
                <c:pt idx="0">
                  <c:v> </c:v>
                </c:pt>
              </c:strCache>
            </c:strRef>
          </c:xVal>
          <c:yVal>
            <c:numRef>
              <c:f>'desigh Stairs'!$BC$32</c:f>
              <c:numCache>
                <c:formatCode>General</c:formatCode>
                <c:ptCount val="1"/>
                <c:pt idx="0">
                  <c:v>0</c:v>
                </c:pt>
              </c:numCache>
            </c:numRef>
          </c:yVal>
          <c:bubbleSize>
            <c:numLit>
              <c:formatCode>General</c:formatCode>
              <c:ptCount val="1"/>
              <c:pt idx="0">
                <c:v>1</c:v>
              </c:pt>
            </c:numLit>
          </c:bubbleSize>
        </c:ser>
        <c:ser>
          <c:idx val="8"/>
          <c:order val="8"/>
          <c:tx>
            <c:v>middle R</c:v>
          </c:tx>
          <c:spPr>
            <a:solidFill>
              <a:srgbClr val="FF0000"/>
            </a:solidFill>
            <a:ln w="25400">
              <a:noFill/>
            </a:ln>
          </c:spPr>
          <c:xVal>
            <c:strRef>
              <c:f>'desigh Stairs'!$BB$33</c:f>
              <c:strCache>
                <c:ptCount val="1"/>
                <c:pt idx="0">
                  <c:v> </c:v>
                </c:pt>
              </c:strCache>
            </c:strRef>
          </c:xVal>
          <c:yVal>
            <c:numRef>
              <c:f>'desigh Stairs'!$BC$33</c:f>
              <c:numCache>
                <c:formatCode>General</c:formatCode>
                <c:ptCount val="1"/>
                <c:pt idx="0">
                  <c:v>0</c:v>
                </c:pt>
              </c:numCache>
            </c:numRef>
          </c:yVal>
          <c:bubbleSize>
            <c:numLit>
              <c:formatCode>General</c:formatCode>
              <c:ptCount val="1"/>
              <c:pt idx="0">
                <c:v>1</c:v>
              </c:pt>
            </c:numLit>
          </c:bubbleSize>
        </c:ser>
        <c:ser>
          <c:idx val="9"/>
          <c:order val="9"/>
          <c:tx>
            <c:v>underside  R</c:v>
          </c:tx>
          <c:spPr>
            <a:solidFill>
              <a:srgbClr val="FF0000"/>
            </a:solidFill>
            <a:ln w="25400">
              <a:noFill/>
            </a:ln>
          </c:spPr>
          <c:xVal>
            <c:numRef>
              <c:f>'desigh Stairs'!$BB$27</c:f>
              <c:numCache>
                <c:formatCode>General</c:formatCode>
                <c:ptCount val="1"/>
                <c:pt idx="0">
                  <c:v>36</c:v>
                </c:pt>
              </c:numCache>
            </c:numRef>
          </c:xVal>
          <c:yVal>
            <c:numRef>
              <c:f>'desigh Stairs'!$BC$27</c:f>
              <c:numCache>
                <c:formatCode>General</c:formatCode>
                <c:ptCount val="1"/>
                <c:pt idx="0">
                  <c:v>20</c:v>
                </c:pt>
              </c:numCache>
            </c:numRef>
          </c:yVal>
          <c:bubbleSize>
            <c:numLit>
              <c:formatCode>General</c:formatCode>
              <c:ptCount val="1"/>
              <c:pt idx="0">
                <c:v>1</c:v>
              </c:pt>
            </c:numLit>
          </c:bubbleSize>
        </c:ser>
        <c:ser>
          <c:idx val="10"/>
          <c:order val="10"/>
          <c:tx>
            <c:v>middle c</c:v>
          </c:tx>
          <c:spPr>
            <a:solidFill>
              <a:srgbClr val="FF0000"/>
            </a:solidFill>
            <a:ln w="25400">
              <a:noFill/>
            </a:ln>
          </c:spPr>
          <c:xVal>
            <c:strRef>
              <c:f>'desigh Stairs'!$BB$34</c:f>
              <c:strCache>
                <c:ptCount val="1"/>
                <c:pt idx="0">
                  <c:v> </c:v>
                </c:pt>
              </c:strCache>
            </c:strRef>
          </c:xVal>
          <c:yVal>
            <c:numRef>
              <c:f>'desigh Stairs'!$BC$34</c:f>
              <c:numCache>
                <c:formatCode>General</c:formatCode>
                <c:ptCount val="1"/>
                <c:pt idx="0">
                  <c:v>0</c:v>
                </c:pt>
              </c:numCache>
            </c:numRef>
          </c:yVal>
          <c:bubbleSize>
            <c:numLit>
              <c:formatCode>General</c:formatCode>
              <c:ptCount val="1"/>
              <c:pt idx="0">
                <c:v>1</c:v>
              </c:pt>
            </c:numLit>
          </c:bubbleSize>
        </c:ser>
        <c:ser>
          <c:idx val="11"/>
          <c:order val="11"/>
          <c:tx>
            <c:v>middle L2</c:v>
          </c:tx>
          <c:spPr>
            <a:solidFill>
              <a:srgbClr val="FF0000"/>
            </a:solidFill>
            <a:ln w="25400">
              <a:noFill/>
            </a:ln>
          </c:spPr>
          <c:xVal>
            <c:numRef>
              <c:f>'desigh Stairs'!$BB$35</c:f>
              <c:numCache>
                <c:formatCode>General</c:formatCode>
                <c:ptCount val="1"/>
                <c:pt idx="0">
                  <c:v>14.5</c:v>
                </c:pt>
              </c:numCache>
            </c:numRef>
          </c:xVal>
          <c:yVal>
            <c:numRef>
              <c:f>'desigh Stairs'!$BC$35</c:f>
              <c:numCache>
                <c:formatCode>General</c:formatCode>
                <c:ptCount val="1"/>
                <c:pt idx="0">
                  <c:v>45</c:v>
                </c:pt>
              </c:numCache>
            </c:numRef>
          </c:yVal>
          <c:bubbleSize>
            <c:numLit>
              <c:formatCode>General</c:formatCode>
              <c:ptCount val="1"/>
              <c:pt idx="0">
                <c:v>1</c:v>
              </c:pt>
            </c:numLit>
          </c:bubbleSize>
        </c:ser>
        <c:ser>
          <c:idx val="12"/>
          <c:order val="12"/>
          <c:tx>
            <c:v>middle r2</c:v>
          </c:tx>
          <c:spPr>
            <a:solidFill>
              <a:srgbClr val="FF0000"/>
            </a:solidFill>
            <a:ln w="25400">
              <a:noFill/>
            </a:ln>
          </c:spPr>
          <c:xVal>
            <c:numRef>
              <c:f>'desigh Stairs'!$BB$36</c:f>
              <c:numCache>
                <c:formatCode>General</c:formatCode>
                <c:ptCount val="1"/>
                <c:pt idx="0">
                  <c:v>36</c:v>
                </c:pt>
              </c:numCache>
            </c:numRef>
          </c:xVal>
          <c:yVal>
            <c:numRef>
              <c:f>'desigh Stairs'!$BC$36</c:f>
              <c:numCache>
                <c:formatCode>General</c:formatCode>
                <c:ptCount val="1"/>
                <c:pt idx="0">
                  <c:v>45</c:v>
                </c:pt>
              </c:numCache>
            </c:numRef>
          </c:yVal>
          <c:bubbleSize>
            <c:numLit>
              <c:formatCode>General</c:formatCode>
              <c:ptCount val="1"/>
              <c:pt idx="0">
                <c:v>1</c:v>
              </c:pt>
            </c:numLit>
          </c:bubbleSize>
        </c:ser>
        <c:ser>
          <c:idx val="13"/>
          <c:order val="13"/>
          <c:tx>
            <c:v>middle c2</c:v>
          </c:tx>
          <c:spPr>
            <a:ln w="25400">
              <a:noFill/>
            </a:ln>
          </c:spPr>
          <c:dPt>
            <c:idx val="0"/>
            <c:spPr>
              <a:solidFill>
                <a:srgbClr val="FF0000"/>
              </a:solidFill>
              <a:ln w="25400">
                <a:noFill/>
              </a:ln>
            </c:spPr>
          </c:dPt>
          <c:xVal>
            <c:strRef>
              <c:f>'desigh Stairs'!$BB$37</c:f>
              <c:strCache>
                <c:ptCount val="1"/>
                <c:pt idx="0">
                  <c:v> </c:v>
                </c:pt>
              </c:strCache>
            </c:strRef>
          </c:xVal>
          <c:yVal>
            <c:numRef>
              <c:f>'desigh Stairs'!$BC$37</c:f>
              <c:numCache>
                <c:formatCode>General</c:formatCode>
                <c:ptCount val="1"/>
                <c:pt idx="0">
                  <c:v>0</c:v>
                </c:pt>
              </c:numCache>
            </c:numRef>
          </c:yVal>
          <c:bubbleSize>
            <c:numLit>
              <c:formatCode>General</c:formatCode>
              <c:ptCount val="1"/>
              <c:pt idx="0">
                <c:v>1</c:v>
              </c:pt>
            </c:numLit>
          </c:bubbleSize>
        </c:ser>
        <c:ser>
          <c:idx val="14"/>
          <c:order val="14"/>
          <c:tx>
            <c:v>under r</c:v>
          </c:tx>
          <c:spPr>
            <a:solidFill>
              <a:srgbClr val="FF0000"/>
            </a:solidFill>
            <a:ln w="25400">
              <a:noFill/>
            </a:ln>
          </c:spPr>
          <c:xVal>
            <c:numRef>
              <c:f>'desigh Stairs'!$BB$22</c:f>
              <c:numCache>
                <c:formatCode>General</c:formatCode>
                <c:ptCount val="1"/>
                <c:pt idx="0">
                  <c:v>36</c:v>
                </c:pt>
              </c:numCache>
            </c:numRef>
          </c:xVal>
          <c:yVal>
            <c:numRef>
              <c:f>'desigh Stairs'!$BC$22</c:f>
              <c:numCache>
                <c:formatCode>General</c:formatCode>
                <c:ptCount val="1"/>
                <c:pt idx="0">
                  <c:v>15.85</c:v>
                </c:pt>
              </c:numCache>
            </c:numRef>
          </c:yVal>
          <c:bubbleSize>
            <c:numLit>
              <c:formatCode>General</c:formatCode>
              <c:ptCount val="1"/>
              <c:pt idx="0">
                <c:v>1</c:v>
              </c:pt>
            </c:numLit>
          </c:bubbleSize>
        </c:ser>
        <c:ser>
          <c:idx val="15"/>
          <c:order val="15"/>
          <c:tx>
            <c:v>miidle l3</c:v>
          </c:tx>
          <c:spPr>
            <a:solidFill>
              <a:srgbClr val="FF0000"/>
            </a:solidFill>
            <a:ln w="25400">
              <a:noFill/>
            </a:ln>
          </c:spPr>
          <c:xVal>
            <c:numRef>
              <c:f>'desigh Stairs'!$BB$38</c:f>
              <c:numCache>
                <c:formatCode>General</c:formatCode>
                <c:ptCount val="1"/>
                <c:pt idx="0">
                  <c:v>14.5</c:v>
                </c:pt>
              </c:numCache>
            </c:numRef>
          </c:xVal>
          <c:yVal>
            <c:numRef>
              <c:f>'desigh Stairs'!$BC$38</c:f>
              <c:numCache>
                <c:formatCode>General</c:formatCode>
                <c:ptCount val="1"/>
                <c:pt idx="0">
                  <c:v>35</c:v>
                </c:pt>
              </c:numCache>
            </c:numRef>
          </c:yVal>
          <c:bubbleSize>
            <c:numLit>
              <c:formatCode>General</c:formatCode>
              <c:ptCount val="1"/>
              <c:pt idx="0">
                <c:v>1</c:v>
              </c:pt>
            </c:numLit>
          </c:bubbleSize>
        </c:ser>
        <c:ser>
          <c:idx val="16"/>
          <c:order val="16"/>
          <c:tx>
            <c:v>midle c3</c:v>
          </c:tx>
          <c:spPr>
            <a:solidFill>
              <a:srgbClr val="FF0000"/>
            </a:solidFill>
            <a:ln w="25400">
              <a:noFill/>
            </a:ln>
          </c:spPr>
          <c:xVal>
            <c:strRef>
              <c:f>'desigh Stairs'!$BB$39</c:f>
              <c:strCache>
                <c:ptCount val="1"/>
                <c:pt idx="0">
                  <c:v> </c:v>
                </c:pt>
              </c:strCache>
            </c:strRef>
          </c:xVal>
          <c:yVal>
            <c:numRef>
              <c:f>'desigh Stairs'!$BC$39</c:f>
              <c:numCache>
                <c:formatCode>General</c:formatCode>
                <c:ptCount val="1"/>
                <c:pt idx="0">
                  <c:v>0</c:v>
                </c:pt>
              </c:numCache>
            </c:numRef>
          </c:yVal>
          <c:bubbleSize>
            <c:numLit>
              <c:formatCode>General</c:formatCode>
              <c:ptCount val="1"/>
              <c:pt idx="0">
                <c:v>1</c:v>
              </c:pt>
            </c:numLit>
          </c:bubbleSize>
        </c:ser>
        <c:ser>
          <c:idx val="17"/>
          <c:order val="17"/>
          <c:tx>
            <c:v>middle R3</c:v>
          </c:tx>
          <c:spPr>
            <a:solidFill>
              <a:srgbClr val="FF0000"/>
            </a:solidFill>
            <a:ln w="25400">
              <a:noFill/>
            </a:ln>
          </c:spPr>
          <c:xVal>
            <c:numRef>
              <c:f>'desigh Stairs'!$BB$40</c:f>
              <c:numCache>
                <c:formatCode>General</c:formatCode>
                <c:ptCount val="1"/>
                <c:pt idx="0">
                  <c:v>36</c:v>
                </c:pt>
              </c:numCache>
            </c:numRef>
          </c:xVal>
          <c:yVal>
            <c:numRef>
              <c:f>'desigh Stairs'!$BC$40</c:f>
              <c:numCache>
                <c:formatCode>General</c:formatCode>
                <c:ptCount val="1"/>
                <c:pt idx="0">
                  <c:v>35</c:v>
                </c:pt>
              </c:numCache>
            </c:numRef>
          </c:yVal>
          <c:bubbleSize>
            <c:numLit>
              <c:formatCode>General</c:formatCode>
              <c:ptCount val="1"/>
              <c:pt idx="0">
                <c:v>1</c:v>
              </c:pt>
            </c:numLit>
          </c:bubbleSize>
        </c:ser>
        <c:ser>
          <c:idx val="18"/>
          <c:order val="18"/>
          <c:tx>
            <c:v>top c</c:v>
          </c:tx>
          <c:spPr>
            <a:solidFill>
              <a:srgbClr val="FF0000"/>
            </a:solidFill>
            <a:ln w="25400">
              <a:noFill/>
            </a:ln>
          </c:spPr>
          <c:xVal>
            <c:numRef>
              <c:f>'desigh Stairs'!$BB$41</c:f>
              <c:numCache>
                <c:formatCode>General</c:formatCode>
                <c:ptCount val="1"/>
                <c:pt idx="0">
                  <c:v>25</c:v>
                </c:pt>
              </c:numCache>
            </c:numRef>
          </c:xVal>
          <c:yVal>
            <c:numRef>
              <c:f>'desigh Stairs'!$BC$41</c:f>
              <c:numCache>
                <c:formatCode>General</c:formatCode>
                <c:ptCount val="1"/>
                <c:pt idx="0">
                  <c:v>64.400000000000006</c:v>
                </c:pt>
              </c:numCache>
            </c:numRef>
          </c:yVal>
          <c:bubbleSize>
            <c:numLit>
              <c:formatCode>General</c:formatCode>
              <c:ptCount val="1"/>
              <c:pt idx="0">
                <c:v>1</c:v>
              </c:pt>
            </c:numLit>
          </c:bubbleSize>
        </c:ser>
        <c:ser>
          <c:idx val="19"/>
          <c:order val="19"/>
          <c:tx>
            <c:v>top r2</c:v>
          </c:tx>
          <c:spPr>
            <a:solidFill>
              <a:srgbClr val="FF0000"/>
            </a:solidFill>
            <a:ln>
              <a:noFill/>
            </a:ln>
          </c:spPr>
          <c:xVal>
            <c:numRef>
              <c:f>'desigh Stairs'!$BB$42</c:f>
              <c:numCache>
                <c:formatCode>General</c:formatCode>
                <c:ptCount val="1"/>
                <c:pt idx="0">
                  <c:v>14.5</c:v>
                </c:pt>
              </c:numCache>
            </c:numRef>
          </c:xVal>
          <c:yVal>
            <c:numRef>
              <c:f>'desigh Stairs'!$BC$42</c:f>
              <c:numCache>
                <c:formatCode>General</c:formatCode>
                <c:ptCount val="1"/>
                <c:pt idx="0">
                  <c:v>59.7</c:v>
                </c:pt>
              </c:numCache>
            </c:numRef>
          </c:yVal>
          <c:bubbleSize>
            <c:numLit>
              <c:formatCode>General</c:formatCode>
              <c:ptCount val="1"/>
              <c:pt idx="0">
                <c:v>1</c:v>
              </c:pt>
            </c:numLit>
          </c:bubbleSize>
        </c:ser>
        <c:ser>
          <c:idx val="20"/>
          <c:order val="20"/>
          <c:tx>
            <c:v>top L2</c:v>
          </c:tx>
          <c:spPr>
            <a:solidFill>
              <a:srgbClr val="FF0000"/>
            </a:solidFill>
            <a:ln w="25400">
              <a:noFill/>
            </a:ln>
          </c:spPr>
          <c:xVal>
            <c:numRef>
              <c:f>'desigh Stairs'!$BB$43</c:f>
              <c:numCache>
                <c:formatCode>General</c:formatCode>
                <c:ptCount val="1"/>
                <c:pt idx="0">
                  <c:v>36</c:v>
                </c:pt>
              </c:numCache>
            </c:numRef>
          </c:xVal>
          <c:yVal>
            <c:numRef>
              <c:f>'desigh Stairs'!$BC$43</c:f>
              <c:numCache>
                <c:formatCode>General</c:formatCode>
                <c:ptCount val="1"/>
                <c:pt idx="0">
                  <c:v>59.7</c:v>
                </c:pt>
              </c:numCache>
            </c:numRef>
          </c:yVal>
          <c:bubbleSize>
            <c:numLit>
              <c:formatCode>General</c:formatCode>
              <c:ptCount val="1"/>
              <c:pt idx="0">
                <c:v>1</c:v>
              </c:pt>
            </c:numLit>
          </c:bubbleSize>
        </c:ser>
        <c:ser>
          <c:idx val="21"/>
          <c:order val="21"/>
          <c:tx>
            <c:v>top c 2</c:v>
          </c:tx>
          <c:spPr>
            <a:solidFill>
              <a:srgbClr val="FF0000"/>
            </a:solidFill>
            <a:ln w="25400">
              <a:noFill/>
            </a:ln>
          </c:spPr>
          <c:xVal>
            <c:strRef>
              <c:f>'desigh Stairs'!$BB$44</c:f>
              <c:strCache>
                <c:ptCount val="1"/>
                <c:pt idx="0">
                  <c:v> </c:v>
                </c:pt>
              </c:strCache>
            </c:strRef>
          </c:xVal>
          <c:yVal>
            <c:numRef>
              <c:f>'desigh Stairs'!$BC$44</c:f>
              <c:numCache>
                <c:formatCode>General</c:formatCode>
                <c:ptCount val="1"/>
                <c:pt idx="0">
                  <c:v>0</c:v>
                </c:pt>
              </c:numCache>
            </c:numRef>
          </c:yVal>
          <c:bubbleSize>
            <c:numLit>
              <c:formatCode>General</c:formatCode>
              <c:ptCount val="1"/>
              <c:pt idx="0">
                <c:v>1</c:v>
              </c:pt>
            </c:numLit>
          </c:bubbleSize>
        </c:ser>
        <c:ser>
          <c:idx val="22"/>
          <c:order val="22"/>
          <c:tx>
            <c:v>top R3</c:v>
          </c:tx>
          <c:spPr>
            <a:solidFill>
              <a:srgbClr val="FF0000"/>
            </a:solidFill>
            <a:ln w="25400">
              <a:noFill/>
            </a:ln>
          </c:spPr>
          <c:xVal>
            <c:strRef>
              <c:f>'desigh Stairs'!$BB$45</c:f>
              <c:strCache>
                <c:ptCount val="1"/>
                <c:pt idx="0">
                  <c:v> </c:v>
                </c:pt>
              </c:strCache>
            </c:strRef>
          </c:xVal>
          <c:yVal>
            <c:numRef>
              <c:f>'desigh Stairs'!$BC$45</c:f>
              <c:numCache>
                <c:formatCode>General</c:formatCode>
                <c:ptCount val="1"/>
                <c:pt idx="0">
                  <c:v>0</c:v>
                </c:pt>
              </c:numCache>
            </c:numRef>
          </c:yVal>
          <c:bubbleSize>
            <c:numLit>
              <c:formatCode>General</c:formatCode>
              <c:ptCount val="1"/>
              <c:pt idx="0">
                <c:v>1</c:v>
              </c:pt>
            </c:numLit>
          </c:bubbleSize>
        </c:ser>
        <c:ser>
          <c:idx val="23"/>
          <c:order val="23"/>
          <c:tx>
            <c:v>top c3</c:v>
          </c:tx>
          <c:spPr>
            <a:solidFill>
              <a:srgbClr val="FF0000"/>
            </a:solidFill>
            <a:ln w="25400">
              <a:noFill/>
            </a:ln>
          </c:spPr>
          <c:xVal>
            <c:strRef>
              <c:f>'desigh Stairs'!$BB$46</c:f>
              <c:strCache>
                <c:ptCount val="1"/>
                <c:pt idx="0">
                  <c:v> </c:v>
                </c:pt>
              </c:strCache>
            </c:strRef>
          </c:xVal>
          <c:yVal>
            <c:numRef>
              <c:f>'desigh Stairs'!$BC$46</c:f>
              <c:numCache>
                <c:formatCode>General</c:formatCode>
                <c:ptCount val="1"/>
                <c:pt idx="0">
                  <c:v>0</c:v>
                </c:pt>
              </c:numCache>
            </c:numRef>
          </c:yVal>
          <c:bubbleSize>
            <c:numLit>
              <c:formatCode>General</c:formatCode>
              <c:ptCount val="1"/>
              <c:pt idx="0">
                <c:v>1</c:v>
              </c:pt>
            </c:numLit>
          </c:bubbleSize>
        </c:ser>
        <c:ser>
          <c:idx val="24"/>
          <c:order val="24"/>
          <c:tx>
            <c:v>top l3</c:v>
          </c:tx>
          <c:spPr>
            <a:solidFill>
              <a:srgbClr val="FF0000"/>
            </a:solidFill>
            <a:ln w="25400">
              <a:noFill/>
            </a:ln>
          </c:spPr>
          <c:xVal>
            <c:strRef>
              <c:f>'desigh Stairs'!$BB$47</c:f>
              <c:strCache>
                <c:ptCount val="1"/>
                <c:pt idx="0">
                  <c:v> </c:v>
                </c:pt>
              </c:strCache>
            </c:strRef>
          </c:xVal>
          <c:yVal>
            <c:numRef>
              <c:f>'desigh Stairs'!$BC$47</c:f>
              <c:numCache>
                <c:formatCode>General</c:formatCode>
                <c:ptCount val="1"/>
                <c:pt idx="0">
                  <c:v>0</c:v>
                </c:pt>
              </c:numCache>
            </c:numRef>
          </c:yVal>
          <c:bubbleSize>
            <c:numLit>
              <c:formatCode>General</c:formatCode>
              <c:ptCount val="1"/>
              <c:pt idx="0">
                <c:v>1</c:v>
              </c:pt>
            </c:numLit>
          </c:bubbleSize>
        </c:ser>
        <c:ser>
          <c:idx val="25"/>
          <c:order val="25"/>
          <c:tx>
            <c:v>unde side L3</c:v>
          </c:tx>
          <c:spPr>
            <a:solidFill>
              <a:srgbClr val="FF0000"/>
            </a:solidFill>
            <a:ln w="25400">
              <a:noFill/>
            </a:ln>
          </c:spPr>
          <c:xVal>
            <c:strRef>
              <c:f>'desigh Stairs'!$BB$30</c:f>
              <c:strCache>
                <c:ptCount val="1"/>
                <c:pt idx="0">
                  <c:v> </c:v>
                </c:pt>
              </c:strCache>
            </c:strRef>
          </c:xVal>
          <c:yVal>
            <c:numRef>
              <c:f>'desigh Stairs'!$BC$30</c:f>
              <c:numCache>
                <c:formatCode>General</c:formatCode>
                <c:ptCount val="1"/>
                <c:pt idx="0">
                  <c:v>0</c:v>
                </c:pt>
              </c:numCache>
            </c:numRef>
          </c:yVal>
          <c:bubbleSize>
            <c:numLit>
              <c:formatCode>General</c:formatCode>
              <c:ptCount val="1"/>
              <c:pt idx="0">
                <c:v>1</c:v>
              </c:pt>
            </c:numLit>
          </c:bubbleSize>
        </c:ser>
        <c:bubbleScale val="5"/>
        <c:axId val="85367808"/>
        <c:axId val="85377792"/>
      </c:bubbleChart>
      <c:valAx>
        <c:axId val="85367808"/>
        <c:scaling>
          <c:orientation val="minMax"/>
          <c:max val="140"/>
          <c:min val="0"/>
        </c:scaling>
        <c:delete val="1"/>
        <c:axPos val="b"/>
        <c:numFmt formatCode="General" sourceLinked="1"/>
        <c:tickLblPos val="nextTo"/>
        <c:crossAx val="85377792"/>
        <c:crossesAt val="0"/>
        <c:crossBetween val="midCat"/>
        <c:majorUnit val="10"/>
        <c:minorUnit val="2"/>
      </c:valAx>
      <c:valAx>
        <c:axId val="85377792"/>
        <c:scaling>
          <c:orientation val="minMax"/>
          <c:max val="160"/>
          <c:min val="0"/>
        </c:scaling>
        <c:delete val="1"/>
        <c:axPos val="l"/>
        <c:numFmt formatCode="General" sourceLinked="1"/>
        <c:tickLblPos val="nextTo"/>
        <c:crossAx val="85367808"/>
        <c:crossesAt val="0"/>
        <c:crossBetween val="midCat"/>
        <c:majorUnit val="10"/>
        <c:minorUnit val="2"/>
      </c:valAx>
      <c:spPr>
        <a:noFill/>
        <a:ln>
          <a:noFill/>
        </a:ln>
      </c:spPr>
    </c:plotArea>
    <c:plotVisOnly val="1"/>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th-TH"/>
  <c:style val="18"/>
  <c:chart>
    <c:autoTitleDeleted val="1"/>
    <c:plotArea>
      <c:layout>
        <c:manualLayout>
          <c:layoutTarget val="inner"/>
          <c:xMode val="edge"/>
          <c:yMode val="edge"/>
          <c:x val="2.5262713004053595E-3"/>
          <c:y val="0"/>
          <c:w val="0.99338253822403821"/>
          <c:h val="1"/>
        </c:manualLayout>
      </c:layout>
      <c:scatterChart>
        <c:scatterStyle val="lineMarker"/>
        <c:ser>
          <c:idx val="0"/>
          <c:order val="0"/>
          <c:tx>
            <c:v>beam</c:v>
          </c:tx>
          <c:spPr>
            <a:ln w="19050">
              <a:solidFill>
                <a:schemeClr val="bg1">
                  <a:lumMod val="50000"/>
                </a:schemeClr>
              </a:solidFill>
            </a:ln>
          </c:spPr>
          <c:marker>
            <c:symbol val="none"/>
          </c:marker>
          <c:xVal>
            <c:numRef>
              <c:f>'desigh Stairs'!$AY$21:$AY$25</c:f>
              <c:numCache>
                <c:formatCode>General</c:formatCode>
                <c:ptCount val="5"/>
                <c:pt idx="0">
                  <c:v>40</c:v>
                </c:pt>
                <c:pt idx="1">
                  <c:v>40</c:v>
                </c:pt>
                <c:pt idx="2">
                  <c:v>10</c:v>
                </c:pt>
                <c:pt idx="3">
                  <c:v>10</c:v>
                </c:pt>
                <c:pt idx="4">
                  <c:v>40</c:v>
                </c:pt>
              </c:numCache>
            </c:numRef>
          </c:xVal>
          <c:yVal>
            <c:numRef>
              <c:f>'desigh Stairs'!$AZ$21:$AZ$25</c:f>
              <c:numCache>
                <c:formatCode>General</c:formatCode>
                <c:ptCount val="5"/>
                <c:pt idx="0">
                  <c:v>70</c:v>
                </c:pt>
                <c:pt idx="1">
                  <c:v>10</c:v>
                </c:pt>
                <c:pt idx="2">
                  <c:v>10</c:v>
                </c:pt>
                <c:pt idx="3">
                  <c:v>70</c:v>
                </c:pt>
                <c:pt idx="4">
                  <c:v>70</c:v>
                </c:pt>
              </c:numCache>
            </c:numRef>
          </c:yVal>
        </c:ser>
        <c:ser>
          <c:idx val="1"/>
          <c:order val="1"/>
          <c:tx>
            <c:v>strirup</c:v>
          </c:tx>
          <c:spPr>
            <a:ln w="19050">
              <a:solidFill>
                <a:srgbClr val="C00000"/>
              </a:solidFill>
            </a:ln>
          </c:spPr>
          <c:marker>
            <c:symbol val="none"/>
          </c:marker>
          <c:xVal>
            <c:numRef>
              <c:f>'desigh Stairs'!$AY$26:$AY$30</c:f>
              <c:numCache>
                <c:formatCode>General</c:formatCode>
                <c:ptCount val="5"/>
                <c:pt idx="0">
                  <c:v>37.5</c:v>
                </c:pt>
                <c:pt idx="1">
                  <c:v>37.5</c:v>
                </c:pt>
                <c:pt idx="2">
                  <c:v>12.5</c:v>
                </c:pt>
                <c:pt idx="3">
                  <c:v>12.5</c:v>
                </c:pt>
                <c:pt idx="4">
                  <c:v>37.5</c:v>
                </c:pt>
              </c:numCache>
            </c:numRef>
          </c:xVal>
          <c:yVal>
            <c:numRef>
              <c:f>'desigh Stairs'!$AZ$26:$AZ$30</c:f>
              <c:numCache>
                <c:formatCode>General</c:formatCode>
                <c:ptCount val="5"/>
                <c:pt idx="0">
                  <c:v>66</c:v>
                </c:pt>
                <c:pt idx="1">
                  <c:v>14</c:v>
                </c:pt>
                <c:pt idx="2">
                  <c:v>14</c:v>
                </c:pt>
                <c:pt idx="3">
                  <c:v>66</c:v>
                </c:pt>
                <c:pt idx="4">
                  <c:v>66</c:v>
                </c:pt>
              </c:numCache>
            </c:numRef>
          </c:yVal>
        </c:ser>
        <c:ser>
          <c:idx val="2"/>
          <c:order val="2"/>
          <c:tx>
            <c:v>dimension bx</c:v>
          </c:tx>
          <c:spPr>
            <a:ln w="9525">
              <a:solidFill>
                <a:sysClr val="windowText" lastClr="000000"/>
              </a:solidFill>
            </a:ln>
          </c:spPr>
          <c:marker>
            <c:symbol val="none"/>
          </c:marker>
          <c:xVal>
            <c:numRef>
              <c:f>'desigh Stairs'!$BK$22:$BK$23</c:f>
              <c:numCache>
                <c:formatCode>General</c:formatCode>
                <c:ptCount val="2"/>
                <c:pt idx="0">
                  <c:v>10</c:v>
                </c:pt>
                <c:pt idx="1">
                  <c:v>10</c:v>
                </c:pt>
              </c:numCache>
            </c:numRef>
          </c:xVal>
          <c:yVal>
            <c:numRef>
              <c:f>'desigh Stairs'!$BL$22:$BL$23</c:f>
              <c:numCache>
                <c:formatCode>General</c:formatCode>
                <c:ptCount val="2"/>
                <c:pt idx="0">
                  <c:v>77</c:v>
                </c:pt>
                <c:pt idx="1">
                  <c:v>92</c:v>
                </c:pt>
              </c:numCache>
            </c:numRef>
          </c:yVal>
        </c:ser>
        <c:ser>
          <c:idx val="3"/>
          <c:order val="3"/>
          <c:tx>
            <c:v>dimension by</c:v>
          </c:tx>
          <c:spPr>
            <a:ln w="6350" cap="rnd">
              <a:solidFill>
                <a:srgbClr val="C00000"/>
              </a:solidFill>
              <a:headEnd type="triangle" w="sm" len="med"/>
              <a:tailEnd type="triangle" w="sm" len="med"/>
            </a:ln>
          </c:spPr>
          <c:marker>
            <c:symbol val="none"/>
          </c:marker>
          <c:xVal>
            <c:numRef>
              <c:f>'desigh Stairs'!$BM$22:$BM$23</c:f>
              <c:numCache>
                <c:formatCode>General</c:formatCode>
                <c:ptCount val="2"/>
                <c:pt idx="0">
                  <c:v>60</c:v>
                </c:pt>
                <c:pt idx="1">
                  <c:v>60</c:v>
                </c:pt>
              </c:numCache>
            </c:numRef>
          </c:xVal>
          <c:yVal>
            <c:numRef>
              <c:f>'desigh Stairs'!$BN$22:$BN$23</c:f>
              <c:numCache>
                <c:formatCode>General</c:formatCode>
                <c:ptCount val="2"/>
                <c:pt idx="0">
                  <c:v>10</c:v>
                </c:pt>
                <c:pt idx="1">
                  <c:v>70</c:v>
                </c:pt>
              </c:numCache>
            </c:numRef>
          </c:yVal>
          <c:smooth val="1"/>
        </c:ser>
        <c:ser>
          <c:idx val="4"/>
          <c:order val="4"/>
          <c:tx>
            <c:v>dimension by 2</c:v>
          </c:tx>
          <c:spPr>
            <a:ln w="9525">
              <a:solidFill>
                <a:sysClr val="windowText" lastClr="000000"/>
              </a:solidFill>
            </a:ln>
          </c:spPr>
          <c:marker>
            <c:symbol val="none"/>
          </c:marker>
          <c:xVal>
            <c:numRef>
              <c:f>'desigh Stairs'!$BM$24:$BM$25</c:f>
              <c:numCache>
                <c:formatCode>General</c:formatCode>
                <c:ptCount val="2"/>
                <c:pt idx="0">
                  <c:v>50</c:v>
                </c:pt>
                <c:pt idx="1">
                  <c:v>65</c:v>
                </c:pt>
              </c:numCache>
            </c:numRef>
          </c:xVal>
          <c:yVal>
            <c:numRef>
              <c:f>'desigh Stairs'!$BN$24:$BN$25</c:f>
              <c:numCache>
                <c:formatCode>General</c:formatCode>
                <c:ptCount val="2"/>
                <c:pt idx="0">
                  <c:v>10</c:v>
                </c:pt>
                <c:pt idx="1">
                  <c:v>10</c:v>
                </c:pt>
              </c:numCache>
            </c:numRef>
          </c:yVal>
        </c:ser>
        <c:ser>
          <c:idx val="5"/>
          <c:order val="5"/>
          <c:tx>
            <c:v>dimension by3</c:v>
          </c:tx>
          <c:spPr>
            <a:ln w="9525">
              <a:solidFill>
                <a:schemeClr val="tx1"/>
              </a:solidFill>
              <a:prstDash val="solid"/>
            </a:ln>
          </c:spPr>
          <c:marker>
            <c:symbol val="none"/>
          </c:marker>
          <c:xVal>
            <c:numRef>
              <c:f>'desigh Stairs'!$BM$26:$BM$27</c:f>
              <c:numCache>
                <c:formatCode>General</c:formatCode>
                <c:ptCount val="2"/>
                <c:pt idx="0">
                  <c:v>50</c:v>
                </c:pt>
                <c:pt idx="1">
                  <c:v>65</c:v>
                </c:pt>
              </c:numCache>
            </c:numRef>
          </c:xVal>
          <c:yVal>
            <c:numRef>
              <c:f>'desigh Stairs'!$BN$26:$BN$27</c:f>
              <c:numCache>
                <c:formatCode>General</c:formatCode>
                <c:ptCount val="2"/>
                <c:pt idx="0">
                  <c:v>70</c:v>
                </c:pt>
                <c:pt idx="1">
                  <c:v>70</c:v>
                </c:pt>
              </c:numCache>
            </c:numRef>
          </c:yVal>
        </c:ser>
        <c:ser>
          <c:idx val="6"/>
          <c:order val="6"/>
          <c:tx>
            <c:v>dimension bx2</c:v>
          </c:tx>
          <c:spPr>
            <a:ln w="6350">
              <a:solidFill>
                <a:srgbClr val="C00000"/>
              </a:solidFill>
              <a:headEnd type="triangle" w="sm" len="med"/>
              <a:tailEnd type="triangle" w="sm" len="med"/>
            </a:ln>
          </c:spPr>
          <c:marker>
            <c:symbol val="none"/>
          </c:marker>
          <c:xVal>
            <c:numRef>
              <c:f>'desigh Stairs'!$BK$24:$BK$25</c:f>
              <c:numCache>
                <c:formatCode>General</c:formatCode>
                <c:ptCount val="2"/>
                <c:pt idx="0">
                  <c:v>10</c:v>
                </c:pt>
                <c:pt idx="1">
                  <c:v>40</c:v>
                </c:pt>
              </c:numCache>
            </c:numRef>
          </c:xVal>
          <c:yVal>
            <c:numRef>
              <c:f>'desigh Stairs'!$BL$24:$BL$25</c:f>
              <c:numCache>
                <c:formatCode>General</c:formatCode>
                <c:ptCount val="2"/>
                <c:pt idx="0">
                  <c:v>88</c:v>
                </c:pt>
                <c:pt idx="1">
                  <c:v>88</c:v>
                </c:pt>
              </c:numCache>
            </c:numRef>
          </c:yVal>
          <c:smooth val="1"/>
        </c:ser>
        <c:ser>
          <c:idx val="7"/>
          <c:order val="7"/>
          <c:tx>
            <c:v>dimension bx3</c:v>
          </c:tx>
          <c:spPr>
            <a:ln w="9525">
              <a:solidFill>
                <a:sysClr val="windowText" lastClr="000000"/>
              </a:solidFill>
            </a:ln>
          </c:spPr>
          <c:marker>
            <c:symbol val="none"/>
          </c:marker>
          <c:xVal>
            <c:numRef>
              <c:f>'desigh Stairs'!$BK$26:$BK$27</c:f>
              <c:numCache>
                <c:formatCode>General</c:formatCode>
                <c:ptCount val="2"/>
                <c:pt idx="0">
                  <c:v>40</c:v>
                </c:pt>
                <c:pt idx="1">
                  <c:v>40</c:v>
                </c:pt>
              </c:numCache>
            </c:numRef>
          </c:xVal>
          <c:yVal>
            <c:numRef>
              <c:f>'desigh Stairs'!$BL$26:$BL$27</c:f>
              <c:numCache>
                <c:formatCode>General</c:formatCode>
                <c:ptCount val="2"/>
                <c:pt idx="0">
                  <c:v>92</c:v>
                </c:pt>
                <c:pt idx="1">
                  <c:v>77</c:v>
                </c:pt>
              </c:numCache>
            </c:numRef>
          </c:yVal>
        </c:ser>
        <c:axId val="85435520"/>
        <c:axId val="85437056"/>
      </c:scatterChart>
      <c:valAx>
        <c:axId val="85435520"/>
        <c:scaling>
          <c:orientation val="minMax"/>
          <c:max val="140"/>
          <c:min val="0"/>
        </c:scaling>
        <c:delete val="1"/>
        <c:axPos val="b"/>
        <c:numFmt formatCode="General" sourceLinked="1"/>
        <c:tickLblPos val="nextTo"/>
        <c:crossAx val="85437056"/>
        <c:crossesAt val="0"/>
        <c:crossBetween val="midCat"/>
        <c:majorUnit val="10"/>
        <c:minorUnit val="2"/>
      </c:valAx>
      <c:valAx>
        <c:axId val="85437056"/>
        <c:scaling>
          <c:orientation val="minMax"/>
          <c:max val="160"/>
          <c:min val="0"/>
        </c:scaling>
        <c:delete val="1"/>
        <c:axPos val="l"/>
        <c:majorGridlines>
          <c:spPr>
            <a:ln>
              <a:noFill/>
            </a:ln>
          </c:spPr>
        </c:majorGridlines>
        <c:numFmt formatCode="General" sourceLinked="1"/>
        <c:tickLblPos val="nextTo"/>
        <c:crossAx val="85435520"/>
        <c:crossesAt val="0"/>
        <c:crossBetween val="midCat"/>
        <c:majorUnit val="10"/>
        <c:minorUnit val="2"/>
      </c:valAx>
      <c:spPr>
        <a:noFill/>
        <a:ln>
          <a:noFill/>
        </a:ln>
      </c:spPr>
    </c:plotArea>
    <c:plotVisOnly val="1"/>
    <c:dispBlanksAs val="gap"/>
  </c:chart>
  <c:spPr>
    <a:noFill/>
    <a:ln>
      <a:noFill/>
    </a:ln>
  </c:spPr>
  <c:printSettings>
    <c:headerFooter/>
    <c:pageMargins b="0.75000000000000555" l="0.70000000000000062" r="0.70000000000000062" t="0.750000000000005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th-TH"/>
  <c:style val="18"/>
  <c:chart>
    <c:autoTitleDeleted val="1"/>
    <c:plotArea>
      <c:layout>
        <c:manualLayout>
          <c:layoutTarget val="inner"/>
          <c:xMode val="edge"/>
          <c:yMode val="edge"/>
          <c:x val="2.5263888888888888E-3"/>
          <c:y val="0"/>
          <c:w val="0.99338253822403888"/>
          <c:h val="1"/>
        </c:manualLayout>
      </c:layout>
      <c:scatterChart>
        <c:scatterStyle val="lineMarker"/>
        <c:ser>
          <c:idx val="0"/>
          <c:order val="0"/>
          <c:tx>
            <c:v>beam</c:v>
          </c:tx>
          <c:spPr>
            <a:ln w="38100">
              <a:solidFill>
                <a:schemeClr val="bg1">
                  <a:lumMod val="50000"/>
                </a:schemeClr>
              </a:solidFill>
            </a:ln>
          </c:spPr>
          <c:marker>
            <c:symbol val="none"/>
          </c:marker>
          <c:xVal>
            <c:numRef>
              <c:f>'desigh Stairs'!$AY$21:$AY$25</c:f>
              <c:numCache>
                <c:formatCode>General</c:formatCode>
                <c:ptCount val="5"/>
                <c:pt idx="0">
                  <c:v>40</c:v>
                </c:pt>
                <c:pt idx="1">
                  <c:v>40</c:v>
                </c:pt>
                <c:pt idx="2">
                  <c:v>10</c:v>
                </c:pt>
                <c:pt idx="3">
                  <c:v>10</c:v>
                </c:pt>
                <c:pt idx="4">
                  <c:v>40</c:v>
                </c:pt>
              </c:numCache>
            </c:numRef>
          </c:xVal>
          <c:yVal>
            <c:numRef>
              <c:f>'desigh Stairs'!$AZ$21:$AZ$25</c:f>
              <c:numCache>
                <c:formatCode>General</c:formatCode>
                <c:ptCount val="5"/>
                <c:pt idx="0">
                  <c:v>70</c:v>
                </c:pt>
                <c:pt idx="1">
                  <c:v>10</c:v>
                </c:pt>
                <c:pt idx="2">
                  <c:v>10</c:v>
                </c:pt>
                <c:pt idx="3">
                  <c:v>70</c:v>
                </c:pt>
                <c:pt idx="4">
                  <c:v>70</c:v>
                </c:pt>
              </c:numCache>
            </c:numRef>
          </c:yVal>
        </c:ser>
        <c:ser>
          <c:idx val="1"/>
          <c:order val="1"/>
          <c:tx>
            <c:v>strirup</c:v>
          </c:tx>
          <c:spPr>
            <a:ln w="38100">
              <a:solidFill>
                <a:srgbClr val="C00000"/>
              </a:solidFill>
            </a:ln>
          </c:spPr>
          <c:marker>
            <c:symbol val="none"/>
          </c:marker>
          <c:xVal>
            <c:numRef>
              <c:f>'desigh Stairs'!$AY$26:$AY$30</c:f>
              <c:numCache>
                <c:formatCode>General</c:formatCode>
                <c:ptCount val="5"/>
                <c:pt idx="0">
                  <c:v>37.5</c:v>
                </c:pt>
                <c:pt idx="1">
                  <c:v>37.5</c:v>
                </c:pt>
                <c:pt idx="2">
                  <c:v>12.5</c:v>
                </c:pt>
                <c:pt idx="3">
                  <c:v>12.5</c:v>
                </c:pt>
                <c:pt idx="4">
                  <c:v>37.5</c:v>
                </c:pt>
              </c:numCache>
            </c:numRef>
          </c:xVal>
          <c:yVal>
            <c:numRef>
              <c:f>'desigh Stairs'!$AZ$26:$AZ$30</c:f>
              <c:numCache>
                <c:formatCode>General</c:formatCode>
                <c:ptCount val="5"/>
                <c:pt idx="0">
                  <c:v>66</c:v>
                </c:pt>
                <c:pt idx="1">
                  <c:v>14</c:v>
                </c:pt>
                <c:pt idx="2">
                  <c:v>14</c:v>
                </c:pt>
                <c:pt idx="3">
                  <c:v>66</c:v>
                </c:pt>
                <c:pt idx="4">
                  <c:v>66</c:v>
                </c:pt>
              </c:numCache>
            </c:numRef>
          </c:yVal>
        </c:ser>
        <c:ser>
          <c:idx val="2"/>
          <c:order val="2"/>
          <c:tx>
            <c:v>dimension bx</c:v>
          </c:tx>
          <c:spPr>
            <a:ln w="22225">
              <a:solidFill>
                <a:sysClr val="windowText" lastClr="000000"/>
              </a:solidFill>
            </a:ln>
          </c:spPr>
          <c:marker>
            <c:symbol val="none"/>
          </c:marker>
          <c:xVal>
            <c:numRef>
              <c:f>'desigh Stairs'!$BK$22:$BK$23</c:f>
              <c:numCache>
                <c:formatCode>General</c:formatCode>
                <c:ptCount val="2"/>
                <c:pt idx="0">
                  <c:v>10</c:v>
                </c:pt>
                <c:pt idx="1">
                  <c:v>10</c:v>
                </c:pt>
              </c:numCache>
            </c:numRef>
          </c:xVal>
          <c:yVal>
            <c:numRef>
              <c:f>'desigh Stairs'!$BL$22:$BL$23</c:f>
              <c:numCache>
                <c:formatCode>General</c:formatCode>
                <c:ptCount val="2"/>
                <c:pt idx="0">
                  <c:v>77</c:v>
                </c:pt>
                <c:pt idx="1">
                  <c:v>92</c:v>
                </c:pt>
              </c:numCache>
            </c:numRef>
          </c:yVal>
        </c:ser>
        <c:ser>
          <c:idx val="3"/>
          <c:order val="3"/>
          <c:tx>
            <c:v>dimension by</c:v>
          </c:tx>
          <c:spPr>
            <a:ln w="15875" cap="rnd">
              <a:solidFill>
                <a:srgbClr val="C00000"/>
              </a:solidFill>
              <a:headEnd type="arrow"/>
              <a:tailEnd type="arrow"/>
            </a:ln>
          </c:spPr>
          <c:marker>
            <c:symbol val="none"/>
          </c:marker>
          <c:xVal>
            <c:numRef>
              <c:f>'desigh Stairs'!$BM$22:$BM$23</c:f>
              <c:numCache>
                <c:formatCode>General</c:formatCode>
                <c:ptCount val="2"/>
                <c:pt idx="0">
                  <c:v>60</c:v>
                </c:pt>
                <c:pt idx="1">
                  <c:v>60</c:v>
                </c:pt>
              </c:numCache>
            </c:numRef>
          </c:xVal>
          <c:yVal>
            <c:numRef>
              <c:f>'desigh Stairs'!$BN$22:$BN$23</c:f>
              <c:numCache>
                <c:formatCode>General</c:formatCode>
                <c:ptCount val="2"/>
                <c:pt idx="0">
                  <c:v>10</c:v>
                </c:pt>
                <c:pt idx="1">
                  <c:v>70</c:v>
                </c:pt>
              </c:numCache>
            </c:numRef>
          </c:yVal>
          <c:smooth val="1"/>
        </c:ser>
        <c:ser>
          <c:idx val="4"/>
          <c:order val="4"/>
          <c:tx>
            <c:v>dimension by 2</c:v>
          </c:tx>
          <c:spPr>
            <a:ln w="22225">
              <a:solidFill>
                <a:sysClr val="windowText" lastClr="000000"/>
              </a:solidFill>
            </a:ln>
          </c:spPr>
          <c:marker>
            <c:symbol val="none"/>
          </c:marker>
          <c:xVal>
            <c:numRef>
              <c:f>'desigh Stairs'!$BM$24:$BM$25</c:f>
              <c:numCache>
                <c:formatCode>General</c:formatCode>
                <c:ptCount val="2"/>
                <c:pt idx="0">
                  <c:v>50</c:v>
                </c:pt>
                <c:pt idx="1">
                  <c:v>65</c:v>
                </c:pt>
              </c:numCache>
            </c:numRef>
          </c:xVal>
          <c:yVal>
            <c:numRef>
              <c:f>'desigh Stairs'!$BN$24:$BN$25</c:f>
              <c:numCache>
                <c:formatCode>General</c:formatCode>
                <c:ptCount val="2"/>
                <c:pt idx="0">
                  <c:v>10</c:v>
                </c:pt>
                <c:pt idx="1">
                  <c:v>10</c:v>
                </c:pt>
              </c:numCache>
            </c:numRef>
          </c:yVal>
        </c:ser>
        <c:ser>
          <c:idx val="5"/>
          <c:order val="5"/>
          <c:tx>
            <c:v>dimension by3</c:v>
          </c:tx>
          <c:spPr>
            <a:ln w="22225">
              <a:solidFill>
                <a:schemeClr val="tx1"/>
              </a:solidFill>
              <a:prstDash val="solid"/>
            </a:ln>
          </c:spPr>
          <c:marker>
            <c:symbol val="none"/>
          </c:marker>
          <c:xVal>
            <c:numRef>
              <c:f>'desigh Stairs'!$BM$26:$BM$27</c:f>
              <c:numCache>
                <c:formatCode>General</c:formatCode>
                <c:ptCount val="2"/>
                <c:pt idx="0">
                  <c:v>50</c:v>
                </c:pt>
                <c:pt idx="1">
                  <c:v>65</c:v>
                </c:pt>
              </c:numCache>
            </c:numRef>
          </c:xVal>
          <c:yVal>
            <c:numRef>
              <c:f>'desigh Stairs'!$BN$26:$BN$27</c:f>
              <c:numCache>
                <c:formatCode>General</c:formatCode>
                <c:ptCount val="2"/>
                <c:pt idx="0">
                  <c:v>70</c:v>
                </c:pt>
                <c:pt idx="1">
                  <c:v>70</c:v>
                </c:pt>
              </c:numCache>
            </c:numRef>
          </c:yVal>
        </c:ser>
        <c:ser>
          <c:idx val="6"/>
          <c:order val="6"/>
          <c:tx>
            <c:v>dimension bx2</c:v>
          </c:tx>
          <c:spPr>
            <a:ln w="15875">
              <a:solidFill>
                <a:srgbClr val="C00000"/>
              </a:solidFill>
              <a:headEnd type="arrow"/>
              <a:tailEnd type="arrow"/>
            </a:ln>
          </c:spPr>
          <c:marker>
            <c:symbol val="none"/>
          </c:marker>
          <c:xVal>
            <c:numRef>
              <c:f>'desigh Stairs'!$BK$24:$BK$25</c:f>
              <c:numCache>
                <c:formatCode>General</c:formatCode>
                <c:ptCount val="2"/>
                <c:pt idx="0">
                  <c:v>10</c:v>
                </c:pt>
                <c:pt idx="1">
                  <c:v>40</c:v>
                </c:pt>
              </c:numCache>
            </c:numRef>
          </c:xVal>
          <c:yVal>
            <c:numRef>
              <c:f>'desigh Stairs'!$BL$24:$BL$25</c:f>
              <c:numCache>
                <c:formatCode>General</c:formatCode>
                <c:ptCount val="2"/>
                <c:pt idx="0">
                  <c:v>88</c:v>
                </c:pt>
                <c:pt idx="1">
                  <c:v>88</c:v>
                </c:pt>
              </c:numCache>
            </c:numRef>
          </c:yVal>
          <c:smooth val="1"/>
        </c:ser>
        <c:ser>
          <c:idx val="7"/>
          <c:order val="7"/>
          <c:tx>
            <c:v>dimension bx3</c:v>
          </c:tx>
          <c:spPr>
            <a:ln w="22225">
              <a:solidFill>
                <a:sysClr val="windowText" lastClr="000000"/>
              </a:solidFill>
            </a:ln>
          </c:spPr>
          <c:marker>
            <c:symbol val="none"/>
          </c:marker>
          <c:xVal>
            <c:numRef>
              <c:f>'desigh Stairs'!$BK$26:$BK$27</c:f>
              <c:numCache>
                <c:formatCode>General</c:formatCode>
                <c:ptCount val="2"/>
                <c:pt idx="0">
                  <c:v>40</c:v>
                </c:pt>
                <c:pt idx="1">
                  <c:v>40</c:v>
                </c:pt>
              </c:numCache>
            </c:numRef>
          </c:xVal>
          <c:yVal>
            <c:numRef>
              <c:f>'desigh Stairs'!$BL$26:$BL$27</c:f>
              <c:numCache>
                <c:formatCode>General</c:formatCode>
                <c:ptCount val="2"/>
                <c:pt idx="0">
                  <c:v>92</c:v>
                </c:pt>
                <c:pt idx="1">
                  <c:v>77</c:v>
                </c:pt>
              </c:numCache>
            </c:numRef>
          </c:yVal>
        </c:ser>
        <c:axId val="81058432"/>
        <c:axId val="81068416"/>
      </c:scatterChart>
      <c:valAx>
        <c:axId val="81058432"/>
        <c:scaling>
          <c:orientation val="minMax"/>
          <c:max val="140"/>
          <c:min val="0"/>
        </c:scaling>
        <c:delete val="1"/>
        <c:axPos val="b"/>
        <c:numFmt formatCode="General" sourceLinked="1"/>
        <c:tickLblPos val="nextTo"/>
        <c:crossAx val="81068416"/>
        <c:crossesAt val="0"/>
        <c:crossBetween val="midCat"/>
        <c:majorUnit val="10"/>
        <c:minorUnit val="2"/>
      </c:valAx>
      <c:valAx>
        <c:axId val="81068416"/>
        <c:scaling>
          <c:orientation val="minMax"/>
          <c:max val="160"/>
          <c:min val="0"/>
        </c:scaling>
        <c:delete val="1"/>
        <c:axPos val="l"/>
        <c:majorGridlines>
          <c:spPr>
            <a:ln>
              <a:noFill/>
            </a:ln>
          </c:spPr>
        </c:majorGridlines>
        <c:numFmt formatCode="General" sourceLinked="1"/>
        <c:tickLblPos val="nextTo"/>
        <c:crossAx val="81058432"/>
        <c:crossesAt val="0"/>
        <c:crossBetween val="midCat"/>
        <c:majorUnit val="10"/>
        <c:minorUnit val="2"/>
      </c:valAx>
      <c:spPr>
        <a:noFill/>
        <a:ln>
          <a:noFill/>
        </a:ln>
      </c:spPr>
    </c:plotArea>
    <c:legend>
      <c:legendPos val="r"/>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ayout>
        <c:manualLayout>
          <c:xMode val="edge"/>
          <c:yMode val="edge"/>
          <c:x val="0.65917001585721879"/>
          <c:y val="2.8055555555555611E-3"/>
          <c:w val="0.29825611111111111"/>
          <c:h val="7.1530555555555542E-2"/>
        </c:manualLayout>
      </c:layout>
    </c:legend>
    <c:plotVisOnly val="1"/>
    <c:dispBlanksAs val="gap"/>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th-TH"/>
  <c:chart>
    <c:autoTitleDeleted val="1"/>
    <c:plotArea>
      <c:layout>
        <c:manualLayout>
          <c:layoutTarget val="inner"/>
          <c:xMode val="edge"/>
          <c:yMode val="edge"/>
          <c:x val="8.9467221770616043E-2"/>
          <c:y val="0.15955762676584401"/>
          <c:w val="0.77132505633174286"/>
          <c:h val="0.70316641880691111"/>
        </c:manualLayout>
      </c:layout>
      <c:bubbleChart>
        <c:ser>
          <c:idx val="1"/>
          <c:order val="0"/>
          <c:tx>
            <c:v>1</c:v>
          </c:tx>
          <c:spPr>
            <a:solidFill>
              <a:srgbClr val="FF0000"/>
            </a:solidFill>
            <a:ln w="25400">
              <a:noFill/>
            </a:ln>
          </c:spPr>
          <c:xVal>
            <c:numRef>
              <c:f>sheet3!$BK$83</c:f>
            </c:numRef>
          </c:xVal>
          <c:yVal>
            <c:numRef>
              <c:f>sheet3!$BL$83</c:f>
            </c:numRef>
          </c:yVal>
          <c:bubbleSize>
            <c:numLit>
              <c:formatCode>General</c:formatCode>
              <c:ptCount val="2"/>
              <c:pt idx="0">
                <c:v>1</c:v>
              </c:pt>
              <c:pt idx="1">
                <c:v>1</c:v>
              </c:pt>
            </c:numLit>
          </c:bubbleSize>
        </c:ser>
        <c:ser>
          <c:idx val="2"/>
          <c:order val="1"/>
          <c:tx>
            <c:v>2</c:v>
          </c:tx>
          <c:spPr>
            <a:solidFill>
              <a:srgbClr val="FF0000"/>
            </a:solidFill>
            <a:ln w="25400">
              <a:noFill/>
            </a:ln>
          </c:spPr>
          <c:xVal>
            <c:numRef>
              <c:f>sheet3!$BK$84</c:f>
            </c:numRef>
          </c:xVal>
          <c:yVal>
            <c:numRef>
              <c:f>sheet3!$BL$84</c:f>
            </c:numRef>
          </c:yVal>
          <c:bubbleSize>
            <c:numLit>
              <c:formatCode>General</c:formatCode>
              <c:ptCount val="1"/>
              <c:pt idx="0">
                <c:v>1</c:v>
              </c:pt>
            </c:numLit>
          </c:bubbleSize>
        </c:ser>
        <c:ser>
          <c:idx val="3"/>
          <c:order val="2"/>
          <c:tx>
            <c:v>1mid</c:v>
          </c:tx>
          <c:spPr>
            <a:solidFill>
              <a:srgbClr val="FF0000"/>
            </a:solidFill>
            <a:ln w="25400">
              <a:noFill/>
            </a:ln>
          </c:spPr>
          <c:xVal>
            <c:numRef>
              <c:f>sheet3!$BK$85</c:f>
            </c:numRef>
          </c:xVal>
          <c:yVal>
            <c:numRef>
              <c:f>sheet3!$BL$85</c:f>
            </c:numRef>
          </c:yVal>
          <c:bubbleSize>
            <c:numLit>
              <c:formatCode>General</c:formatCode>
              <c:ptCount val="1"/>
              <c:pt idx="0">
                <c:v>1</c:v>
              </c:pt>
            </c:numLit>
          </c:bubbleSize>
        </c:ser>
        <c:ser>
          <c:idx val="4"/>
          <c:order val="3"/>
          <c:tx>
            <c:v>1c1</c:v>
          </c:tx>
          <c:spPr>
            <a:solidFill>
              <a:srgbClr val="FF0000"/>
            </a:solidFill>
            <a:ln w="25400">
              <a:noFill/>
            </a:ln>
          </c:spPr>
          <c:xVal>
            <c:numRef>
              <c:f>sheet3!$BK$86</c:f>
            </c:numRef>
          </c:xVal>
          <c:yVal>
            <c:numRef>
              <c:f>sheet3!$BL$86</c:f>
            </c:numRef>
          </c:yVal>
          <c:bubbleSize>
            <c:numLit>
              <c:formatCode>General</c:formatCode>
              <c:ptCount val="1"/>
              <c:pt idx="0">
                <c:v>1</c:v>
              </c:pt>
            </c:numLit>
          </c:bubbleSize>
        </c:ser>
        <c:ser>
          <c:idx val="6"/>
          <c:order val="4"/>
          <c:tx>
            <c:v>1a3</c:v>
          </c:tx>
          <c:spPr>
            <a:solidFill>
              <a:srgbClr val="FF0000"/>
            </a:solidFill>
            <a:ln w="25400">
              <a:noFill/>
            </a:ln>
          </c:spPr>
          <c:xVal>
            <c:numRef>
              <c:f>sheet3!$BK$89</c:f>
            </c:numRef>
          </c:xVal>
          <c:yVal>
            <c:numRef>
              <c:f>sheet3!$BL$89</c:f>
            </c:numRef>
          </c:yVal>
          <c:bubbleSize>
            <c:numLit>
              <c:formatCode>General</c:formatCode>
              <c:ptCount val="1"/>
              <c:pt idx="0">
                <c:v>1</c:v>
              </c:pt>
            </c:numLit>
          </c:bubbleSize>
        </c:ser>
        <c:ser>
          <c:idx val="7"/>
          <c:order val="5"/>
          <c:tx>
            <c:v>1b2</c:v>
          </c:tx>
          <c:spPr>
            <a:solidFill>
              <a:srgbClr val="FF0000"/>
            </a:solidFill>
            <a:ln w="25400">
              <a:noFill/>
            </a:ln>
          </c:spPr>
          <c:xVal>
            <c:numRef>
              <c:f>sheet3!$BK$90</c:f>
            </c:numRef>
          </c:xVal>
          <c:yVal>
            <c:numRef>
              <c:f>sheet3!$BL$90</c:f>
            </c:numRef>
          </c:yVal>
          <c:bubbleSize>
            <c:numLit>
              <c:formatCode>General</c:formatCode>
              <c:ptCount val="1"/>
              <c:pt idx="0">
                <c:v>1</c:v>
              </c:pt>
            </c:numLit>
          </c:bubbleSize>
        </c:ser>
        <c:ser>
          <c:idx val="8"/>
          <c:order val="6"/>
          <c:tx>
            <c:v>1c3</c:v>
          </c:tx>
          <c:spPr>
            <a:solidFill>
              <a:srgbClr val="FF0000"/>
            </a:solidFill>
            <a:ln w="25400">
              <a:noFill/>
            </a:ln>
          </c:spPr>
          <c:xVal>
            <c:numRef>
              <c:f>sheet3!$BK$91</c:f>
            </c:numRef>
          </c:xVal>
          <c:yVal>
            <c:numRef>
              <c:f>sheet3!$BL$91</c:f>
            </c:numRef>
          </c:yVal>
          <c:bubbleSize>
            <c:numLit>
              <c:formatCode>General</c:formatCode>
              <c:ptCount val="1"/>
              <c:pt idx="0">
                <c:v>1</c:v>
              </c:pt>
            </c:numLit>
          </c:bubbleSize>
        </c:ser>
        <c:ser>
          <c:idx val="9"/>
          <c:order val="7"/>
          <c:tx>
            <c:v>1b3</c:v>
          </c:tx>
          <c:spPr>
            <a:solidFill>
              <a:srgbClr val="FF0000"/>
            </a:solidFill>
            <a:ln w="25400">
              <a:noFill/>
            </a:ln>
          </c:spPr>
          <c:xVal>
            <c:numRef>
              <c:f>sheet3!$BK$92</c:f>
            </c:numRef>
          </c:xVal>
          <c:yVal>
            <c:numRef>
              <c:f>sheet3!$BL$92</c:f>
            </c:numRef>
          </c:yVal>
          <c:bubbleSize>
            <c:numLit>
              <c:formatCode>General</c:formatCode>
              <c:ptCount val="1"/>
              <c:pt idx="0">
                <c:v>1</c:v>
              </c:pt>
            </c:numLit>
          </c:bubbleSize>
        </c:ser>
        <c:ser>
          <c:idx val="10"/>
          <c:order val="8"/>
          <c:tx>
            <c:v>1c3</c:v>
          </c:tx>
          <c:spPr>
            <a:solidFill>
              <a:srgbClr val="FF0000"/>
            </a:solidFill>
            <a:ln w="25400">
              <a:noFill/>
            </a:ln>
          </c:spPr>
          <c:xVal>
            <c:numRef>
              <c:f>sheet3!$BK$93</c:f>
            </c:numRef>
          </c:xVal>
          <c:yVal>
            <c:numRef>
              <c:f>sheet3!$BL$93</c:f>
            </c:numRef>
          </c:yVal>
          <c:bubbleSize>
            <c:numLit>
              <c:formatCode>General</c:formatCode>
              <c:ptCount val="1"/>
              <c:pt idx="0">
                <c:v>1</c:v>
              </c:pt>
            </c:numLit>
          </c:bubbleSize>
        </c:ser>
        <c:ser>
          <c:idx val="11"/>
          <c:order val="9"/>
          <c:tx>
            <c:v>3a1</c:v>
          </c:tx>
          <c:spPr>
            <a:solidFill>
              <a:srgbClr val="FF0000"/>
            </a:solidFill>
            <a:ln w="25400">
              <a:noFill/>
            </a:ln>
          </c:spPr>
          <c:xVal>
            <c:numRef>
              <c:f>sheet3!$BK$95</c:f>
            </c:numRef>
          </c:xVal>
          <c:yVal>
            <c:numRef>
              <c:f>sheet3!$BL$95</c:f>
            </c:numRef>
          </c:yVal>
          <c:bubbleSize>
            <c:numLit>
              <c:formatCode>General</c:formatCode>
              <c:ptCount val="1"/>
              <c:pt idx="0">
                <c:v>1</c:v>
              </c:pt>
            </c:numLit>
          </c:bubbleSize>
        </c:ser>
        <c:ser>
          <c:idx val="12"/>
          <c:order val="10"/>
          <c:tx>
            <c:v>3a2</c:v>
          </c:tx>
          <c:spPr>
            <a:solidFill>
              <a:srgbClr val="FF0000"/>
            </a:solidFill>
            <a:ln w="25400">
              <a:noFill/>
            </a:ln>
          </c:spPr>
          <c:xVal>
            <c:numRef>
              <c:f>sheet3!$BK$96</c:f>
            </c:numRef>
          </c:xVal>
          <c:yVal>
            <c:numRef>
              <c:f>sheet3!$BL$96</c:f>
            </c:numRef>
          </c:yVal>
          <c:bubbleSize>
            <c:numLit>
              <c:formatCode>General</c:formatCode>
              <c:ptCount val="1"/>
              <c:pt idx="0">
                <c:v>1</c:v>
              </c:pt>
            </c:numLit>
          </c:bubbleSize>
        </c:ser>
        <c:ser>
          <c:idx val="13"/>
          <c:order val="11"/>
          <c:tx>
            <c:v>3a3</c:v>
          </c:tx>
          <c:spPr>
            <a:solidFill>
              <a:srgbClr val="FF0000"/>
            </a:solidFill>
            <a:ln w="25400">
              <a:noFill/>
            </a:ln>
          </c:spPr>
          <c:xVal>
            <c:numRef>
              <c:f>sheet3!$BK$97</c:f>
            </c:numRef>
          </c:xVal>
          <c:yVal>
            <c:numRef>
              <c:f>sheet3!$BL$97</c:f>
            </c:numRef>
          </c:yVal>
          <c:bubbleSize>
            <c:numLit>
              <c:formatCode>General</c:formatCode>
              <c:ptCount val="1"/>
              <c:pt idx="0">
                <c:v>1</c:v>
              </c:pt>
            </c:numLit>
          </c:bubbleSize>
        </c:ser>
        <c:ser>
          <c:idx val="14"/>
          <c:order val="12"/>
          <c:tx>
            <c:v>3b1</c:v>
          </c:tx>
          <c:spPr>
            <a:solidFill>
              <a:srgbClr val="FF0000"/>
            </a:solidFill>
            <a:ln w="25400">
              <a:noFill/>
            </a:ln>
          </c:spPr>
          <c:xVal>
            <c:numRef>
              <c:f>sheet3!$BK$98</c:f>
            </c:numRef>
          </c:xVal>
          <c:yVal>
            <c:numRef>
              <c:f>sheet3!$BL$98</c:f>
            </c:numRef>
          </c:yVal>
          <c:bubbleSize>
            <c:numLit>
              <c:formatCode>General</c:formatCode>
              <c:ptCount val="1"/>
              <c:pt idx="0">
                <c:v>1</c:v>
              </c:pt>
            </c:numLit>
          </c:bubbleSize>
        </c:ser>
        <c:ser>
          <c:idx val="15"/>
          <c:order val="13"/>
          <c:tx>
            <c:v>3b2</c:v>
          </c:tx>
          <c:spPr>
            <a:solidFill>
              <a:srgbClr val="FF0000"/>
            </a:solidFill>
            <a:ln w="25400">
              <a:noFill/>
            </a:ln>
          </c:spPr>
          <c:xVal>
            <c:numRef>
              <c:f>sheet3!$BK$99</c:f>
            </c:numRef>
          </c:xVal>
          <c:yVal>
            <c:numRef>
              <c:f>sheet3!$BL$99</c:f>
            </c:numRef>
          </c:yVal>
          <c:bubbleSize>
            <c:numLit>
              <c:formatCode>General</c:formatCode>
              <c:ptCount val="1"/>
              <c:pt idx="0">
                <c:v>1</c:v>
              </c:pt>
            </c:numLit>
          </c:bubbleSize>
        </c:ser>
        <c:ser>
          <c:idx val="16"/>
          <c:order val="14"/>
          <c:tx>
            <c:v>3b3</c:v>
          </c:tx>
          <c:spPr>
            <a:solidFill>
              <a:srgbClr val="FF0000"/>
            </a:solidFill>
            <a:ln w="25400">
              <a:noFill/>
            </a:ln>
          </c:spPr>
          <c:xVal>
            <c:numRef>
              <c:f>sheet3!$BK$100</c:f>
            </c:numRef>
          </c:xVal>
          <c:yVal>
            <c:numRef>
              <c:f>sheet3!$BL$100</c:f>
            </c:numRef>
          </c:yVal>
          <c:bubbleSize>
            <c:numLit>
              <c:formatCode>General</c:formatCode>
              <c:ptCount val="1"/>
              <c:pt idx="0">
                <c:v>1</c:v>
              </c:pt>
            </c:numLit>
          </c:bubbleSize>
        </c:ser>
        <c:ser>
          <c:idx val="17"/>
          <c:order val="15"/>
          <c:tx>
            <c:v>3c1</c:v>
          </c:tx>
          <c:spPr>
            <a:solidFill>
              <a:srgbClr val="FF0000"/>
            </a:solidFill>
            <a:ln w="25400">
              <a:noFill/>
            </a:ln>
          </c:spPr>
          <c:xVal>
            <c:numRef>
              <c:f>sheet3!$BK$101</c:f>
            </c:numRef>
          </c:xVal>
          <c:yVal>
            <c:numRef>
              <c:f>sheet3!$BL$101</c:f>
            </c:numRef>
          </c:yVal>
          <c:bubbleSize>
            <c:numLit>
              <c:formatCode>General</c:formatCode>
              <c:ptCount val="1"/>
              <c:pt idx="0">
                <c:v>1</c:v>
              </c:pt>
            </c:numLit>
          </c:bubbleSize>
        </c:ser>
        <c:ser>
          <c:idx val="18"/>
          <c:order val="16"/>
          <c:tx>
            <c:v>3c2</c:v>
          </c:tx>
          <c:spPr>
            <a:solidFill>
              <a:srgbClr val="FF0000"/>
            </a:solidFill>
            <a:ln w="25400">
              <a:noFill/>
            </a:ln>
          </c:spPr>
          <c:xVal>
            <c:numRef>
              <c:f>sheet3!$BK$102</c:f>
            </c:numRef>
          </c:xVal>
          <c:yVal>
            <c:numRef>
              <c:f>sheet3!$BL$102</c:f>
            </c:numRef>
          </c:yVal>
          <c:bubbleSize>
            <c:numLit>
              <c:formatCode>General</c:formatCode>
              <c:ptCount val="1"/>
              <c:pt idx="0">
                <c:v>1</c:v>
              </c:pt>
            </c:numLit>
          </c:bubbleSize>
        </c:ser>
        <c:ser>
          <c:idx val="19"/>
          <c:order val="17"/>
          <c:tx>
            <c:v>3c3</c:v>
          </c:tx>
          <c:spPr>
            <a:solidFill>
              <a:srgbClr val="FF0000"/>
            </a:solidFill>
            <a:ln w="25400">
              <a:noFill/>
            </a:ln>
          </c:spPr>
          <c:xVal>
            <c:numRef>
              <c:f>sheet3!$BK$103</c:f>
            </c:numRef>
          </c:xVal>
          <c:yVal>
            <c:numRef>
              <c:f>sheet3!$BL$103</c:f>
            </c:numRef>
          </c:yVal>
          <c:bubbleSize>
            <c:numLit>
              <c:formatCode>General</c:formatCode>
              <c:ptCount val="1"/>
              <c:pt idx="0">
                <c:v>1</c:v>
              </c:pt>
            </c:numLit>
          </c:bubbleSize>
        </c:ser>
        <c:ser>
          <c:idx val="20"/>
          <c:order val="18"/>
          <c:tx>
            <c:v>1ar1</c:v>
          </c:tx>
          <c:spPr>
            <a:solidFill>
              <a:srgbClr val="FF0000"/>
            </a:solidFill>
            <a:ln w="25400">
              <a:noFill/>
            </a:ln>
          </c:spPr>
          <c:xVal>
            <c:numRef>
              <c:f>sheet3!$BO$83</c:f>
            </c:numRef>
          </c:xVal>
          <c:yVal>
            <c:numRef>
              <c:f>sheet3!$BP$83</c:f>
            </c:numRef>
          </c:yVal>
          <c:bubbleSize>
            <c:numLit>
              <c:formatCode>General</c:formatCode>
              <c:ptCount val="1"/>
              <c:pt idx="0">
                <c:v>1</c:v>
              </c:pt>
            </c:numLit>
          </c:bubbleSize>
        </c:ser>
        <c:ser>
          <c:idx val="21"/>
          <c:order val="19"/>
          <c:tx>
            <c:v>1ar2</c:v>
          </c:tx>
          <c:spPr>
            <a:solidFill>
              <a:srgbClr val="FF0000"/>
            </a:solidFill>
            <a:ln w="25400">
              <a:noFill/>
            </a:ln>
          </c:spPr>
          <c:xVal>
            <c:numRef>
              <c:f>sheet3!$BO$84</c:f>
            </c:numRef>
          </c:xVal>
          <c:yVal>
            <c:numRef>
              <c:f>sheet3!$BP$84</c:f>
            </c:numRef>
          </c:yVal>
          <c:bubbleSize>
            <c:numLit>
              <c:formatCode>General</c:formatCode>
              <c:ptCount val="1"/>
              <c:pt idx="0">
                <c:v>1</c:v>
              </c:pt>
            </c:numLit>
          </c:bubbleSize>
        </c:ser>
        <c:ser>
          <c:idx val="22"/>
          <c:order val="20"/>
          <c:tx>
            <c:v>1br1</c:v>
          </c:tx>
          <c:spPr>
            <a:solidFill>
              <a:srgbClr val="FF0000"/>
            </a:solidFill>
            <a:ln w="25400">
              <a:noFill/>
            </a:ln>
          </c:spPr>
          <c:xVal>
            <c:numRef>
              <c:f>sheet3!$BO$85</c:f>
            </c:numRef>
          </c:xVal>
          <c:yVal>
            <c:numRef>
              <c:f>sheet3!$BP$85</c:f>
            </c:numRef>
          </c:yVal>
          <c:bubbleSize>
            <c:numLit>
              <c:formatCode>General</c:formatCode>
              <c:ptCount val="1"/>
              <c:pt idx="0">
                <c:v>1</c:v>
              </c:pt>
            </c:numLit>
          </c:bubbleSize>
        </c:ser>
        <c:ser>
          <c:idx val="23"/>
          <c:order val="21"/>
          <c:tx>
            <c:v>1cr1</c:v>
          </c:tx>
          <c:spPr>
            <a:solidFill>
              <a:srgbClr val="FF0000"/>
            </a:solidFill>
            <a:ln w="25400">
              <a:noFill/>
            </a:ln>
          </c:spPr>
          <c:xVal>
            <c:numRef>
              <c:f>sheet3!$BO$86</c:f>
            </c:numRef>
          </c:xVal>
          <c:yVal>
            <c:numRef>
              <c:f>sheet3!$BP$86</c:f>
            </c:numRef>
          </c:yVal>
          <c:bubbleSize>
            <c:numLit>
              <c:formatCode>General</c:formatCode>
              <c:ptCount val="1"/>
              <c:pt idx="0">
                <c:v>1</c:v>
              </c:pt>
            </c:numLit>
          </c:bubbleSize>
        </c:ser>
        <c:ser>
          <c:idx val="24"/>
          <c:order val="22"/>
          <c:tx>
            <c:v>1ar2</c:v>
          </c:tx>
          <c:spPr>
            <a:ln w="25400">
              <a:noFill/>
            </a:ln>
          </c:spPr>
          <c:xVal>
            <c:numRef>
              <c:f>sheet3!$BO$87</c:f>
            </c:numRef>
          </c:xVal>
          <c:yVal>
            <c:numRef>
              <c:f>sheet3!$BP$87</c:f>
            </c:numRef>
          </c:yVal>
          <c:bubbleSize>
            <c:numLit>
              <c:formatCode>General</c:formatCode>
              <c:ptCount val="1"/>
              <c:pt idx="0">
                <c:v>1</c:v>
              </c:pt>
            </c:numLit>
          </c:bubbleSize>
        </c:ser>
        <c:ser>
          <c:idx val="25"/>
          <c:order val="23"/>
          <c:tx>
            <c:v>1cr2</c:v>
          </c:tx>
          <c:spPr>
            <a:ln w="25400">
              <a:noFill/>
            </a:ln>
          </c:spPr>
          <c:xVal>
            <c:numRef>
              <c:f>sheet3!$BO$88</c:f>
            </c:numRef>
          </c:xVal>
          <c:yVal>
            <c:numRef>
              <c:f>sheet3!$BP$88</c:f>
            </c:numRef>
          </c:yVal>
          <c:bubbleSize>
            <c:numLit>
              <c:formatCode>General</c:formatCode>
              <c:ptCount val="1"/>
              <c:pt idx="0">
                <c:v>1</c:v>
              </c:pt>
            </c:numLit>
          </c:bubbleSize>
        </c:ser>
        <c:ser>
          <c:idx val="26"/>
          <c:order val="24"/>
          <c:tx>
            <c:v>1ar3</c:v>
          </c:tx>
          <c:spPr>
            <a:solidFill>
              <a:srgbClr val="FF0000"/>
            </a:solidFill>
            <a:ln w="25400">
              <a:noFill/>
            </a:ln>
          </c:spPr>
          <c:xVal>
            <c:numRef>
              <c:f>sheet3!$BO$89</c:f>
            </c:numRef>
          </c:xVal>
          <c:yVal>
            <c:numRef>
              <c:f>sheet3!$BP$89</c:f>
            </c:numRef>
          </c:yVal>
          <c:bubbleSize>
            <c:numLit>
              <c:formatCode>General</c:formatCode>
              <c:ptCount val="1"/>
              <c:pt idx="0">
                <c:v>1</c:v>
              </c:pt>
            </c:numLit>
          </c:bubbleSize>
        </c:ser>
        <c:ser>
          <c:idx val="27"/>
          <c:order val="25"/>
          <c:tx>
            <c:v>1br2</c:v>
          </c:tx>
          <c:spPr>
            <a:solidFill>
              <a:srgbClr val="FF0000"/>
            </a:solidFill>
            <a:ln w="25400">
              <a:noFill/>
            </a:ln>
          </c:spPr>
          <c:xVal>
            <c:numRef>
              <c:f>sheet3!$BO$90</c:f>
            </c:numRef>
          </c:xVal>
          <c:yVal>
            <c:numRef>
              <c:f>sheet3!$BP$90</c:f>
            </c:numRef>
          </c:yVal>
          <c:bubbleSize>
            <c:numLit>
              <c:formatCode>General</c:formatCode>
              <c:ptCount val="1"/>
              <c:pt idx="0">
                <c:v>1</c:v>
              </c:pt>
            </c:numLit>
          </c:bubbleSize>
        </c:ser>
        <c:ser>
          <c:idx val="28"/>
          <c:order val="26"/>
          <c:tx>
            <c:v>1cr2</c:v>
          </c:tx>
          <c:spPr>
            <a:solidFill>
              <a:srgbClr val="FF0000"/>
            </a:solidFill>
            <a:ln w="25400">
              <a:noFill/>
            </a:ln>
          </c:spPr>
          <c:xVal>
            <c:numRef>
              <c:f>sheet3!$BO$91</c:f>
            </c:numRef>
          </c:xVal>
          <c:yVal>
            <c:numRef>
              <c:f>sheet3!$BP$91</c:f>
            </c:numRef>
          </c:yVal>
          <c:bubbleSize>
            <c:numLit>
              <c:formatCode>General</c:formatCode>
              <c:ptCount val="1"/>
              <c:pt idx="0">
                <c:v>1</c:v>
              </c:pt>
            </c:numLit>
          </c:bubbleSize>
        </c:ser>
        <c:ser>
          <c:idx val="29"/>
          <c:order val="27"/>
          <c:tx>
            <c:v>1br3</c:v>
          </c:tx>
          <c:spPr>
            <a:solidFill>
              <a:srgbClr val="FF0000"/>
            </a:solidFill>
            <a:ln w="25400">
              <a:noFill/>
            </a:ln>
          </c:spPr>
          <c:xVal>
            <c:numRef>
              <c:f>sheet3!$BO$92</c:f>
            </c:numRef>
          </c:xVal>
          <c:yVal>
            <c:numRef>
              <c:f>sheet3!$BP$92</c:f>
            </c:numRef>
          </c:yVal>
          <c:bubbleSize>
            <c:numLit>
              <c:formatCode>General</c:formatCode>
              <c:ptCount val="1"/>
              <c:pt idx="0">
                <c:v>1</c:v>
              </c:pt>
            </c:numLit>
          </c:bubbleSize>
        </c:ser>
        <c:ser>
          <c:idx val="30"/>
          <c:order val="28"/>
          <c:tx>
            <c:v>1cr3</c:v>
          </c:tx>
          <c:spPr>
            <a:solidFill>
              <a:srgbClr val="FF0000"/>
            </a:solidFill>
            <a:ln w="25400">
              <a:noFill/>
            </a:ln>
          </c:spPr>
          <c:xVal>
            <c:numRef>
              <c:f>sheet3!$BO$93</c:f>
            </c:numRef>
          </c:xVal>
          <c:yVal>
            <c:numRef>
              <c:f>sheet3!$BP$93</c:f>
            </c:numRef>
          </c:yVal>
          <c:bubbleSize>
            <c:numLit>
              <c:formatCode>General</c:formatCode>
              <c:ptCount val="1"/>
              <c:pt idx="0">
                <c:v>1</c:v>
              </c:pt>
            </c:numLit>
          </c:bubbleSize>
        </c:ser>
        <c:ser>
          <c:idx val="31"/>
          <c:order val="29"/>
          <c:tx>
            <c:v>3ar1</c:v>
          </c:tx>
          <c:spPr>
            <a:solidFill>
              <a:srgbClr val="FF0000"/>
            </a:solidFill>
            <a:ln w="25400">
              <a:noFill/>
            </a:ln>
          </c:spPr>
          <c:xVal>
            <c:numRef>
              <c:f>sheet3!$BO$95</c:f>
            </c:numRef>
          </c:xVal>
          <c:yVal>
            <c:numRef>
              <c:f>sheet3!$BP$95</c:f>
            </c:numRef>
          </c:yVal>
          <c:bubbleSize>
            <c:numLit>
              <c:formatCode>General</c:formatCode>
              <c:ptCount val="1"/>
              <c:pt idx="0">
                <c:v>1</c:v>
              </c:pt>
            </c:numLit>
          </c:bubbleSize>
        </c:ser>
        <c:ser>
          <c:idx val="32"/>
          <c:order val="30"/>
          <c:tx>
            <c:v>3ar2</c:v>
          </c:tx>
          <c:spPr>
            <a:solidFill>
              <a:srgbClr val="FF0000"/>
            </a:solidFill>
            <a:ln w="25400">
              <a:noFill/>
            </a:ln>
          </c:spPr>
          <c:xVal>
            <c:numRef>
              <c:f>sheet3!$BO$96</c:f>
            </c:numRef>
          </c:xVal>
          <c:yVal>
            <c:numRef>
              <c:f>sheet3!$BP$96</c:f>
            </c:numRef>
          </c:yVal>
          <c:bubbleSize>
            <c:numLit>
              <c:formatCode>General</c:formatCode>
              <c:ptCount val="1"/>
              <c:pt idx="0">
                <c:v>1</c:v>
              </c:pt>
            </c:numLit>
          </c:bubbleSize>
        </c:ser>
        <c:ser>
          <c:idx val="33"/>
          <c:order val="31"/>
          <c:tx>
            <c:v>3ar3</c:v>
          </c:tx>
          <c:spPr>
            <a:solidFill>
              <a:srgbClr val="FF0000"/>
            </a:solidFill>
            <a:ln w="25400">
              <a:noFill/>
            </a:ln>
          </c:spPr>
          <c:xVal>
            <c:numRef>
              <c:f>sheet3!$BO$97</c:f>
            </c:numRef>
          </c:xVal>
          <c:yVal>
            <c:numRef>
              <c:f>sheet3!$BP$97</c:f>
            </c:numRef>
          </c:yVal>
          <c:bubbleSize>
            <c:numLit>
              <c:formatCode>General</c:formatCode>
              <c:ptCount val="1"/>
              <c:pt idx="0">
                <c:v>1</c:v>
              </c:pt>
            </c:numLit>
          </c:bubbleSize>
        </c:ser>
        <c:ser>
          <c:idx val="34"/>
          <c:order val="32"/>
          <c:tx>
            <c:v>3br1</c:v>
          </c:tx>
          <c:spPr>
            <a:solidFill>
              <a:srgbClr val="FF0000"/>
            </a:solidFill>
            <a:ln w="25400">
              <a:noFill/>
            </a:ln>
          </c:spPr>
          <c:xVal>
            <c:numRef>
              <c:f>sheet3!$BO$98</c:f>
            </c:numRef>
          </c:xVal>
          <c:yVal>
            <c:numRef>
              <c:f>sheet3!$BP$98</c:f>
            </c:numRef>
          </c:yVal>
          <c:bubbleSize>
            <c:numLit>
              <c:formatCode>General</c:formatCode>
              <c:ptCount val="1"/>
              <c:pt idx="0">
                <c:v>1</c:v>
              </c:pt>
            </c:numLit>
          </c:bubbleSize>
        </c:ser>
        <c:ser>
          <c:idx val="35"/>
          <c:order val="33"/>
          <c:tx>
            <c:v>3br2</c:v>
          </c:tx>
          <c:spPr>
            <a:solidFill>
              <a:srgbClr val="FF0000"/>
            </a:solidFill>
            <a:ln w="25400">
              <a:noFill/>
            </a:ln>
          </c:spPr>
          <c:xVal>
            <c:numRef>
              <c:f>sheet3!$BO$99</c:f>
            </c:numRef>
          </c:xVal>
          <c:yVal>
            <c:numRef>
              <c:f>sheet3!$BP$99</c:f>
            </c:numRef>
          </c:yVal>
          <c:bubbleSize>
            <c:numLit>
              <c:formatCode>General</c:formatCode>
              <c:ptCount val="1"/>
              <c:pt idx="0">
                <c:v>1</c:v>
              </c:pt>
            </c:numLit>
          </c:bubbleSize>
        </c:ser>
        <c:ser>
          <c:idx val="36"/>
          <c:order val="34"/>
          <c:tx>
            <c:v>3br3</c:v>
          </c:tx>
          <c:spPr>
            <a:solidFill>
              <a:srgbClr val="FF0000"/>
            </a:solidFill>
            <a:ln w="25400">
              <a:noFill/>
            </a:ln>
          </c:spPr>
          <c:xVal>
            <c:numRef>
              <c:f>sheet3!$BO$100</c:f>
            </c:numRef>
          </c:xVal>
          <c:yVal>
            <c:numRef>
              <c:f>sheet3!$BP$100</c:f>
            </c:numRef>
          </c:yVal>
          <c:bubbleSize>
            <c:numLit>
              <c:formatCode>General</c:formatCode>
              <c:ptCount val="1"/>
              <c:pt idx="0">
                <c:v>1</c:v>
              </c:pt>
            </c:numLit>
          </c:bubbleSize>
        </c:ser>
        <c:ser>
          <c:idx val="37"/>
          <c:order val="35"/>
          <c:tx>
            <c:v>3cr1</c:v>
          </c:tx>
          <c:spPr>
            <a:solidFill>
              <a:srgbClr val="FF0000"/>
            </a:solidFill>
            <a:ln w="25400">
              <a:noFill/>
            </a:ln>
          </c:spPr>
          <c:xVal>
            <c:numRef>
              <c:f>sheet3!$BO$101</c:f>
            </c:numRef>
          </c:xVal>
          <c:yVal>
            <c:numRef>
              <c:f>sheet3!$BP$101</c:f>
            </c:numRef>
          </c:yVal>
          <c:bubbleSize>
            <c:numLit>
              <c:formatCode>General</c:formatCode>
              <c:ptCount val="1"/>
              <c:pt idx="0">
                <c:v>1</c:v>
              </c:pt>
            </c:numLit>
          </c:bubbleSize>
        </c:ser>
        <c:ser>
          <c:idx val="38"/>
          <c:order val="36"/>
          <c:tx>
            <c:v>3cr2</c:v>
          </c:tx>
          <c:spPr>
            <a:solidFill>
              <a:srgbClr val="FF0000"/>
            </a:solidFill>
            <a:ln w="25400">
              <a:noFill/>
            </a:ln>
          </c:spPr>
          <c:xVal>
            <c:numRef>
              <c:f>sheet3!$BO$102</c:f>
            </c:numRef>
          </c:xVal>
          <c:yVal>
            <c:numRef>
              <c:f>sheet3!$BP$102</c:f>
            </c:numRef>
          </c:yVal>
          <c:bubbleSize>
            <c:numLit>
              <c:formatCode>General</c:formatCode>
              <c:ptCount val="1"/>
              <c:pt idx="0">
                <c:v>1</c:v>
              </c:pt>
            </c:numLit>
          </c:bubbleSize>
        </c:ser>
        <c:ser>
          <c:idx val="39"/>
          <c:order val="37"/>
          <c:tx>
            <c:v>3cr3</c:v>
          </c:tx>
          <c:spPr>
            <a:solidFill>
              <a:srgbClr val="FF0000"/>
            </a:solidFill>
            <a:ln w="25400">
              <a:noFill/>
            </a:ln>
          </c:spPr>
          <c:xVal>
            <c:numRef>
              <c:f>sheet3!$BO$103</c:f>
            </c:numRef>
          </c:xVal>
          <c:yVal>
            <c:numRef>
              <c:f>sheet3!$BP$103</c:f>
            </c:numRef>
          </c:yVal>
          <c:bubbleSize>
            <c:numLit>
              <c:formatCode>General</c:formatCode>
              <c:ptCount val="1"/>
              <c:pt idx="0">
                <c:v>1</c:v>
              </c:pt>
            </c:numLit>
          </c:bubbleSize>
        </c:ser>
        <c:bubbleScale val="10"/>
        <c:sizeRepresents val="w"/>
        <c:axId val="77812864"/>
        <c:axId val="77814400"/>
      </c:bubbleChart>
      <c:valAx>
        <c:axId val="77812864"/>
        <c:scaling>
          <c:orientation val="minMax"/>
          <c:max val="6"/>
          <c:min val="0"/>
        </c:scaling>
        <c:axPos val="b"/>
        <c:numFmt formatCode="General" sourceLinked="1"/>
        <c:tickLblPos val="nextTo"/>
        <c:crossAx val="77814400"/>
        <c:crosses val="autoZero"/>
        <c:crossBetween val="midCat"/>
        <c:majorUnit val="1"/>
        <c:minorUnit val="1"/>
      </c:valAx>
      <c:valAx>
        <c:axId val="77814400"/>
        <c:scaling>
          <c:orientation val="minMax"/>
          <c:max val="6"/>
          <c:min val="0"/>
        </c:scaling>
        <c:axPos val="l"/>
        <c:majorGridlines/>
        <c:numFmt formatCode="General" sourceLinked="1"/>
        <c:tickLblPos val="nextTo"/>
        <c:crossAx val="77812864"/>
        <c:crosses val="autoZero"/>
        <c:crossBetween val="midCat"/>
        <c:majorUnit val="1"/>
        <c:minorUnit val="1"/>
      </c:valAx>
      <c:spPr>
        <a:noFill/>
      </c:spPr>
    </c:plotArea>
    <c:plotVisOnly val="1"/>
  </c:chart>
  <c:spPr>
    <a:noFill/>
  </c:spPr>
  <c:printSettings>
    <c:headerFooter/>
    <c:pageMargins b="0.75000000000000167" l="0.70000000000000062" r="0.70000000000000062" t="0.7500000000000016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th-TH"/>
  <c:chart>
    <c:autoTitleDeleted val="1"/>
    <c:plotArea>
      <c:layout>
        <c:manualLayout>
          <c:layoutTarget val="inner"/>
          <c:xMode val="edge"/>
          <c:yMode val="edge"/>
          <c:x val="8.9467221770616043E-2"/>
          <c:y val="0.15955762676584401"/>
          <c:w val="0.77132505633174331"/>
          <c:h val="0.70316641880691089"/>
        </c:manualLayout>
      </c:layout>
      <c:bubbleChart>
        <c:ser>
          <c:idx val="0"/>
          <c:order val="0"/>
          <c:yVal>
            <c:numRef>
              <c:f>sheet3!$BJ$89:$BJ$90</c:f>
            </c:numRef>
          </c:yVal>
          <c:bubbleSize>
            <c:numRef>
              <c:f>sheet3!$BK$89:$BK$90</c:f>
            </c:numRef>
          </c:bubbleSize>
        </c:ser>
        <c:ser>
          <c:idx val="1"/>
          <c:order val="1"/>
          <c:tx>
            <c:v>1</c:v>
          </c:tx>
          <c:spPr>
            <a:solidFill>
              <a:srgbClr val="FF0000"/>
            </a:solidFill>
            <a:ln w="25400">
              <a:noFill/>
            </a:ln>
          </c:spPr>
          <c:xVal>
            <c:numRef>
              <c:f>sheet3!$BK$83</c:f>
            </c:numRef>
          </c:xVal>
          <c:yVal>
            <c:numRef>
              <c:f>sheet3!$BL$83</c:f>
            </c:numRef>
          </c:yVal>
          <c:bubbleSize>
            <c:numLit>
              <c:formatCode>General</c:formatCode>
              <c:ptCount val="2"/>
              <c:pt idx="0">
                <c:v>1</c:v>
              </c:pt>
              <c:pt idx="1">
                <c:v>1</c:v>
              </c:pt>
            </c:numLit>
          </c:bubbleSize>
        </c:ser>
        <c:ser>
          <c:idx val="2"/>
          <c:order val="2"/>
          <c:tx>
            <c:v>2</c:v>
          </c:tx>
          <c:spPr>
            <a:solidFill>
              <a:srgbClr val="FF0000"/>
            </a:solidFill>
            <a:ln w="25400">
              <a:noFill/>
            </a:ln>
          </c:spPr>
          <c:xVal>
            <c:numRef>
              <c:f>sheet3!$BK$84</c:f>
            </c:numRef>
          </c:xVal>
          <c:yVal>
            <c:numRef>
              <c:f>sheet3!$BL$84</c:f>
            </c:numRef>
          </c:yVal>
          <c:bubbleSize>
            <c:numLit>
              <c:formatCode>General</c:formatCode>
              <c:ptCount val="1"/>
              <c:pt idx="0">
                <c:v>1</c:v>
              </c:pt>
            </c:numLit>
          </c:bubbleSize>
        </c:ser>
        <c:ser>
          <c:idx val="3"/>
          <c:order val="3"/>
          <c:tx>
            <c:v>1mid</c:v>
          </c:tx>
          <c:spPr>
            <a:solidFill>
              <a:srgbClr val="FF0000"/>
            </a:solidFill>
            <a:ln w="25400">
              <a:noFill/>
            </a:ln>
          </c:spPr>
          <c:xVal>
            <c:numRef>
              <c:f>sheet3!$BK$85</c:f>
            </c:numRef>
          </c:xVal>
          <c:yVal>
            <c:numRef>
              <c:f>sheet3!$BL$85</c:f>
            </c:numRef>
          </c:yVal>
          <c:bubbleSize>
            <c:numLit>
              <c:formatCode>General</c:formatCode>
              <c:ptCount val="1"/>
              <c:pt idx="0">
                <c:v>1</c:v>
              </c:pt>
            </c:numLit>
          </c:bubbleSize>
        </c:ser>
        <c:ser>
          <c:idx val="4"/>
          <c:order val="4"/>
          <c:tx>
            <c:v>1c1</c:v>
          </c:tx>
          <c:spPr>
            <a:solidFill>
              <a:srgbClr val="FF0000"/>
            </a:solidFill>
            <a:ln w="25400">
              <a:noFill/>
            </a:ln>
          </c:spPr>
          <c:xVal>
            <c:numRef>
              <c:f>sheet3!$BK$86</c:f>
            </c:numRef>
          </c:xVal>
          <c:yVal>
            <c:numRef>
              <c:f>sheet3!$BL$86</c:f>
            </c:numRef>
          </c:yVal>
          <c:bubbleSize>
            <c:numLit>
              <c:formatCode>General</c:formatCode>
              <c:ptCount val="1"/>
              <c:pt idx="0">
                <c:v>1</c:v>
              </c:pt>
            </c:numLit>
          </c:bubbleSize>
        </c:ser>
        <c:ser>
          <c:idx val="5"/>
          <c:order val="5"/>
          <c:tx>
            <c:v>1a2</c:v>
          </c:tx>
          <c:spPr>
            <a:ln w="25400">
              <a:noFill/>
            </a:ln>
          </c:spPr>
          <c:xVal>
            <c:numRef>
              <c:f>sheet3!$BK$87</c:f>
            </c:numRef>
          </c:xVal>
          <c:yVal>
            <c:numRef>
              <c:f>sheet3!$BL$87</c:f>
            </c:numRef>
          </c:yVal>
          <c:bubbleSize>
            <c:numLit>
              <c:formatCode>General</c:formatCode>
              <c:ptCount val="1"/>
              <c:pt idx="0">
                <c:v>1</c:v>
              </c:pt>
            </c:numLit>
          </c:bubbleSize>
        </c:ser>
        <c:ser>
          <c:idx val="6"/>
          <c:order val="6"/>
          <c:tx>
            <c:v>1a3</c:v>
          </c:tx>
          <c:spPr>
            <a:solidFill>
              <a:srgbClr val="FF0000"/>
            </a:solidFill>
            <a:ln w="25400">
              <a:noFill/>
            </a:ln>
          </c:spPr>
          <c:xVal>
            <c:numRef>
              <c:f>sheet3!$BK$89</c:f>
            </c:numRef>
          </c:xVal>
          <c:yVal>
            <c:numRef>
              <c:f>sheet3!$BL$89</c:f>
            </c:numRef>
          </c:yVal>
          <c:bubbleSize>
            <c:numLit>
              <c:formatCode>General</c:formatCode>
              <c:ptCount val="1"/>
              <c:pt idx="0">
                <c:v>1</c:v>
              </c:pt>
            </c:numLit>
          </c:bubbleSize>
        </c:ser>
        <c:ser>
          <c:idx val="7"/>
          <c:order val="7"/>
          <c:tx>
            <c:v>1b2</c:v>
          </c:tx>
          <c:spPr>
            <a:solidFill>
              <a:srgbClr val="FF0000"/>
            </a:solidFill>
            <a:ln w="25400">
              <a:noFill/>
            </a:ln>
          </c:spPr>
          <c:xVal>
            <c:numRef>
              <c:f>sheet3!$BK$90</c:f>
            </c:numRef>
          </c:xVal>
          <c:yVal>
            <c:numRef>
              <c:f>sheet3!$BL$90</c:f>
            </c:numRef>
          </c:yVal>
          <c:bubbleSize>
            <c:numLit>
              <c:formatCode>General</c:formatCode>
              <c:ptCount val="1"/>
              <c:pt idx="0">
                <c:v>1</c:v>
              </c:pt>
            </c:numLit>
          </c:bubbleSize>
        </c:ser>
        <c:ser>
          <c:idx val="8"/>
          <c:order val="8"/>
          <c:tx>
            <c:v>1c3</c:v>
          </c:tx>
          <c:spPr>
            <a:solidFill>
              <a:srgbClr val="FF0000"/>
            </a:solidFill>
            <a:ln w="25400">
              <a:noFill/>
            </a:ln>
          </c:spPr>
          <c:xVal>
            <c:numRef>
              <c:f>sheet3!$BK$91</c:f>
            </c:numRef>
          </c:xVal>
          <c:yVal>
            <c:numRef>
              <c:f>sheet3!$BL$91</c:f>
            </c:numRef>
          </c:yVal>
          <c:bubbleSize>
            <c:numLit>
              <c:formatCode>General</c:formatCode>
              <c:ptCount val="1"/>
              <c:pt idx="0">
                <c:v>1</c:v>
              </c:pt>
            </c:numLit>
          </c:bubbleSize>
        </c:ser>
        <c:ser>
          <c:idx val="9"/>
          <c:order val="9"/>
          <c:tx>
            <c:v>1b3</c:v>
          </c:tx>
          <c:spPr>
            <a:solidFill>
              <a:srgbClr val="FF0000"/>
            </a:solidFill>
            <a:ln w="25400">
              <a:noFill/>
            </a:ln>
          </c:spPr>
          <c:xVal>
            <c:numRef>
              <c:f>sheet3!$BK$92</c:f>
            </c:numRef>
          </c:xVal>
          <c:yVal>
            <c:numRef>
              <c:f>sheet3!$BL$92</c:f>
            </c:numRef>
          </c:yVal>
          <c:bubbleSize>
            <c:numLit>
              <c:formatCode>General</c:formatCode>
              <c:ptCount val="1"/>
              <c:pt idx="0">
                <c:v>1</c:v>
              </c:pt>
            </c:numLit>
          </c:bubbleSize>
        </c:ser>
        <c:ser>
          <c:idx val="10"/>
          <c:order val="10"/>
          <c:tx>
            <c:v>1c3</c:v>
          </c:tx>
          <c:spPr>
            <a:solidFill>
              <a:srgbClr val="FF0000"/>
            </a:solidFill>
            <a:ln w="25400">
              <a:noFill/>
            </a:ln>
          </c:spPr>
          <c:xVal>
            <c:numRef>
              <c:f>sheet3!$BK$93</c:f>
            </c:numRef>
          </c:xVal>
          <c:yVal>
            <c:numRef>
              <c:f>sheet3!$BL$93</c:f>
            </c:numRef>
          </c:yVal>
          <c:bubbleSize>
            <c:numLit>
              <c:formatCode>General</c:formatCode>
              <c:ptCount val="1"/>
              <c:pt idx="0">
                <c:v>1</c:v>
              </c:pt>
            </c:numLit>
          </c:bubbleSize>
        </c:ser>
        <c:ser>
          <c:idx val="11"/>
          <c:order val="11"/>
          <c:tx>
            <c:v>3a1</c:v>
          </c:tx>
          <c:spPr>
            <a:solidFill>
              <a:srgbClr val="FF0000"/>
            </a:solidFill>
            <a:ln w="25400">
              <a:noFill/>
            </a:ln>
          </c:spPr>
          <c:xVal>
            <c:numRef>
              <c:f>sheet3!$BK$95</c:f>
            </c:numRef>
          </c:xVal>
          <c:yVal>
            <c:numRef>
              <c:f>sheet3!$BL$95</c:f>
            </c:numRef>
          </c:yVal>
          <c:bubbleSize>
            <c:numLit>
              <c:formatCode>General</c:formatCode>
              <c:ptCount val="1"/>
              <c:pt idx="0">
                <c:v>1</c:v>
              </c:pt>
            </c:numLit>
          </c:bubbleSize>
        </c:ser>
        <c:ser>
          <c:idx val="12"/>
          <c:order val="12"/>
          <c:tx>
            <c:v>3a2</c:v>
          </c:tx>
          <c:spPr>
            <a:solidFill>
              <a:srgbClr val="FF0000"/>
            </a:solidFill>
            <a:ln w="25400">
              <a:noFill/>
            </a:ln>
          </c:spPr>
          <c:xVal>
            <c:numRef>
              <c:f>sheet3!$BK$96</c:f>
            </c:numRef>
          </c:xVal>
          <c:yVal>
            <c:numRef>
              <c:f>sheet3!$BL$96</c:f>
            </c:numRef>
          </c:yVal>
          <c:bubbleSize>
            <c:numLit>
              <c:formatCode>General</c:formatCode>
              <c:ptCount val="1"/>
              <c:pt idx="0">
                <c:v>1</c:v>
              </c:pt>
            </c:numLit>
          </c:bubbleSize>
        </c:ser>
        <c:ser>
          <c:idx val="13"/>
          <c:order val="13"/>
          <c:tx>
            <c:v>3a3</c:v>
          </c:tx>
          <c:spPr>
            <a:solidFill>
              <a:srgbClr val="FF0000"/>
            </a:solidFill>
            <a:ln w="25400">
              <a:noFill/>
            </a:ln>
          </c:spPr>
          <c:xVal>
            <c:numRef>
              <c:f>sheet3!$BK$97</c:f>
            </c:numRef>
          </c:xVal>
          <c:yVal>
            <c:numRef>
              <c:f>sheet3!$BL$97</c:f>
            </c:numRef>
          </c:yVal>
          <c:bubbleSize>
            <c:numLit>
              <c:formatCode>General</c:formatCode>
              <c:ptCount val="1"/>
              <c:pt idx="0">
                <c:v>1</c:v>
              </c:pt>
            </c:numLit>
          </c:bubbleSize>
        </c:ser>
        <c:ser>
          <c:idx val="14"/>
          <c:order val="14"/>
          <c:tx>
            <c:v>3b1</c:v>
          </c:tx>
          <c:spPr>
            <a:solidFill>
              <a:srgbClr val="FF0000"/>
            </a:solidFill>
            <a:ln w="25400">
              <a:noFill/>
            </a:ln>
          </c:spPr>
          <c:xVal>
            <c:numRef>
              <c:f>sheet3!$BK$98</c:f>
            </c:numRef>
          </c:xVal>
          <c:yVal>
            <c:numRef>
              <c:f>sheet3!$BL$98</c:f>
            </c:numRef>
          </c:yVal>
          <c:bubbleSize>
            <c:numLit>
              <c:formatCode>General</c:formatCode>
              <c:ptCount val="1"/>
              <c:pt idx="0">
                <c:v>1</c:v>
              </c:pt>
            </c:numLit>
          </c:bubbleSize>
        </c:ser>
        <c:ser>
          <c:idx val="15"/>
          <c:order val="15"/>
          <c:tx>
            <c:v>3b2</c:v>
          </c:tx>
          <c:spPr>
            <a:solidFill>
              <a:srgbClr val="FF0000"/>
            </a:solidFill>
            <a:ln w="25400">
              <a:noFill/>
            </a:ln>
          </c:spPr>
          <c:xVal>
            <c:numRef>
              <c:f>sheet3!$BK$99</c:f>
            </c:numRef>
          </c:xVal>
          <c:yVal>
            <c:numRef>
              <c:f>sheet3!$BL$99</c:f>
            </c:numRef>
          </c:yVal>
          <c:bubbleSize>
            <c:numLit>
              <c:formatCode>General</c:formatCode>
              <c:ptCount val="1"/>
              <c:pt idx="0">
                <c:v>1</c:v>
              </c:pt>
            </c:numLit>
          </c:bubbleSize>
        </c:ser>
        <c:ser>
          <c:idx val="16"/>
          <c:order val="16"/>
          <c:tx>
            <c:v>3b3</c:v>
          </c:tx>
          <c:spPr>
            <a:solidFill>
              <a:srgbClr val="FF0000"/>
            </a:solidFill>
            <a:ln w="25400">
              <a:noFill/>
            </a:ln>
          </c:spPr>
          <c:xVal>
            <c:numRef>
              <c:f>sheet3!$BK$100</c:f>
            </c:numRef>
          </c:xVal>
          <c:yVal>
            <c:numRef>
              <c:f>sheet3!$BL$100</c:f>
            </c:numRef>
          </c:yVal>
          <c:bubbleSize>
            <c:numLit>
              <c:formatCode>General</c:formatCode>
              <c:ptCount val="1"/>
              <c:pt idx="0">
                <c:v>1</c:v>
              </c:pt>
            </c:numLit>
          </c:bubbleSize>
        </c:ser>
        <c:ser>
          <c:idx val="17"/>
          <c:order val="17"/>
          <c:tx>
            <c:v>3c1</c:v>
          </c:tx>
          <c:spPr>
            <a:solidFill>
              <a:srgbClr val="FF0000"/>
            </a:solidFill>
            <a:ln w="25400">
              <a:noFill/>
            </a:ln>
          </c:spPr>
          <c:xVal>
            <c:numRef>
              <c:f>sheet3!$BK$101</c:f>
            </c:numRef>
          </c:xVal>
          <c:yVal>
            <c:numRef>
              <c:f>sheet3!$BL$101</c:f>
            </c:numRef>
          </c:yVal>
          <c:bubbleSize>
            <c:numLit>
              <c:formatCode>General</c:formatCode>
              <c:ptCount val="1"/>
              <c:pt idx="0">
                <c:v>1</c:v>
              </c:pt>
            </c:numLit>
          </c:bubbleSize>
        </c:ser>
        <c:ser>
          <c:idx val="18"/>
          <c:order val="18"/>
          <c:tx>
            <c:v>3c2</c:v>
          </c:tx>
          <c:spPr>
            <a:solidFill>
              <a:srgbClr val="FF0000"/>
            </a:solidFill>
            <a:ln w="25400">
              <a:noFill/>
            </a:ln>
          </c:spPr>
          <c:xVal>
            <c:numRef>
              <c:f>sheet3!$BK$102</c:f>
            </c:numRef>
          </c:xVal>
          <c:yVal>
            <c:numRef>
              <c:f>sheet3!$BL$102</c:f>
            </c:numRef>
          </c:yVal>
          <c:bubbleSize>
            <c:numLit>
              <c:formatCode>General</c:formatCode>
              <c:ptCount val="1"/>
              <c:pt idx="0">
                <c:v>1</c:v>
              </c:pt>
            </c:numLit>
          </c:bubbleSize>
        </c:ser>
        <c:ser>
          <c:idx val="19"/>
          <c:order val="19"/>
          <c:tx>
            <c:v>3c3</c:v>
          </c:tx>
          <c:spPr>
            <a:solidFill>
              <a:srgbClr val="FF0000"/>
            </a:solidFill>
            <a:ln w="25400">
              <a:noFill/>
            </a:ln>
          </c:spPr>
          <c:xVal>
            <c:numRef>
              <c:f>sheet3!$BK$103</c:f>
            </c:numRef>
          </c:xVal>
          <c:yVal>
            <c:numRef>
              <c:f>sheet3!$BL$103</c:f>
            </c:numRef>
          </c:yVal>
          <c:bubbleSize>
            <c:numLit>
              <c:formatCode>General</c:formatCode>
              <c:ptCount val="1"/>
              <c:pt idx="0">
                <c:v>1</c:v>
              </c:pt>
            </c:numLit>
          </c:bubbleSize>
        </c:ser>
        <c:ser>
          <c:idx val="20"/>
          <c:order val="20"/>
          <c:tx>
            <c:v>1ar1</c:v>
          </c:tx>
          <c:spPr>
            <a:solidFill>
              <a:srgbClr val="FF0000"/>
            </a:solidFill>
            <a:ln w="25400">
              <a:noFill/>
            </a:ln>
          </c:spPr>
          <c:xVal>
            <c:numRef>
              <c:f>sheet3!$BO$83</c:f>
            </c:numRef>
          </c:xVal>
          <c:yVal>
            <c:numRef>
              <c:f>sheet3!$BP$83</c:f>
            </c:numRef>
          </c:yVal>
          <c:bubbleSize>
            <c:numLit>
              <c:formatCode>General</c:formatCode>
              <c:ptCount val="1"/>
              <c:pt idx="0">
                <c:v>1</c:v>
              </c:pt>
            </c:numLit>
          </c:bubbleSize>
        </c:ser>
        <c:ser>
          <c:idx val="21"/>
          <c:order val="21"/>
          <c:tx>
            <c:v>1ar2</c:v>
          </c:tx>
          <c:spPr>
            <a:solidFill>
              <a:srgbClr val="FF0000"/>
            </a:solidFill>
            <a:ln w="25400">
              <a:noFill/>
            </a:ln>
          </c:spPr>
          <c:xVal>
            <c:numRef>
              <c:f>sheet3!$BO$84</c:f>
            </c:numRef>
          </c:xVal>
          <c:yVal>
            <c:numRef>
              <c:f>sheet3!$BP$84</c:f>
            </c:numRef>
          </c:yVal>
          <c:bubbleSize>
            <c:numLit>
              <c:formatCode>General</c:formatCode>
              <c:ptCount val="1"/>
              <c:pt idx="0">
                <c:v>1</c:v>
              </c:pt>
            </c:numLit>
          </c:bubbleSize>
        </c:ser>
        <c:ser>
          <c:idx val="22"/>
          <c:order val="22"/>
          <c:tx>
            <c:v>1br1</c:v>
          </c:tx>
          <c:spPr>
            <a:solidFill>
              <a:srgbClr val="FF0000"/>
            </a:solidFill>
            <a:ln w="25400">
              <a:noFill/>
            </a:ln>
          </c:spPr>
          <c:xVal>
            <c:numRef>
              <c:f>sheet3!$BO$85</c:f>
            </c:numRef>
          </c:xVal>
          <c:yVal>
            <c:numRef>
              <c:f>sheet3!$BP$85</c:f>
            </c:numRef>
          </c:yVal>
          <c:bubbleSize>
            <c:numLit>
              <c:formatCode>General</c:formatCode>
              <c:ptCount val="1"/>
              <c:pt idx="0">
                <c:v>1</c:v>
              </c:pt>
            </c:numLit>
          </c:bubbleSize>
        </c:ser>
        <c:ser>
          <c:idx val="23"/>
          <c:order val="23"/>
          <c:tx>
            <c:v>1cr1</c:v>
          </c:tx>
          <c:spPr>
            <a:solidFill>
              <a:srgbClr val="FF0000"/>
            </a:solidFill>
            <a:ln w="25400">
              <a:noFill/>
            </a:ln>
          </c:spPr>
          <c:xVal>
            <c:numRef>
              <c:f>sheet3!$BO$86</c:f>
            </c:numRef>
          </c:xVal>
          <c:yVal>
            <c:numRef>
              <c:f>sheet3!$BP$86</c:f>
            </c:numRef>
          </c:yVal>
          <c:bubbleSize>
            <c:numLit>
              <c:formatCode>General</c:formatCode>
              <c:ptCount val="1"/>
              <c:pt idx="0">
                <c:v>1</c:v>
              </c:pt>
            </c:numLit>
          </c:bubbleSize>
        </c:ser>
        <c:ser>
          <c:idx val="24"/>
          <c:order val="24"/>
          <c:tx>
            <c:v>1ar2</c:v>
          </c:tx>
          <c:spPr>
            <a:ln w="25400">
              <a:noFill/>
            </a:ln>
          </c:spPr>
          <c:xVal>
            <c:numRef>
              <c:f>sheet3!$BO$87</c:f>
            </c:numRef>
          </c:xVal>
          <c:yVal>
            <c:numRef>
              <c:f>sheet3!$BP$87</c:f>
            </c:numRef>
          </c:yVal>
          <c:bubbleSize>
            <c:numLit>
              <c:formatCode>General</c:formatCode>
              <c:ptCount val="1"/>
              <c:pt idx="0">
                <c:v>1</c:v>
              </c:pt>
            </c:numLit>
          </c:bubbleSize>
        </c:ser>
        <c:ser>
          <c:idx val="25"/>
          <c:order val="25"/>
          <c:tx>
            <c:v>1cr2</c:v>
          </c:tx>
          <c:spPr>
            <a:ln w="25400">
              <a:noFill/>
            </a:ln>
          </c:spPr>
          <c:xVal>
            <c:numRef>
              <c:f>sheet3!$BO$88</c:f>
            </c:numRef>
          </c:xVal>
          <c:yVal>
            <c:numRef>
              <c:f>sheet3!$BP$88</c:f>
            </c:numRef>
          </c:yVal>
          <c:bubbleSize>
            <c:numLit>
              <c:formatCode>General</c:formatCode>
              <c:ptCount val="1"/>
              <c:pt idx="0">
                <c:v>1</c:v>
              </c:pt>
            </c:numLit>
          </c:bubbleSize>
        </c:ser>
        <c:ser>
          <c:idx val="26"/>
          <c:order val="26"/>
          <c:tx>
            <c:v>1ar3</c:v>
          </c:tx>
          <c:spPr>
            <a:solidFill>
              <a:srgbClr val="FF0000"/>
            </a:solidFill>
            <a:ln w="25400">
              <a:noFill/>
            </a:ln>
          </c:spPr>
          <c:xVal>
            <c:numRef>
              <c:f>sheet3!$BO$89</c:f>
            </c:numRef>
          </c:xVal>
          <c:yVal>
            <c:numRef>
              <c:f>sheet3!$BP$89</c:f>
            </c:numRef>
          </c:yVal>
          <c:bubbleSize>
            <c:numLit>
              <c:formatCode>General</c:formatCode>
              <c:ptCount val="1"/>
              <c:pt idx="0">
                <c:v>1</c:v>
              </c:pt>
            </c:numLit>
          </c:bubbleSize>
        </c:ser>
        <c:ser>
          <c:idx val="27"/>
          <c:order val="27"/>
          <c:tx>
            <c:v>1br2</c:v>
          </c:tx>
          <c:spPr>
            <a:solidFill>
              <a:srgbClr val="FF0000"/>
            </a:solidFill>
            <a:ln w="25400">
              <a:noFill/>
            </a:ln>
          </c:spPr>
          <c:xVal>
            <c:numRef>
              <c:f>sheet3!$BO$90</c:f>
            </c:numRef>
          </c:xVal>
          <c:yVal>
            <c:numRef>
              <c:f>sheet3!$BP$90</c:f>
            </c:numRef>
          </c:yVal>
          <c:bubbleSize>
            <c:numLit>
              <c:formatCode>General</c:formatCode>
              <c:ptCount val="1"/>
              <c:pt idx="0">
                <c:v>1</c:v>
              </c:pt>
            </c:numLit>
          </c:bubbleSize>
        </c:ser>
        <c:ser>
          <c:idx val="28"/>
          <c:order val="28"/>
          <c:tx>
            <c:v>1cr2</c:v>
          </c:tx>
          <c:spPr>
            <a:solidFill>
              <a:srgbClr val="FF0000"/>
            </a:solidFill>
            <a:ln w="25400">
              <a:noFill/>
            </a:ln>
          </c:spPr>
          <c:xVal>
            <c:numRef>
              <c:f>sheet3!$BO$91</c:f>
            </c:numRef>
          </c:xVal>
          <c:yVal>
            <c:numRef>
              <c:f>sheet3!$BP$91</c:f>
            </c:numRef>
          </c:yVal>
          <c:bubbleSize>
            <c:numLit>
              <c:formatCode>General</c:formatCode>
              <c:ptCount val="1"/>
              <c:pt idx="0">
                <c:v>1</c:v>
              </c:pt>
            </c:numLit>
          </c:bubbleSize>
        </c:ser>
        <c:ser>
          <c:idx val="29"/>
          <c:order val="29"/>
          <c:tx>
            <c:v>1br3</c:v>
          </c:tx>
          <c:spPr>
            <a:solidFill>
              <a:srgbClr val="FF0000"/>
            </a:solidFill>
            <a:ln w="25400">
              <a:noFill/>
            </a:ln>
          </c:spPr>
          <c:xVal>
            <c:numRef>
              <c:f>sheet3!$BO$92</c:f>
            </c:numRef>
          </c:xVal>
          <c:yVal>
            <c:numRef>
              <c:f>sheet3!$BP$92</c:f>
            </c:numRef>
          </c:yVal>
          <c:bubbleSize>
            <c:numLit>
              <c:formatCode>General</c:formatCode>
              <c:ptCount val="1"/>
              <c:pt idx="0">
                <c:v>1</c:v>
              </c:pt>
            </c:numLit>
          </c:bubbleSize>
        </c:ser>
        <c:ser>
          <c:idx val="30"/>
          <c:order val="30"/>
          <c:tx>
            <c:v>1cr3</c:v>
          </c:tx>
          <c:spPr>
            <a:solidFill>
              <a:srgbClr val="FF0000"/>
            </a:solidFill>
            <a:ln w="25400">
              <a:noFill/>
            </a:ln>
          </c:spPr>
          <c:xVal>
            <c:numRef>
              <c:f>sheet3!$BO$93</c:f>
            </c:numRef>
          </c:xVal>
          <c:yVal>
            <c:numRef>
              <c:f>sheet3!$BP$93</c:f>
            </c:numRef>
          </c:yVal>
          <c:bubbleSize>
            <c:numLit>
              <c:formatCode>General</c:formatCode>
              <c:ptCount val="1"/>
              <c:pt idx="0">
                <c:v>1</c:v>
              </c:pt>
            </c:numLit>
          </c:bubbleSize>
        </c:ser>
        <c:ser>
          <c:idx val="31"/>
          <c:order val="31"/>
          <c:tx>
            <c:v>3ar1</c:v>
          </c:tx>
          <c:spPr>
            <a:solidFill>
              <a:srgbClr val="FF0000"/>
            </a:solidFill>
            <a:ln w="25400">
              <a:noFill/>
            </a:ln>
          </c:spPr>
          <c:xVal>
            <c:numRef>
              <c:f>sheet3!$BO$95</c:f>
            </c:numRef>
          </c:xVal>
          <c:yVal>
            <c:numRef>
              <c:f>sheet3!$BP$95</c:f>
            </c:numRef>
          </c:yVal>
          <c:bubbleSize>
            <c:numLit>
              <c:formatCode>General</c:formatCode>
              <c:ptCount val="1"/>
              <c:pt idx="0">
                <c:v>1</c:v>
              </c:pt>
            </c:numLit>
          </c:bubbleSize>
        </c:ser>
        <c:ser>
          <c:idx val="32"/>
          <c:order val="32"/>
          <c:tx>
            <c:v>3ar2</c:v>
          </c:tx>
          <c:spPr>
            <a:solidFill>
              <a:srgbClr val="FF0000"/>
            </a:solidFill>
            <a:ln w="25400">
              <a:noFill/>
            </a:ln>
          </c:spPr>
          <c:xVal>
            <c:numRef>
              <c:f>sheet3!$BO$96</c:f>
            </c:numRef>
          </c:xVal>
          <c:yVal>
            <c:numRef>
              <c:f>sheet3!$BP$96</c:f>
            </c:numRef>
          </c:yVal>
          <c:bubbleSize>
            <c:numLit>
              <c:formatCode>General</c:formatCode>
              <c:ptCount val="1"/>
              <c:pt idx="0">
                <c:v>1</c:v>
              </c:pt>
            </c:numLit>
          </c:bubbleSize>
        </c:ser>
        <c:ser>
          <c:idx val="33"/>
          <c:order val="33"/>
          <c:tx>
            <c:v>3ar3</c:v>
          </c:tx>
          <c:spPr>
            <a:solidFill>
              <a:srgbClr val="FF0000"/>
            </a:solidFill>
            <a:ln w="25400">
              <a:noFill/>
            </a:ln>
          </c:spPr>
          <c:xVal>
            <c:numRef>
              <c:f>sheet3!$BO$97</c:f>
            </c:numRef>
          </c:xVal>
          <c:yVal>
            <c:numRef>
              <c:f>sheet3!$BP$97</c:f>
            </c:numRef>
          </c:yVal>
          <c:bubbleSize>
            <c:numLit>
              <c:formatCode>General</c:formatCode>
              <c:ptCount val="1"/>
              <c:pt idx="0">
                <c:v>1</c:v>
              </c:pt>
            </c:numLit>
          </c:bubbleSize>
        </c:ser>
        <c:ser>
          <c:idx val="34"/>
          <c:order val="34"/>
          <c:tx>
            <c:v>3br1</c:v>
          </c:tx>
          <c:spPr>
            <a:solidFill>
              <a:srgbClr val="FF0000"/>
            </a:solidFill>
            <a:ln w="25400">
              <a:noFill/>
            </a:ln>
          </c:spPr>
          <c:xVal>
            <c:numRef>
              <c:f>sheet3!$BO$98</c:f>
            </c:numRef>
          </c:xVal>
          <c:yVal>
            <c:numRef>
              <c:f>sheet3!$BP$98</c:f>
            </c:numRef>
          </c:yVal>
          <c:bubbleSize>
            <c:numLit>
              <c:formatCode>General</c:formatCode>
              <c:ptCount val="1"/>
              <c:pt idx="0">
                <c:v>1</c:v>
              </c:pt>
            </c:numLit>
          </c:bubbleSize>
        </c:ser>
        <c:ser>
          <c:idx val="35"/>
          <c:order val="35"/>
          <c:tx>
            <c:v>3br2</c:v>
          </c:tx>
          <c:spPr>
            <a:solidFill>
              <a:srgbClr val="FF0000"/>
            </a:solidFill>
            <a:ln w="25400">
              <a:noFill/>
            </a:ln>
          </c:spPr>
          <c:xVal>
            <c:numRef>
              <c:f>sheet3!$BO$99</c:f>
            </c:numRef>
          </c:xVal>
          <c:yVal>
            <c:numRef>
              <c:f>sheet3!$BP$99</c:f>
            </c:numRef>
          </c:yVal>
          <c:bubbleSize>
            <c:numLit>
              <c:formatCode>General</c:formatCode>
              <c:ptCount val="1"/>
              <c:pt idx="0">
                <c:v>1</c:v>
              </c:pt>
            </c:numLit>
          </c:bubbleSize>
        </c:ser>
        <c:ser>
          <c:idx val="36"/>
          <c:order val="36"/>
          <c:tx>
            <c:v>3br3</c:v>
          </c:tx>
          <c:spPr>
            <a:solidFill>
              <a:srgbClr val="FF0000"/>
            </a:solidFill>
            <a:ln w="25400">
              <a:noFill/>
            </a:ln>
          </c:spPr>
          <c:xVal>
            <c:numRef>
              <c:f>sheet3!$BO$100</c:f>
            </c:numRef>
          </c:xVal>
          <c:yVal>
            <c:numRef>
              <c:f>sheet3!$BP$100</c:f>
            </c:numRef>
          </c:yVal>
          <c:bubbleSize>
            <c:numLit>
              <c:formatCode>General</c:formatCode>
              <c:ptCount val="1"/>
              <c:pt idx="0">
                <c:v>1</c:v>
              </c:pt>
            </c:numLit>
          </c:bubbleSize>
        </c:ser>
        <c:ser>
          <c:idx val="37"/>
          <c:order val="37"/>
          <c:tx>
            <c:v>3cr1</c:v>
          </c:tx>
          <c:spPr>
            <a:solidFill>
              <a:srgbClr val="FF0000"/>
            </a:solidFill>
            <a:ln w="25400">
              <a:noFill/>
            </a:ln>
          </c:spPr>
          <c:xVal>
            <c:numRef>
              <c:f>sheet3!$BO$101</c:f>
            </c:numRef>
          </c:xVal>
          <c:yVal>
            <c:numRef>
              <c:f>sheet3!$BP$101</c:f>
            </c:numRef>
          </c:yVal>
          <c:bubbleSize>
            <c:numLit>
              <c:formatCode>General</c:formatCode>
              <c:ptCount val="1"/>
              <c:pt idx="0">
                <c:v>1</c:v>
              </c:pt>
            </c:numLit>
          </c:bubbleSize>
        </c:ser>
        <c:ser>
          <c:idx val="38"/>
          <c:order val="38"/>
          <c:tx>
            <c:v>3cr2</c:v>
          </c:tx>
          <c:spPr>
            <a:solidFill>
              <a:srgbClr val="FF0000"/>
            </a:solidFill>
            <a:ln w="25400">
              <a:noFill/>
            </a:ln>
          </c:spPr>
          <c:xVal>
            <c:numRef>
              <c:f>sheet3!$BO$102</c:f>
            </c:numRef>
          </c:xVal>
          <c:yVal>
            <c:numRef>
              <c:f>sheet3!$BP$102</c:f>
            </c:numRef>
          </c:yVal>
          <c:bubbleSize>
            <c:numLit>
              <c:formatCode>General</c:formatCode>
              <c:ptCount val="1"/>
              <c:pt idx="0">
                <c:v>1</c:v>
              </c:pt>
            </c:numLit>
          </c:bubbleSize>
        </c:ser>
        <c:ser>
          <c:idx val="39"/>
          <c:order val="39"/>
          <c:tx>
            <c:v>3cr3</c:v>
          </c:tx>
          <c:spPr>
            <a:solidFill>
              <a:srgbClr val="FF0000"/>
            </a:solidFill>
            <a:ln w="25400">
              <a:noFill/>
            </a:ln>
          </c:spPr>
          <c:xVal>
            <c:numRef>
              <c:f>sheet3!$BO$103</c:f>
            </c:numRef>
          </c:xVal>
          <c:yVal>
            <c:numRef>
              <c:f>sheet3!$BP$103</c:f>
            </c:numRef>
          </c:yVal>
          <c:bubbleSize>
            <c:numLit>
              <c:formatCode>General</c:formatCode>
              <c:ptCount val="1"/>
              <c:pt idx="0">
                <c:v>1</c:v>
              </c:pt>
            </c:numLit>
          </c:bubbleSize>
        </c:ser>
        <c:bubbleScale val="10"/>
        <c:sizeRepresents val="w"/>
        <c:axId val="81147008"/>
        <c:axId val="81148544"/>
      </c:bubbleChart>
      <c:valAx>
        <c:axId val="81147008"/>
        <c:scaling>
          <c:orientation val="minMax"/>
          <c:max val="6"/>
          <c:min val="0"/>
        </c:scaling>
        <c:axPos val="b"/>
        <c:numFmt formatCode="General" sourceLinked="1"/>
        <c:tickLblPos val="nextTo"/>
        <c:crossAx val="81148544"/>
        <c:crosses val="autoZero"/>
        <c:crossBetween val="midCat"/>
        <c:majorUnit val="1"/>
        <c:minorUnit val="1"/>
      </c:valAx>
      <c:valAx>
        <c:axId val="81148544"/>
        <c:scaling>
          <c:orientation val="minMax"/>
          <c:max val="6"/>
          <c:min val="0"/>
        </c:scaling>
        <c:axPos val="l"/>
        <c:majorGridlines/>
        <c:numFmt formatCode="General" sourceLinked="1"/>
        <c:tickLblPos val="nextTo"/>
        <c:crossAx val="81147008"/>
        <c:crosses val="autoZero"/>
        <c:crossBetween val="midCat"/>
        <c:majorUnit val="1"/>
        <c:minorUnit val="1"/>
      </c:valAx>
      <c:spPr>
        <a:noFill/>
      </c:spPr>
    </c:plotArea>
    <c:plotVisOnly val="1"/>
  </c:chart>
  <c:spPr>
    <a:noFill/>
  </c:spPr>
  <c:printSettings>
    <c:headerFooter/>
    <c:pageMargins b="0.75000000000000189" l="0.70000000000000062" r="0.70000000000000062" t="0.750000000000001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th-TH"/>
  <c:style val="4"/>
  <c:chart>
    <c:autoTitleDeleted val="1"/>
    <c:plotArea>
      <c:layout>
        <c:manualLayout>
          <c:layoutTarget val="inner"/>
          <c:xMode val="edge"/>
          <c:yMode val="edge"/>
          <c:x val="0"/>
          <c:y val="2.9375006799770318E-4"/>
          <c:w val="1"/>
          <c:h val="0.99970623771054934"/>
        </c:manualLayout>
      </c:layout>
      <c:bubbleChart>
        <c:varyColors val="1"/>
        <c:ser>
          <c:idx val="3"/>
          <c:order val="0"/>
          <c:tx>
            <c:v>underside l2</c:v>
          </c:tx>
          <c:spPr>
            <a:solidFill>
              <a:srgbClr val="FF0000"/>
            </a:solidFill>
            <a:ln w="25400">
              <a:noFill/>
            </a:ln>
          </c:spPr>
          <c:xVal>
            <c:numRef>
              <c:f>'desigh Stairs'!$BB$26</c:f>
              <c:numCache>
                <c:formatCode>General</c:formatCode>
                <c:ptCount val="1"/>
                <c:pt idx="0">
                  <c:v>14.5</c:v>
                </c:pt>
              </c:numCache>
            </c:numRef>
          </c:xVal>
          <c:yVal>
            <c:numRef>
              <c:f>'desigh Stairs'!$BC$26</c:f>
              <c:numCache>
                <c:formatCode>General</c:formatCode>
                <c:ptCount val="1"/>
                <c:pt idx="0">
                  <c:v>20</c:v>
                </c:pt>
              </c:numCache>
            </c:numRef>
          </c:yVal>
          <c:bubbleSize>
            <c:numLit>
              <c:formatCode>General</c:formatCode>
              <c:ptCount val="1"/>
              <c:pt idx="0">
                <c:v>1</c:v>
              </c:pt>
            </c:numLit>
          </c:bubbleSize>
        </c:ser>
        <c:ser>
          <c:idx val="2"/>
          <c:order val="1"/>
          <c:tx>
            <c:v>under c</c:v>
          </c:tx>
          <c:spPr>
            <a:solidFill>
              <a:srgbClr val="FF0000"/>
            </a:solidFill>
            <a:ln>
              <a:noFill/>
            </a:ln>
          </c:spPr>
          <c:xVal>
            <c:numRef>
              <c:f>'desigh Stairs'!$BB$25</c:f>
              <c:numCache>
                <c:formatCode>General</c:formatCode>
                <c:ptCount val="1"/>
                <c:pt idx="0">
                  <c:v>25</c:v>
                </c:pt>
              </c:numCache>
            </c:numRef>
          </c:xVal>
          <c:yVal>
            <c:numRef>
              <c:f>'desigh Stairs'!$BC$25</c:f>
              <c:numCache>
                <c:formatCode>General</c:formatCode>
                <c:ptCount val="1"/>
                <c:pt idx="0">
                  <c:v>15.85</c:v>
                </c:pt>
              </c:numCache>
            </c:numRef>
          </c:yVal>
          <c:bubbleSize>
            <c:numLit>
              <c:formatCode>General</c:formatCode>
              <c:ptCount val="2"/>
              <c:pt idx="0">
                <c:v>1</c:v>
              </c:pt>
              <c:pt idx="1">
                <c:v>1</c:v>
              </c:pt>
            </c:numLit>
          </c:bubbleSize>
        </c:ser>
        <c:ser>
          <c:idx val="1"/>
          <c:order val="2"/>
          <c:tx>
            <c:v>under2</c:v>
          </c:tx>
          <c:spPr>
            <a:solidFill>
              <a:srgbClr val="FF0000"/>
            </a:solidFill>
            <a:ln w="25400">
              <a:noFill/>
            </a:ln>
          </c:spPr>
          <c:xVal>
            <c:numRef>
              <c:f>'desigh Stairs'!$BB$23:$BB$24</c:f>
              <c:numCache>
                <c:formatCode>General</c:formatCode>
                <c:ptCount val="2"/>
                <c:pt idx="0">
                  <c:v>14.5</c:v>
                </c:pt>
                <c:pt idx="1">
                  <c:v>36</c:v>
                </c:pt>
              </c:numCache>
            </c:numRef>
          </c:xVal>
          <c:yVal>
            <c:numRef>
              <c:f>'desigh Stairs'!$BC$23:$BC$24</c:f>
              <c:numCache>
                <c:formatCode>General</c:formatCode>
                <c:ptCount val="2"/>
                <c:pt idx="0">
                  <c:v>64.400000000000006</c:v>
                </c:pt>
                <c:pt idx="1">
                  <c:v>64.400000000000006</c:v>
                </c:pt>
              </c:numCache>
            </c:numRef>
          </c:yVal>
          <c:bubbleSize>
            <c:numLit>
              <c:formatCode>General</c:formatCode>
              <c:ptCount val="2"/>
              <c:pt idx="0">
                <c:v>1</c:v>
              </c:pt>
              <c:pt idx="1">
                <c:v>1</c:v>
              </c:pt>
            </c:numLit>
          </c:bubbleSize>
        </c:ser>
        <c:ser>
          <c:idx val="0"/>
          <c:order val="3"/>
          <c:tx>
            <c:v>under l</c:v>
          </c:tx>
          <c:spPr>
            <a:solidFill>
              <a:srgbClr val="FF0000"/>
            </a:solidFill>
          </c:spPr>
          <c:xVal>
            <c:numRef>
              <c:f>'desigh Stairs'!$BB$21</c:f>
              <c:numCache>
                <c:formatCode>General</c:formatCode>
                <c:ptCount val="1"/>
                <c:pt idx="0">
                  <c:v>14.5</c:v>
                </c:pt>
              </c:numCache>
            </c:numRef>
          </c:xVal>
          <c:yVal>
            <c:numRef>
              <c:f>'desigh Stairs'!$BC$21</c:f>
              <c:numCache>
                <c:formatCode>General</c:formatCode>
                <c:ptCount val="1"/>
                <c:pt idx="0">
                  <c:v>15.85</c:v>
                </c:pt>
              </c:numCache>
            </c:numRef>
          </c:yVal>
          <c:bubbleSize>
            <c:numLit>
              <c:formatCode>General</c:formatCode>
              <c:ptCount val="1"/>
              <c:pt idx="0">
                <c:v>1</c:v>
              </c:pt>
            </c:numLit>
          </c:bubbleSize>
        </c:ser>
        <c:ser>
          <c:idx val="4"/>
          <c:order val="4"/>
          <c:tx>
            <c:v>under c2</c:v>
          </c:tx>
          <c:spPr>
            <a:solidFill>
              <a:srgbClr val="FF0000"/>
            </a:solidFill>
            <a:ln w="25400">
              <a:noFill/>
            </a:ln>
          </c:spPr>
          <c:xVal>
            <c:strRef>
              <c:f>'desigh Stairs'!$BB$28</c:f>
              <c:strCache>
                <c:ptCount val="1"/>
                <c:pt idx="0">
                  <c:v> </c:v>
                </c:pt>
              </c:strCache>
            </c:strRef>
          </c:xVal>
          <c:yVal>
            <c:numRef>
              <c:f>'desigh Stairs'!$BC$28</c:f>
              <c:numCache>
                <c:formatCode>General</c:formatCode>
                <c:ptCount val="1"/>
                <c:pt idx="0">
                  <c:v>0</c:v>
                </c:pt>
              </c:numCache>
            </c:numRef>
          </c:yVal>
          <c:bubbleSize>
            <c:numLit>
              <c:formatCode>General</c:formatCode>
              <c:ptCount val="1"/>
              <c:pt idx="0">
                <c:v>1</c:v>
              </c:pt>
            </c:numLit>
          </c:bubbleSize>
        </c:ser>
        <c:ser>
          <c:idx val="5"/>
          <c:order val="5"/>
          <c:tx>
            <c:v>under side 3</c:v>
          </c:tx>
          <c:spPr>
            <a:solidFill>
              <a:srgbClr val="FF0000"/>
            </a:solidFill>
            <a:ln w="25400">
              <a:noFill/>
            </a:ln>
          </c:spPr>
          <c:xVal>
            <c:strRef>
              <c:f>'desigh Stairs'!$BB$29</c:f>
              <c:strCache>
                <c:ptCount val="1"/>
                <c:pt idx="0">
                  <c:v> </c:v>
                </c:pt>
              </c:strCache>
            </c:strRef>
          </c:xVal>
          <c:yVal>
            <c:numRef>
              <c:f>'desigh Stairs'!$BC$29</c:f>
              <c:numCache>
                <c:formatCode>General</c:formatCode>
                <c:ptCount val="1"/>
                <c:pt idx="0">
                  <c:v>0</c:v>
                </c:pt>
              </c:numCache>
            </c:numRef>
          </c:yVal>
          <c:bubbleSize>
            <c:numLit>
              <c:formatCode>General</c:formatCode>
              <c:ptCount val="1"/>
              <c:pt idx="0">
                <c:v>1</c:v>
              </c:pt>
            </c:numLit>
          </c:bubbleSize>
        </c:ser>
        <c:ser>
          <c:idx val="6"/>
          <c:order val="6"/>
          <c:tx>
            <c:v>under c3</c:v>
          </c:tx>
          <c:spPr>
            <a:solidFill>
              <a:srgbClr val="FF0000"/>
            </a:solidFill>
            <a:ln w="25400">
              <a:noFill/>
            </a:ln>
          </c:spPr>
          <c:xVal>
            <c:strRef>
              <c:f>'desigh Stairs'!$BB$31</c:f>
              <c:strCache>
                <c:ptCount val="1"/>
                <c:pt idx="0">
                  <c:v> </c:v>
                </c:pt>
              </c:strCache>
            </c:strRef>
          </c:xVal>
          <c:yVal>
            <c:numRef>
              <c:f>'desigh Stairs'!$BC$31</c:f>
              <c:numCache>
                <c:formatCode>General</c:formatCode>
                <c:ptCount val="1"/>
                <c:pt idx="0">
                  <c:v>0</c:v>
                </c:pt>
              </c:numCache>
            </c:numRef>
          </c:yVal>
          <c:bubbleSize>
            <c:numLit>
              <c:formatCode>General</c:formatCode>
              <c:ptCount val="1"/>
              <c:pt idx="0">
                <c:v>1</c:v>
              </c:pt>
            </c:numLit>
          </c:bubbleSize>
        </c:ser>
        <c:ser>
          <c:idx val="7"/>
          <c:order val="7"/>
          <c:tx>
            <c:v>midle L</c:v>
          </c:tx>
          <c:spPr>
            <a:solidFill>
              <a:srgbClr val="FF0000"/>
            </a:solidFill>
            <a:ln w="25400">
              <a:noFill/>
            </a:ln>
          </c:spPr>
          <c:xVal>
            <c:strRef>
              <c:f>'desigh Stairs'!$BB$32</c:f>
              <c:strCache>
                <c:ptCount val="1"/>
                <c:pt idx="0">
                  <c:v> </c:v>
                </c:pt>
              </c:strCache>
            </c:strRef>
          </c:xVal>
          <c:yVal>
            <c:numRef>
              <c:f>'desigh Stairs'!$BC$32</c:f>
              <c:numCache>
                <c:formatCode>General</c:formatCode>
                <c:ptCount val="1"/>
                <c:pt idx="0">
                  <c:v>0</c:v>
                </c:pt>
              </c:numCache>
            </c:numRef>
          </c:yVal>
          <c:bubbleSize>
            <c:numLit>
              <c:formatCode>General</c:formatCode>
              <c:ptCount val="1"/>
              <c:pt idx="0">
                <c:v>1</c:v>
              </c:pt>
            </c:numLit>
          </c:bubbleSize>
        </c:ser>
        <c:ser>
          <c:idx val="8"/>
          <c:order val="8"/>
          <c:tx>
            <c:v>middle R</c:v>
          </c:tx>
          <c:spPr>
            <a:solidFill>
              <a:srgbClr val="FF0000"/>
            </a:solidFill>
            <a:ln w="25400">
              <a:noFill/>
            </a:ln>
          </c:spPr>
          <c:xVal>
            <c:strRef>
              <c:f>'desigh Stairs'!$BB$33</c:f>
              <c:strCache>
                <c:ptCount val="1"/>
                <c:pt idx="0">
                  <c:v> </c:v>
                </c:pt>
              </c:strCache>
            </c:strRef>
          </c:xVal>
          <c:yVal>
            <c:numRef>
              <c:f>'desigh Stairs'!$BC$33</c:f>
              <c:numCache>
                <c:formatCode>General</c:formatCode>
                <c:ptCount val="1"/>
                <c:pt idx="0">
                  <c:v>0</c:v>
                </c:pt>
              </c:numCache>
            </c:numRef>
          </c:yVal>
          <c:bubbleSize>
            <c:numLit>
              <c:formatCode>General</c:formatCode>
              <c:ptCount val="1"/>
              <c:pt idx="0">
                <c:v>1</c:v>
              </c:pt>
            </c:numLit>
          </c:bubbleSize>
        </c:ser>
        <c:ser>
          <c:idx val="9"/>
          <c:order val="9"/>
          <c:tx>
            <c:v>underside  R</c:v>
          </c:tx>
          <c:spPr>
            <a:solidFill>
              <a:srgbClr val="FF0000"/>
            </a:solidFill>
            <a:ln w="25400">
              <a:noFill/>
            </a:ln>
          </c:spPr>
          <c:xVal>
            <c:numRef>
              <c:f>'desigh Stairs'!$BB$27</c:f>
              <c:numCache>
                <c:formatCode>General</c:formatCode>
                <c:ptCount val="1"/>
                <c:pt idx="0">
                  <c:v>36</c:v>
                </c:pt>
              </c:numCache>
            </c:numRef>
          </c:xVal>
          <c:yVal>
            <c:numRef>
              <c:f>'desigh Stairs'!$BC$27</c:f>
              <c:numCache>
                <c:formatCode>General</c:formatCode>
                <c:ptCount val="1"/>
                <c:pt idx="0">
                  <c:v>20</c:v>
                </c:pt>
              </c:numCache>
            </c:numRef>
          </c:yVal>
          <c:bubbleSize>
            <c:numLit>
              <c:formatCode>General</c:formatCode>
              <c:ptCount val="1"/>
              <c:pt idx="0">
                <c:v>1</c:v>
              </c:pt>
            </c:numLit>
          </c:bubbleSize>
        </c:ser>
        <c:ser>
          <c:idx val="10"/>
          <c:order val="10"/>
          <c:tx>
            <c:v>middle c</c:v>
          </c:tx>
          <c:spPr>
            <a:solidFill>
              <a:srgbClr val="FF0000"/>
            </a:solidFill>
            <a:ln w="25400">
              <a:noFill/>
            </a:ln>
          </c:spPr>
          <c:xVal>
            <c:strRef>
              <c:f>'desigh Stairs'!$BB$34</c:f>
              <c:strCache>
                <c:ptCount val="1"/>
                <c:pt idx="0">
                  <c:v> </c:v>
                </c:pt>
              </c:strCache>
            </c:strRef>
          </c:xVal>
          <c:yVal>
            <c:numRef>
              <c:f>'desigh Stairs'!$BC$34</c:f>
              <c:numCache>
                <c:formatCode>General</c:formatCode>
                <c:ptCount val="1"/>
                <c:pt idx="0">
                  <c:v>0</c:v>
                </c:pt>
              </c:numCache>
            </c:numRef>
          </c:yVal>
          <c:bubbleSize>
            <c:numLit>
              <c:formatCode>General</c:formatCode>
              <c:ptCount val="1"/>
              <c:pt idx="0">
                <c:v>1</c:v>
              </c:pt>
            </c:numLit>
          </c:bubbleSize>
        </c:ser>
        <c:ser>
          <c:idx val="11"/>
          <c:order val="11"/>
          <c:tx>
            <c:v>middle L2</c:v>
          </c:tx>
          <c:spPr>
            <a:solidFill>
              <a:srgbClr val="FF0000"/>
            </a:solidFill>
            <a:ln w="25400">
              <a:noFill/>
            </a:ln>
          </c:spPr>
          <c:xVal>
            <c:numRef>
              <c:f>'desigh Stairs'!$BB$35</c:f>
              <c:numCache>
                <c:formatCode>General</c:formatCode>
                <c:ptCount val="1"/>
                <c:pt idx="0">
                  <c:v>14.5</c:v>
                </c:pt>
              </c:numCache>
            </c:numRef>
          </c:xVal>
          <c:yVal>
            <c:numRef>
              <c:f>'desigh Stairs'!$BC$35</c:f>
              <c:numCache>
                <c:formatCode>General</c:formatCode>
                <c:ptCount val="1"/>
                <c:pt idx="0">
                  <c:v>45</c:v>
                </c:pt>
              </c:numCache>
            </c:numRef>
          </c:yVal>
          <c:bubbleSize>
            <c:numLit>
              <c:formatCode>General</c:formatCode>
              <c:ptCount val="1"/>
              <c:pt idx="0">
                <c:v>1</c:v>
              </c:pt>
            </c:numLit>
          </c:bubbleSize>
        </c:ser>
        <c:ser>
          <c:idx val="12"/>
          <c:order val="12"/>
          <c:tx>
            <c:v>middle r2</c:v>
          </c:tx>
          <c:spPr>
            <a:solidFill>
              <a:srgbClr val="FF0000"/>
            </a:solidFill>
            <a:ln w="25400">
              <a:noFill/>
            </a:ln>
          </c:spPr>
          <c:xVal>
            <c:numRef>
              <c:f>'desigh Stairs'!$BB$36</c:f>
              <c:numCache>
                <c:formatCode>General</c:formatCode>
                <c:ptCount val="1"/>
                <c:pt idx="0">
                  <c:v>36</c:v>
                </c:pt>
              </c:numCache>
            </c:numRef>
          </c:xVal>
          <c:yVal>
            <c:numRef>
              <c:f>'desigh Stairs'!$BC$36</c:f>
              <c:numCache>
                <c:formatCode>General</c:formatCode>
                <c:ptCount val="1"/>
                <c:pt idx="0">
                  <c:v>45</c:v>
                </c:pt>
              </c:numCache>
            </c:numRef>
          </c:yVal>
          <c:bubbleSize>
            <c:numLit>
              <c:formatCode>General</c:formatCode>
              <c:ptCount val="1"/>
              <c:pt idx="0">
                <c:v>1</c:v>
              </c:pt>
            </c:numLit>
          </c:bubbleSize>
        </c:ser>
        <c:ser>
          <c:idx val="13"/>
          <c:order val="13"/>
          <c:tx>
            <c:v>middle c2</c:v>
          </c:tx>
          <c:spPr>
            <a:ln w="25400">
              <a:noFill/>
            </a:ln>
          </c:spPr>
          <c:dPt>
            <c:idx val="0"/>
            <c:spPr>
              <a:solidFill>
                <a:srgbClr val="FF0000"/>
              </a:solidFill>
              <a:ln w="25400">
                <a:noFill/>
              </a:ln>
            </c:spPr>
          </c:dPt>
          <c:xVal>
            <c:strRef>
              <c:f>'desigh Stairs'!$BB$37</c:f>
              <c:strCache>
                <c:ptCount val="1"/>
                <c:pt idx="0">
                  <c:v> </c:v>
                </c:pt>
              </c:strCache>
            </c:strRef>
          </c:xVal>
          <c:yVal>
            <c:numRef>
              <c:f>'desigh Stairs'!$BC$37</c:f>
              <c:numCache>
                <c:formatCode>General</c:formatCode>
                <c:ptCount val="1"/>
                <c:pt idx="0">
                  <c:v>0</c:v>
                </c:pt>
              </c:numCache>
            </c:numRef>
          </c:yVal>
          <c:bubbleSize>
            <c:numLit>
              <c:formatCode>General</c:formatCode>
              <c:ptCount val="1"/>
              <c:pt idx="0">
                <c:v>1</c:v>
              </c:pt>
            </c:numLit>
          </c:bubbleSize>
        </c:ser>
        <c:ser>
          <c:idx val="14"/>
          <c:order val="14"/>
          <c:tx>
            <c:v>under r</c:v>
          </c:tx>
          <c:spPr>
            <a:solidFill>
              <a:srgbClr val="FF0000"/>
            </a:solidFill>
            <a:ln w="25400">
              <a:noFill/>
            </a:ln>
          </c:spPr>
          <c:xVal>
            <c:numRef>
              <c:f>'desigh Stairs'!$BB$22</c:f>
              <c:numCache>
                <c:formatCode>General</c:formatCode>
                <c:ptCount val="1"/>
                <c:pt idx="0">
                  <c:v>36</c:v>
                </c:pt>
              </c:numCache>
            </c:numRef>
          </c:xVal>
          <c:yVal>
            <c:numRef>
              <c:f>'desigh Stairs'!$BC$22</c:f>
              <c:numCache>
                <c:formatCode>General</c:formatCode>
                <c:ptCount val="1"/>
                <c:pt idx="0">
                  <c:v>15.85</c:v>
                </c:pt>
              </c:numCache>
            </c:numRef>
          </c:yVal>
          <c:bubbleSize>
            <c:numLit>
              <c:formatCode>General</c:formatCode>
              <c:ptCount val="1"/>
              <c:pt idx="0">
                <c:v>1</c:v>
              </c:pt>
            </c:numLit>
          </c:bubbleSize>
        </c:ser>
        <c:ser>
          <c:idx val="15"/>
          <c:order val="15"/>
          <c:tx>
            <c:v>miidle l3</c:v>
          </c:tx>
          <c:spPr>
            <a:solidFill>
              <a:srgbClr val="FF0000"/>
            </a:solidFill>
            <a:ln w="25400">
              <a:noFill/>
            </a:ln>
          </c:spPr>
          <c:xVal>
            <c:numRef>
              <c:f>'desigh Stairs'!$BB$38</c:f>
              <c:numCache>
                <c:formatCode>General</c:formatCode>
                <c:ptCount val="1"/>
                <c:pt idx="0">
                  <c:v>14.5</c:v>
                </c:pt>
              </c:numCache>
            </c:numRef>
          </c:xVal>
          <c:yVal>
            <c:numRef>
              <c:f>'desigh Stairs'!$BC$38</c:f>
              <c:numCache>
                <c:formatCode>General</c:formatCode>
                <c:ptCount val="1"/>
                <c:pt idx="0">
                  <c:v>35</c:v>
                </c:pt>
              </c:numCache>
            </c:numRef>
          </c:yVal>
          <c:bubbleSize>
            <c:numLit>
              <c:formatCode>General</c:formatCode>
              <c:ptCount val="1"/>
              <c:pt idx="0">
                <c:v>1</c:v>
              </c:pt>
            </c:numLit>
          </c:bubbleSize>
        </c:ser>
        <c:ser>
          <c:idx val="16"/>
          <c:order val="16"/>
          <c:tx>
            <c:v>midle c3</c:v>
          </c:tx>
          <c:spPr>
            <a:solidFill>
              <a:srgbClr val="FF0000"/>
            </a:solidFill>
            <a:ln w="25400">
              <a:noFill/>
            </a:ln>
          </c:spPr>
          <c:xVal>
            <c:strRef>
              <c:f>'desigh Stairs'!$BB$39</c:f>
              <c:strCache>
                <c:ptCount val="1"/>
                <c:pt idx="0">
                  <c:v> </c:v>
                </c:pt>
              </c:strCache>
            </c:strRef>
          </c:xVal>
          <c:yVal>
            <c:numRef>
              <c:f>'desigh Stairs'!$BC$39</c:f>
              <c:numCache>
                <c:formatCode>General</c:formatCode>
                <c:ptCount val="1"/>
                <c:pt idx="0">
                  <c:v>0</c:v>
                </c:pt>
              </c:numCache>
            </c:numRef>
          </c:yVal>
          <c:bubbleSize>
            <c:numLit>
              <c:formatCode>General</c:formatCode>
              <c:ptCount val="1"/>
              <c:pt idx="0">
                <c:v>1</c:v>
              </c:pt>
            </c:numLit>
          </c:bubbleSize>
        </c:ser>
        <c:ser>
          <c:idx val="17"/>
          <c:order val="17"/>
          <c:tx>
            <c:v>middle R3</c:v>
          </c:tx>
          <c:spPr>
            <a:solidFill>
              <a:srgbClr val="FF0000"/>
            </a:solidFill>
            <a:ln w="25400">
              <a:noFill/>
            </a:ln>
          </c:spPr>
          <c:xVal>
            <c:numRef>
              <c:f>'desigh Stairs'!$BB$40</c:f>
              <c:numCache>
                <c:formatCode>General</c:formatCode>
                <c:ptCount val="1"/>
                <c:pt idx="0">
                  <c:v>36</c:v>
                </c:pt>
              </c:numCache>
            </c:numRef>
          </c:xVal>
          <c:yVal>
            <c:numRef>
              <c:f>'desigh Stairs'!$BC$40</c:f>
              <c:numCache>
                <c:formatCode>General</c:formatCode>
                <c:ptCount val="1"/>
                <c:pt idx="0">
                  <c:v>35</c:v>
                </c:pt>
              </c:numCache>
            </c:numRef>
          </c:yVal>
          <c:bubbleSize>
            <c:numLit>
              <c:formatCode>General</c:formatCode>
              <c:ptCount val="1"/>
              <c:pt idx="0">
                <c:v>1</c:v>
              </c:pt>
            </c:numLit>
          </c:bubbleSize>
        </c:ser>
        <c:ser>
          <c:idx val="18"/>
          <c:order val="18"/>
          <c:tx>
            <c:v>top c</c:v>
          </c:tx>
          <c:spPr>
            <a:solidFill>
              <a:srgbClr val="FF0000"/>
            </a:solidFill>
            <a:ln w="25400">
              <a:noFill/>
            </a:ln>
          </c:spPr>
          <c:xVal>
            <c:numRef>
              <c:f>'desigh Stairs'!$BB$41</c:f>
              <c:numCache>
                <c:formatCode>General</c:formatCode>
                <c:ptCount val="1"/>
                <c:pt idx="0">
                  <c:v>25</c:v>
                </c:pt>
              </c:numCache>
            </c:numRef>
          </c:xVal>
          <c:yVal>
            <c:numRef>
              <c:f>'desigh Stairs'!$BC$41</c:f>
              <c:numCache>
                <c:formatCode>General</c:formatCode>
                <c:ptCount val="1"/>
                <c:pt idx="0">
                  <c:v>64.400000000000006</c:v>
                </c:pt>
              </c:numCache>
            </c:numRef>
          </c:yVal>
          <c:bubbleSize>
            <c:numLit>
              <c:formatCode>General</c:formatCode>
              <c:ptCount val="1"/>
              <c:pt idx="0">
                <c:v>1</c:v>
              </c:pt>
            </c:numLit>
          </c:bubbleSize>
        </c:ser>
        <c:ser>
          <c:idx val="19"/>
          <c:order val="19"/>
          <c:tx>
            <c:v>top r2</c:v>
          </c:tx>
          <c:spPr>
            <a:solidFill>
              <a:srgbClr val="FF0000"/>
            </a:solidFill>
            <a:ln>
              <a:noFill/>
            </a:ln>
          </c:spPr>
          <c:xVal>
            <c:numRef>
              <c:f>'desigh Stairs'!$BB$42</c:f>
              <c:numCache>
                <c:formatCode>General</c:formatCode>
                <c:ptCount val="1"/>
                <c:pt idx="0">
                  <c:v>14.5</c:v>
                </c:pt>
              </c:numCache>
            </c:numRef>
          </c:xVal>
          <c:yVal>
            <c:numRef>
              <c:f>'desigh Stairs'!$BC$42</c:f>
              <c:numCache>
                <c:formatCode>General</c:formatCode>
                <c:ptCount val="1"/>
                <c:pt idx="0">
                  <c:v>59.7</c:v>
                </c:pt>
              </c:numCache>
            </c:numRef>
          </c:yVal>
          <c:bubbleSize>
            <c:numLit>
              <c:formatCode>General</c:formatCode>
              <c:ptCount val="1"/>
              <c:pt idx="0">
                <c:v>1</c:v>
              </c:pt>
            </c:numLit>
          </c:bubbleSize>
        </c:ser>
        <c:ser>
          <c:idx val="20"/>
          <c:order val="20"/>
          <c:tx>
            <c:v>top L2</c:v>
          </c:tx>
          <c:spPr>
            <a:solidFill>
              <a:srgbClr val="FF0000"/>
            </a:solidFill>
            <a:ln w="25400">
              <a:noFill/>
            </a:ln>
          </c:spPr>
          <c:xVal>
            <c:numRef>
              <c:f>'desigh Stairs'!$BB$43</c:f>
              <c:numCache>
                <c:formatCode>General</c:formatCode>
                <c:ptCount val="1"/>
                <c:pt idx="0">
                  <c:v>36</c:v>
                </c:pt>
              </c:numCache>
            </c:numRef>
          </c:xVal>
          <c:yVal>
            <c:numRef>
              <c:f>'desigh Stairs'!$BC$43</c:f>
              <c:numCache>
                <c:formatCode>General</c:formatCode>
                <c:ptCount val="1"/>
                <c:pt idx="0">
                  <c:v>59.7</c:v>
                </c:pt>
              </c:numCache>
            </c:numRef>
          </c:yVal>
          <c:bubbleSize>
            <c:numLit>
              <c:formatCode>General</c:formatCode>
              <c:ptCount val="1"/>
              <c:pt idx="0">
                <c:v>1</c:v>
              </c:pt>
            </c:numLit>
          </c:bubbleSize>
        </c:ser>
        <c:ser>
          <c:idx val="21"/>
          <c:order val="21"/>
          <c:tx>
            <c:v>top c 2</c:v>
          </c:tx>
          <c:spPr>
            <a:solidFill>
              <a:srgbClr val="FF0000"/>
            </a:solidFill>
            <a:ln w="25400">
              <a:noFill/>
            </a:ln>
          </c:spPr>
          <c:xVal>
            <c:strRef>
              <c:f>'desigh Stairs'!$BB$44</c:f>
              <c:strCache>
                <c:ptCount val="1"/>
                <c:pt idx="0">
                  <c:v> </c:v>
                </c:pt>
              </c:strCache>
            </c:strRef>
          </c:xVal>
          <c:yVal>
            <c:numRef>
              <c:f>'desigh Stairs'!$BC$44</c:f>
              <c:numCache>
                <c:formatCode>General</c:formatCode>
                <c:ptCount val="1"/>
                <c:pt idx="0">
                  <c:v>0</c:v>
                </c:pt>
              </c:numCache>
            </c:numRef>
          </c:yVal>
          <c:bubbleSize>
            <c:numLit>
              <c:formatCode>General</c:formatCode>
              <c:ptCount val="1"/>
              <c:pt idx="0">
                <c:v>1</c:v>
              </c:pt>
            </c:numLit>
          </c:bubbleSize>
        </c:ser>
        <c:ser>
          <c:idx val="22"/>
          <c:order val="22"/>
          <c:tx>
            <c:v>top R3</c:v>
          </c:tx>
          <c:spPr>
            <a:solidFill>
              <a:srgbClr val="FF0000"/>
            </a:solidFill>
            <a:ln w="25400">
              <a:noFill/>
            </a:ln>
          </c:spPr>
          <c:xVal>
            <c:strRef>
              <c:f>'desigh Stairs'!$BB$45</c:f>
              <c:strCache>
                <c:ptCount val="1"/>
                <c:pt idx="0">
                  <c:v> </c:v>
                </c:pt>
              </c:strCache>
            </c:strRef>
          </c:xVal>
          <c:yVal>
            <c:numRef>
              <c:f>'desigh Stairs'!$BC$45</c:f>
              <c:numCache>
                <c:formatCode>General</c:formatCode>
                <c:ptCount val="1"/>
                <c:pt idx="0">
                  <c:v>0</c:v>
                </c:pt>
              </c:numCache>
            </c:numRef>
          </c:yVal>
          <c:bubbleSize>
            <c:numLit>
              <c:formatCode>General</c:formatCode>
              <c:ptCount val="1"/>
              <c:pt idx="0">
                <c:v>1</c:v>
              </c:pt>
            </c:numLit>
          </c:bubbleSize>
        </c:ser>
        <c:ser>
          <c:idx val="23"/>
          <c:order val="23"/>
          <c:tx>
            <c:v>top c3</c:v>
          </c:tx>
          <c:spPr>
            <a:solidFill>
              <a:srgbClr val="FF0000"/>
            </a:solidFill>
            <a:ln w="25400">
              <a:noFill/>
            </a:ln>
          </c:spPr>
          <c:xVal>
            <c:strRef>
              <c:f>'desigh Stairs'!$BB$46</c:f>
              <c:strCache>
                <c:ptCount val="1"/>
                <c:pt idx="0">
                  <c:v> </c:v>
                </c:pt>
              </c:strCache>
            </c:strRef>
          </c:xVal>
          <c:yVal>
            <c:numRef>
              <c:f>'desigh Stairs'!$BC$46</c:f>
              <c:numCache>
                <c:formatCode>General</c:formatCode>
                <c:ptCount val="1"/>
                <c:pt idx="0">
                  <c:v>0</c:v>
                </c:pt>
              </c:numCache>
            </c:numRef>
          </c:yVal>
          <c:bubbleSize>
            <c:numLit>
              <c:formatCode>General</c:formatCode>
              <c:ptCount val="1"/>
              <c:pt idx="0">
                <c:v>1</c:v>
              </c:pt>
            </c:numLit>
          </c:bubbleSize>
        </c:ser>
        <c:ser>
          <c:idx val="24"/>
          <c:order val="24"/>
          <c:tx>
            <c:v>top l3</c:v>
          </c:tx>
          <c:spPr>
            <a:solidFill>
              <a:srgbClr val="FF0000"/>
            </a:solidFill>
            <a:ln w="25400">
              <a:noFill/>
            </a:ln>
          </c:spPr>
          <c:xVal>
            <c:strRef>
              <c:f>'desigh Stairs'!$BB$47</c:f>
              <c:strCache>
                <c:ptCount val="1"/>
                <c:pt idx="0">
                  <c:v> </c:v>
                </c:pt>
              </c:strCache>
            </c:strRef>
          </c:xVal>
          <c:yVal>
            <c:numRef>
              <c:f>'desigh Stairs'!$BC$47</c:f>
              <c:numCache>
                <c:formatCode>General</c:formatCode>
                <c:ptCount val="1"/>
                <c:pt idx="0">
                  <c:v>0</c:v>
                </c:pt>
              </c:numCache>
            </c:numRef>
          </c:yVal>
          <c:bubbleSize>
            <c:numLit>
              <c:formatCode>General</c:formatCode>
              <c:ptCount val="1"/>
              <c:pt idx="0">
                <c:v>1</c:v>
              </c:pt>
            </c:numLit>
          </c:bubbleSize>
        </c:ser>
        <c:ser>
          <c:idx val="25"/>
          <c:order val="25"/>
          <c:tx>
            <c:v>unde side L3</c:v>
          </c:tx>
          <c:spPr>
            <a:solidFill>
              <a:srgbClr val="FF0000"/>
            </a:solidFill>
            <a:ln w="25400">
              <a:noFill/>
            </a:ln>
          </c:spPr>
          <c:xVal>
            <c:strRef>
              <c:f>'desigh Stairs'!$BB$30</c:f>
              <c:strCache>
                <c:ptCount val="1"/>
                <c:pt idx="0">
                  <c:v> </c:v>
                </c:pt>
              </c:strCache>
            </c:strRef>
          </c:xVal>
          <c:yVal>
            <c:numRef>
              <c:f>'desigh Stairs'!$BC$30</c:f>
              <c:numCache>
                <c:formatCode>General</c:formatCode>
                <c:ptCount val="1"/>
                <c:pt idx="0">
                  <c:v>0</c:v>
                </c:pt>
              </c:numCache>
            </c:numRef>
          </c:yVal>
          <c:bubbleSize>
            <c:numLit>
              <c:formatCode>General</c:formatCode>
              <c:ptCount val="1"/>
              <c:pt idx="0">
                <c:v>1</c:v>
              </c:pt>
            </c:numLit>
          </c:bubbleSize>
        </c:ser>
        <c:bubbleScale val="5"/>
        <c:axId val="83288832"/>
        <c:axId val="83290368"/>
      </c:bubbleChart>
      <c:valAx>
        <c:axId val="83288832"/>
        <c:scaling>
          <c:orientation val="minMax"/>
          <c:max val="140"/>
          <c:min val="0"/>
        </c:scaling>
        <c:delete val="1"/>
        <c:axPos val="b"/>
        <c:numFmt formatCode="General" sourceLinked="1"/>
        <c:tickLblPos val="nextTo"/>
        <c:crossAx val="83290368"/>
        <c:crossesAt val="0"/>
        <c:crossBetween val="midCat"/>
        <c:majorUnit val="10"/>
        <c:minorUnit val="2"/>
      </c:valAx>
      <c:valAx>
        <c:axId val="83290368"/>
        <c:scaling>
          <c:orientation val="minMax"/>
          <c:max val="160"/>
          <c:min val="0"/>
        </c:scaling>
        <c:delete val="1"/>
        <c:axPos val="l"/>
        <c:numFmt formatCode="General" sourceLinked="1"/>
        <c:tickLblPos val="nextTo"/>
        <c:crossAx val="83288832"/>
        <c:crossesAt val="0"/>
        <c:crossBetween val="midCat"/>
        <c:majorUnit val="10"/>
        <c:minorUnit val="2"/>
      </c:valAx>
      <c:spPr>
        <a:noFill/>
        <a:ln>
          <a:noFill/>
        </a:ln>
      </c:spPr>
    </c:plotArea>
    <c:plotVisOnly val="1"/>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th-TH"/>
  <c:style val="18"/>
  <c:chart>
    <c:autoTitleDeleted val="1"/>
    <c:plotArea>
      <c:layout>
        <c:manualLayout>
          <c:layoutTarget val="inner"/>
          <c:xMode val="edge"/>
          <c:yMode val="edge"/>
          <c:x val="2.5262713004053604E-3"/>
          <c:y val="0"/>
          <c:w val="0.99338253822403799"/>
          <c:h val="1"/>
        </c:manualLayout>
      </c:layout>
      <c:scatterChart>
        <c:scatterStyle val="lineMarker"/>
        <c:ser>
          <c:idx val="0"/>
          <c:order val="0"/>
          <c:tx>
            <c:v>beam</c:v>
          </c:tx>
          <c:spPr>
            <a:ln w="19050">
              <a:solidFill>
                <a:schemeClr val="bg1">
                  <a:lumMod val="50000"/>
                </a:schemeClr>
              </a:solidFill>
            </a:ln>
          </c:spPr>
          <c:marker>
            <c:symbol val="none"/>
          </c:marker>
          <c:xVal>
            <c:numRef>
              <c:f>'desigh Stairs'!$AY$21:$AY$25</c:f>
              <c:numCache>
                <c:formatCode>General</c:formatCode>
                <c:ptCount val="5"/>
                <c:pt idx="0">
                  <c:v>40</c:v>
                </c:pt>
                <c:pt idx="1">
                  <c:v>40</c:v>
                </c:pt>
                <c:pt idx="2">
                  <c:v>10</c:v>
                </c:pt>
                <c:pt idx="3">
                  <c:v>10</c:v>
                </c:pt>
                <c:pt idx="4">
                  <c:v>40</c:v>
                </c:pt>
              </c:numCache>
            </c:numRef>
          </c:xVal>
          <c:yVal>
            <c:numRef>
              <c:f>'desigh Stairs'!$AZ$21:$AZ$25</c:f>
              <c:numCache>
                <c:formatCode>General</c:formatCode>
                <c:ptCount val="5"/>
                <c:pt idx="0">
                  <c:v>70</c:v>
                </c:pt>
                <c:pt idx="1">
                  <c:v>10</c:v>
                </c:pt>
                <c:pt idx="2">
                  <c:v>10</c:v>
                </c:pt>
                <c:pt idx="3">
                  <c:v>70</c:v>
                </c:pt>
                <c:pt idx="4">
                  <c:v>70</c:v>
                </c:pt>
              </c:numCache>
            </c:numRef>
          </c:yVal>
        </c:ser>
        <c:ser>
          <c:idx val="1"/>
          <c:order val="1"/>
          <c:tx>
            <c:v>strirup</c:v>
          </c:tx>
          <c:spPr>
            <a:ln w="19050">
              <a:solidFill>
                <a:srgbClr val="C00000"/>
              </a:solidFill>
            </a:ln>
          </c:spPr>
          <c:marker>
            <c:symbol val="none"/>
          </c:marker>
          <c:xVal>
            <c:numRef>
              <c:f>'desigh Stairs'!$AY$26:$AY$30</c:f>
              <c:numCache>
                <c:formatCode>General</c:formatCode>
                <c:ptCount val="5"/>
                <c:pt idx="0">
                  <c:v>37.5</c:v>
                </c:pt>
                <c:pt idx="1">
                  <c:v>37.5</c:v>
                </c:pt>
                <c:pt idx="2">
                  <c:v>12.5</c:v>
                </c:pt>
                <c:pt idx="3">
                  <c:v>12.5</c:v>
                </c:pt>
                <c:pt idx="4">
                  <c:v>37.5</c:v>
                </c:pt>
              </c:numCache>
            </c:numRef>
          </c:xVal>
          <c:yVal>
            <c:numRef>
              <c:f>'desigh Stairs'!$AZ$26:$AZ$30</c:f>
              <c:numCache>
                <c:formatCode>General</c:formatCode>
                <c:ptCount val="5"/>
                <c:pt idx="0">
                  <c:v>66</c:v>
                </c:pt>
                <c:pt idx="1">
                  <c:v>14</c:v>
                </c:pt>
                <c:pt idx="2">
                  <c:v>14</c:v>
                </c:pt>
                <c:pt idx="3">
                  <c:v>66</c:v>
                </c:pt>
                <c:pt idx="4">
                  <c:v>66</c:v>
                </c:pt>
              </c:numCache>
            </c:numRef>
          </c:yVal>
        </c:ser>
        <c:ser>
          <c:idx val="2"/>
          <c:order val="2"/>
          <c:tx>
            <c:v>dimension bx</c:v>
          </c:tx>
          <c:spPr>
            <a:ln w="9525">
              <a:solidFill>
                <a:sysClr val="windowText" lastClr="000000"/>
              </a:solidFill>
            </a:ln>
          </c:spPr>
          <c:marker>
            <c:symbol val="none"/>
          </c:marker>
          <c:xVal>
            <c:numRef>
              <c:f>'desigh Stairs'!$BK$22:$BK$23</c:f>
              <c:numCache>
                <c:formatCode>General</c:formatCode>
                <c:ptCount val="2"/>
                <c:pt idx="0">
                  <c:v>10</c:v>
                </c:pt>
                <c:pt idx="1">
                  <c:v>10</c:v>
                </c:pt>
              </c:numCache>
            </c:numRef>
          </c:xVal>
          <c:yVal>
            <c:numRef>
              <c:f>'desigh Stairs'!$BL$22:$BL$23</c:f>
              <c:numCache>
                <c:formatCode>General</c:formatCode>
                <c:ptCount val="2"/>
                <c:pt idx="0">
                  <c:v>77</c:v>
                </c:pt>
                <c:pt idx="1">
                  <c:v>92</c:v>
                </c:pt>
              </c:numCache>
            </c:numRef>
          </c:yVal>
        </c:ser>
        <c:ser>
          <c:idx val="3"/>
          <c:order val="3"/>
          <c:tx>
            <c:v>dimension by</c:v>
          </c:tx>
          <c:spPr>
            <a:ln w="6350" cap="rnd">
              <a:solidFill>
                <a:srgbClr val="C00000"/>
              </a:solidFill>
              <a:headEnd type="triangle" w="sm" len="med"/>
              <a:tailEnd type="triangle" w="sm" len="med"/>
            </a:ln>
          </c:spPr>
          <c:marker>
            <c:symbol val="none"/>
          </c:marker>
          <c:xVal>
            <c:numRef>
              <c:f>'desigh Stairs'!$BM$22:$BM$23</c:f>
              <c:numCache>
                <c:formatCode>General</c:formatCode>
                <c:ptCount val="2"/>
                <c:pt idx="0">
                  <c:v>60</c:v>
                </c:pt>
                <c:pt idx="1">
                  <c:v>60</c:v>
                </c:pt>
              </c:numCache>
            </c:numRef>
          </c:xVal>
          <c:yVal>
            <c:numRef>
              <c:f>'desigh Stairs'!$BN$22:$BN$23</c:f>
              <c:numCache>
                <c:formatCode>General</c:formatCode>
                <c:ptCount val="2"/>
                <c:pt idx="0">
                  <c:v>10</c:v>
                </c:pt>
                <c:pt idx="1">
                  <c:v>70</c:v>
                </c:pt>
              </c:numCache>
            </c:numRef>
          </c:yVal>
          <c:smooth val="1"/>
        </c:ser>
        <c:ser>
          <c:idx val="4"/>
          <c:order val="4"/>
          <c:tx>
            <c:v>dimension by 2</c:v>
          </c:tx>
          <c:spPr>
            <a:ln w="9525">
              <a:solidFill>
                <a:sysClr val="windowText" lastClr="000000"/>
              </a:solidFill>
            </a:ln>
          </c:spPr>
          <c:marker>
            <c:symbol val="none"/>
          </c:marker>
          <c:xVal>
            <c:numRef>
              <c:f>'desigh Stairs'!$BM$24:$BM$25</c:f>
              <c:numCache>
                <c:formatCode>General</c:formatCode>
                <c:ptCount val="2"/>
                <c:pt idx="0">
                  <c:v>50</c:v>
                </c:pt>
                <c:pt idx="1">
                  <c:v>65</c:v>
                </c:pt>
              </c:numCache>
            </c:numRef>
          </c:xVal>
          <c:yVal>
            <c:numRef>
              <c:f>'desigh Stairs'!$BN$24:$BN$25</c:f>
              <c:numCache>
                <c:formatCode>General</c:formatCode>
                <c:ptCount val="2"/>
                <c:pt idx="0">
                  <c:v>10</c:v>
                </c:pt>
                <c:pt idx="1">
                  <c:v>10</c:v>
                </c:pt>
              </c:numCache>
            </c:numRef>
          </c:yVal>
        </c:ser>
        <c:ser>
          <c:idx val="5"/>
          <c:order val="5"/>
          <c:tx>
            <c:v>dimension by3</c:v>
          </c:tx>
          <c:spPr>
            <a:ln w="9525">
              <a:solidFill>
                <a:schemeClr val="tx1"/>
              </a:solidFill>
              <a:prstDash val="solid"/>
            </a:ln>
          </c:spPr>
          <c:marker>
            <c:symbol val="none"/>
          </c:marker>
          <c:xVal>
            <c:numRef>
              <c:f>'desigh Stairs'!$BM$26:$BM$27</c:f>
              <c:numCache>
                <c:formatCode>General</c:formatCode>
                <c:ptCount val="2"/>
                <c:pt idx="0">
                  <c:v>50</c:v>
                </c:pt>
                <c:pt idx="1">
                  <c:v>65</c:v>
                </c:pt>
              </c:numCache>
            </c:numRef>
          </c:xVal>
          <c:yVal>
            <c:numRef>
              <c:f>'desigh Stairs'!$BN$26:$BN$27</c:f>
              <c:numCache>
                <c:formatCode>General</c:formatCode>
                <c:ptCount val="2"/>
                <c:pt idx="0">
                  <c:v>70</c:v>
                </c:pt>
                <c:pt idx="1">
                  <c:v>70</c:v>
                </c:pt>
              </c:numCache>
            </c:numRef>
          </c:yVal>
        </c:ser>
        <c:ser>
          <c:idx val="6"/>
          <c:order val="6"/>
          <c:tx>
            <c:v>dimension bx2</c:v>
          </c:tx>
          <c:spPr>
            <a:ln w="6350">
              <a:solidFill>
                <a:srgbClr val="C00000"/>
              </a:solidFill>
              <a:headEnd type="triangle" w="sm" len="med"/>
              <a:tailEnd type="triangle" w="sm" len="med"/>
            </a:ln>
          </c:spPr>
          <c:marker>
            <c:symbol val="none"/>
          </c:marker>
          <c:xVal>
            <c:numRef>
              <c:f>'desigh Stairs'!$BK$24:$BK$25</c:f>
              <c:numCache>
                <c:formatCode>General</c:formatCode>
                <c:ptCount val="2"/>
                <c:pt idx="0">
                  <c:v>10</c:v>
                </c:pt>
                <c:pt idx="1">
                  <c:v>40</c:v>
                </c:pt>
              </c:numCache>
            </c:numRef>
          </c:xVal>
          <c:yVal>
            <c:numRef>
              <c:f>'desigh Stairs'!$BL$24:$BL$25</c:f>
              <c:numCache>
                <c:formatCode>General</c:formatCode>
                <c:ptCount val="2"/>
                <c:pt idx="0">
                  <c:v>88</c:v>
                </c:pt>
                <c:pt idx="1">
                  <c:v>88</c:v>
                </c:pt>
              </c:numCache>
            </c:numRef>
          </c:yVal>
          <c:smooth val="1"/>
        </c:ser>
        <c:ser>
          <c:idx val="7"/>
          <c:order val="7"/>
          <c:tx>
            <c:v>dimension bx3</c:v>
          </c:tx>
          <c:spPr>
            <a:ln w="9525">
              <a:solidFill>
                <a:sysClr val="windowText" lastClr="000000"/>
              </a:solidFill>
            </a:ln>
          </c:spPr>
          <c:marker>
            <c:symbol val="none"/>
          </c:marker>
          <c:xVal>
            <c:numRef>
              <c:f>'desigh Stairs'!$BK$26:$BK$27</c:f>
              <c:numCache>
                <c:formatCode>General</c:formatCode>
                <c:ptCount val="2"/>
                <c:pt idx="0">
                  <c:v>40</c:v>
                </c:pt>
                <c:pt idx="1">
                  <c:v>40</c:v>
                </c:pt>
              </c:numCache>
            </c:numRef>
          </c:xVal>
          <c:yVal>
            <c:numRef>
              <c:f>'desigh Stairs'!$BL$26:$BL$27</c:f>
              <c:numCache>
                <c:formatCode>General</c:formatCode>
                <c:ptCount val="2"/>
                <c:pt idx="0">
                  <c:v>92</c:v>
                </c:pt>
                <c:pt idx="1">
                  <c:v>77</c:v>
                </c:pt>
              </c:numCache>
            </c:numRef>
          </c:yVal>
        </c:ser>
        <c:axId val="83376768"/>
        <c:axId val="83399040"/>
      </c:scatterChart>
      <c:valAx>
        <c:axId val="83376768"/>
        <c:scaling>
          <c:orientation val="minMax"/>
          <c:max val="140"/>
          <c:min val="0"/>
        </c:scaling>
        <c:delete val="1"/>
        <c:axPos val="b"/>
        <c:numFmt formatCode="General" sourceLinked="1"/>
        <c:tickLblPos val="nextTo"/>
        <c:crossAx val="83399040"/>
        <c:crossesAt val="0"/>
        <c:crossBetween val="midCat"/>
        <c:majorUnit val="10"/>
        <c:minorUnit val="2"/>
      </c:valAx>
      <c:valAx>
        <c:axId val="83399040"/>
        <c:scaling>
          <c:orientation val="minMax"/>
          <c:max val="160"/>
          <c:min val="0"/>
        </c:scaling>
        <c:delete val="1"/>
        <c:axPos val="l"/>
        <c:majorGridlines>
          <c:spPr>
            <a:ln>
              <a:noFill/>
            </a:ln>
          </c:spPr>
        </c:majorGridlines>
        <c:numFmt formatCode="General" sourceLinked="1"/>
        <c:tickLblPos val="nextTo"/>
        <c:crossAx val="83376768"/>
        <c:crossesAt val="0"/>
        <c:crossBetween val="midCat"/>
        <c:majorUnit val="10"/>
        <c:minorUnit val="2"/>
      </c:valAx>
      <c:spPr>
        <a:noFill/>
        <a:ln>
          <a:noFill/>
        </a:ln>
      </c:spPr>
    </c:plotArea>
    <c:plotVisOnly val="1"/>
    <c:dispBlanksAs val="gap"/>
  </c:chart>
  <c:spPr>
    <a:noFill/>
    <a:ln>
      <a:noFill/>
    </a:ln>
  </c:spPr>
  <c:printSettings>
    <c:headerFooter/>
    <c:pageMargins b="0.75000000000000577" l="0.70000000000000062" r="0.70000000000000062" t="0.750000000000005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th-TH"/>
  <c:style val="4"/>
  <c:chart>
    <c:autoTitleDeleted val="1"/>
    <c:plotArea>
      <c:layout>
        <c:manualLayout>
          <c:layoutTarget val="inner"/>
          <c:xMode val="edge"/>
          <c:yMode val="edge"/>
          <c:x val="0"/>
          <c:y val="2.9375006799770318E-4"/>
          <c:w val="1"/>
          <c:h val="0.99970623771054934"/>
        </c:manualLayout>
      </c:layout>
      <c:bubbleChart>
        <c:varyColors val="1"/>
        <c:ser>
          <c:idx val="3"/>
          <c:order val="0"/>
          <c:tx>
            <c:v>underside l2</c:v>
          </c:tx>
          <c:spPr>
            <a:solidFill>
              <a:srgbClr val="FF0000"/>
            </a:solidFill>
            <a:ln w="25400">
              <a:noFill/>
            </a:ln>
          </c:spPr>
          <c:xVal>
            <c:numRef>
              <c:f>'desigh Stairs'!$BB$26</c:f>
              <c:numCache>
                <c:formatCode>General</c:formatCode>
                <c:ptCount val="1"/>
                <c:pt idx="0">
                  <c:v>14.5</c:v>
                </c:pt>
              </c:numCache>
            </c:numRef>
          </c:xVal>
          <c:yVal>
            <c:numRef>
              <c:f>'desigh Stairs'!$BC$26</c:f>
              <c:numCache>
                <c:formatCode>General</c:formatCode>
                <c:ptCount val="1"/>
                <c:pt idx="0">
                  <c:v>20</c:v>
                </c:pt>
              </c:numCache>
            </c:numRef>
          </c:yVal>
          <c:bubbleSize>
            <c:numLit>
              <c:formatCode>General</c:formatCode>
              <c:ptCount val="1"/>
              <c:pt idx="0">
                <c:v>1</c:v>
              </c:pt>
            </c:numLit>
          </c:bubbleSize>
        </c:ser>
        <c:ser>
          <c:idx val="2"/>
          <c:order val="1"/>
          <c:tx>
            <c:v>under c</c:v>
          </c:tx>
          <c:spPr>
            <a:solidFill>
              <a:srgbClr val="FF0000"/>
            </a:solidFill>
            <a:ln>
              <a:noFill/>
            </a:ln>
          </c:spPr>
          <c:xVal>
            <c:numRef>
              <c:f>'desigh Stairs'!$BB$25</c:f>
              <c:numCache>
                <c:formatCode>General</c:formatCode>
                <c:ptCount val="1"/>
                <c:pt idx="0">
                  <c:v>25</c:v>
                </c:pt>
              </c:numCache>
            </c:numRef>
          </c:xVal>
          <c:yVal>
            <c:numRef>
              <c:f>'desigh Stairs'!$BC$25</c:f>
              <c:numCache>
                <c:formatCode>General</c:formatCode>
                <c:ptCount val="1"/>
                <c:pt idx="0">
                  <c:v>15.85</c:v>
                </c:pt>
              </c:numCache>
            </c:numRef>
          </c:yVal>
          <c:bubbleSize>
            <c:numLit>
              <c:formatCode>General</c:formatCode>
              <c:ptCount val="2"/>
              <c:pt idx="0">
                <c:v>1</c:v>
              </c:pt>
              <c:pt idx="1">
                <c:v>1</c:v>
              </c:pt>
            </c:numLit>
          </c:bubbleSize>
        </c:ser>
        <c:ser>
          <c:idx val="1"/>
          <c:order val="2"/>
          <c:tx>
            <c:v>under2</c:v>
          </c:tx>
          <c:spPr>
            <a:solidFill>
              <a:srgbClr val="FF0000"/>
            </a:solidFill>
            <a:ln w="25400">
              <a:noFill/>
            </a:ln>
          </c:spPr>
          <c:xVal>
            <c:numRef>
              <c:f>'desigh Stairs'!$BB$23:$BB$24</c:f>
              <c:numCache>
                <c:formatCode>General</c:formatCode>
                <c:ptCount val="2"/>
                <c:pt idx="0">
                  <c:v>14.5</c:v>
                </c:pt>
                <c:pt idx="1">
                  <c:v>36</c:v>
                </c:pt>
              </c:numCache>
            </c:numRef>
          </c:xVal>
          <c:yVal>
            <c:numRef>
              <c:f>'desigh Stairs'!$BC$23:$BC$24</c:f>
              <c:numCache>
                <c:formatCode>General</c:formatCode>
                <c:ptCount val="2"/>
                <c:pt idx="0">
                  <c:v>64.400000000000006</c:v>
                </c:pt>
                <c:pt idx="1">
                  <c:v>64.400000000000006</c:v>
                </c:pt>
              </c:numCache>
            </c:numRef>
          </c:yVal>
          <c:bubbleSize>
            <c:numLit>
              <c:formatCode>General</c:formatCode>
              <c:ptCount val="2"/>
              <c:pt idx="0">
                <c:v>1</c:v>
              </c:pt>
              <c:pt idx="1">
                <c:v>1</c:v>
              </c:pt>
            </c:numLit>
          </c:bubbleSize>
        </c:ser>
        <c:ser>
          <c:idx val="0"/>
          <c:order val="3"/>
          <c:tx>
            <c:v>under l</c:v>
          </c:tx>
          <c:spPr>
            <a:solidFill>
              <a:srgbClr val="FF0000"/>
            </a:solidFill>
          </c:spPr>
          <c:xVal>
            <c:numRef>
              <c:f>'desigh Stairs'!$BB$21</c:f>
              <c:numCache>
                <c:formatCode>General</c:formatCode>
                <c:ptCount val="1"/>
                <c:pt idx="0">
                  <c:v>14.5</c:v>
                </c:pt>
              </c:numCache>
            </c:numRef>
          </c:xVal>
          <c:yVal>
            <c:numRef>
              <c:f>'desigh Stairs'!$BC$21</c:f>
              <c:numCache>
                <c:formatCode>General</c:formatCode>
                <c:ptCount val="1"/>
                <c:pt idx="0">
                  <c:v>15.85</c:v>
                </c:pt>
              </c:numCache>
            </c:numRef>
          </c:yVal>
          <c:bubbleSize>
            <c:numLit>
              <c:formatCode>General</c:formatCode>
              <c:ptCount val="1"/>
              <c:pt idx="0">
                <c:v>1</c:v>
              </c:pt>
            </c:numLit>
          </c:bubbleSize>
        </c:ser>
        <c:ser>
          <c:idx val="4"/>
          <c:order val="4"/>
          <c:tx>
            <c:v>under c2</c:v>
          </c:tx>
          <c:spPr>
            <a:solidFill>
              <a:srgbClr val="FF0000"/>
            </a:solidFill>
            <a:ln w="25400">
              <a:noFill/>
            </a:ln>
          </c:spPr>
          <c:xVal>
            <c:strRef>
              <c:f>'desigh Stairs'!$BB$28</c:f>
              <c:strCache>
                <c:ptCount val="1"/>
                <c:pt idx="0">
                  <c:v> </c:v>
                </c:pt>
              </c:strCache>
            </c:strRef>
          </c:xVal>
          <c:yVal>
            <c:numRef>
              <c:f>'desigh Stairs'!$BC$28</c:f>
              <c:numCache>
                <c:formatCode>General</c:formatCode>
                <c:ptCount val="1"/>
                <c:pt idx="0">
                  <c:v>0</c:v>
                </c:pt>
              </c:numCache>
            </c:numRef>
          </c:yVal>
          <c:bubbleSize>
            <c:numLit>
              <c:formatCode>General</c:formatCode>
              <c:ptCount val="1"/>
              <c:pt idx="0">
                <c:v>1</c:v>
              </c:pt>
            </c:numLit>
          </c:bubbleSize>
        </c:ser>
        <c:ser>
          <c:idx val="5"/>
          <c:order val="5"/>
          <c:tx>
            <c:v>under side 3</c:v>
          </c:tx>
          <c:spPr>
            <a:solidFill>
              <a:srgbClr val="FF0000"/>
            </a:solidFill>
            <a:ln w="25400">
              <a:noFill/>
            </a:ln>
          </c:spPr>
          <c:xVal>
            <c:strRef>
              <c:f>'desigh Stairs'!$BB$29</c:f>
              <c:strCache>
                <c:ptCount val="1"/>
                <c:pt idx="0">
                  <c:v> </c:v>
                </c:pt>
              </c:strCache>
            </c:strRef>
          </c:xVal>
          <c:yVal>
            <c:numRef>
              <c:f>'desigh Stairs'!$BC$29</c:f>
              <c:numCache>
                <c:formatCode>General</c:formatCode>
                <c:ptCount val="1"/>
                <c:pt idx="0">
                  <c:v>0</c:v>
                </c:pt>
              </c:numCache>
            </c:numRef>
          </c:yVal>
          <c:bubbleSize>
            <c:numLit>
              <c:formatCode>General</c:formatCode>
              <c:ptCount val="1"/>
              <c:pt idx="0">
                <c:v>1</c:v>
              </c:pt>
            </c:numLit>
          </c:bubbleSize>
        </c:ser>
        <c:ser>
          <c:idx val="6"/>
          <c:order val="6"/>
          <c:tx>
            <c:v>under c3</c:v>
          </c:tx>
          <c:spPr>
            <a:solidFill>
              <a:srgbClr val="FF0000"/>
            </a:solidFill>
            <a:ln w="25400">
              <a:noFill/>
            </a:ln>
          </c:spPr>
          <c:xVal>
            <c:strRef>
              <c:f>'desigh Stairs'!$BB$31</c:f>
              <c:strCache>
                <c:ptCount val="1"/>
                <c:pt idx="0">
                  <c:v> </c:v>
                </c:pt>
              </c:strCache>
            </c:strRef>
          </c:xVal>
          <c:yVal>
            <c:numRef>
              <c:f>'desigh Stairs'!$BC$31</c:f>
              <c:numCache>
                <c:formatCode>General</c:formatCode>
                <c:ptCount val="1"/>
                <c:pt idx="0">
                  <c:v>0</c:v>
                </c:pt>
              </c:numCache>
            </c:numRef>
          </c:yVal>
          <c:bubbleSize>
            <c:numLit>
              <c:formatCode>General</c:formatCode>
              <c:ptCount val="1"/>
              <c:pt idx="0">
                <c:v>1</c:v>
              </c:pt>
            </c:numLit>
          </c:bubbleSize>
        </c:ser>
        <c:ser>
          <c:idx val="7"/>
          <c:order val="7"/>
          <c:tx>
            <c:v>midle L</c:v>
          </c:tx>
          <c:spPr>
            <a:solidFill>
              <a:srgbClr val="FF0000"/>
            </a:solidFill>
            <a:ln w="25400">
              <a:noFill/>
            </a:ln>
          </c:spPr>
          <c:xVal>
            <c:strRef>
              <c:f>'desigh Stairs'!$BB$32</c:f>
              <c:strCache>
                <c:ptCount val="1"/>
                <c:pt idx="0">
                  <c:v> </c:v>
                </c:pt>
              </c:strCache>
            </c:strRef>
          </c:xVal>
          <c:yVal>
            <c:numRef>
              <c:f>'desigh Stairs'!$BC$32</c:f>
              <c:numCache>
                <c:formatCode>General</c:formatCode>
                <c:ptCount val="1"/>
                <c:pt idx="0">
                  <c:v>0</c:v>
                </c:pt>
              </c:numCache>
            </c:numRef>
          </c:yVal>
          <c:bubbleSize>
            <c:numLit>
              <c:formatCode>General</c:formatCode>
              <c:ptCount val="1"/>
              <c:pt idx="0">
                <c:v>1</c:v>
              </c:pt>
            </c:numLit>
          </c:bubbleSize>
        </c:ser>
        <c:ser>
          <c:idx val="8"/>
          <c:order val="8"/>
          <c:tx>
            <c:v>middle R</c:v>
          </c:tx>
          <c:spPr>
            <a:solidFill>
              <a:srgbClr val="FF0000"/>
            </a:solidFill>
            <a:ln w="25400">
              <a:noFill/>
            </a:ln>
          </c:spPr>
          <c:xVal>
            <c:strRef>
              <c:f>'desigh Stairs'!$BB$33</c:f>
              <c:strCache>
                <c:ptCount val="1"/>
                <c:pt idx="0">
                  <c:v> </c:v>
                </c:pt>
              </c:strCache>
            </c:strRef>
          </c:xVal>
          <c:yVal>
            <c:numRef>
              <c:f>'desigh Stairs'!$BC$33</c:f>
              <c:numCache>
                <c:formatCode>General</c:formatCode>
                <c:ptCount val="1"/>
                <c:pt idx="0">
                  <c:v>0</c:v>
                </c:pt>
              </c:numCache>
            </c:numRef>
          </c:yVal>
          <c:bubbleSize>
            <c:numLit>
              <c:formatCode>General</c:formatCode>
              <c:ptCount val="1"/>
              <c:pt idx="0">
                <c:v>1</c:v>
              </c:pt>
            </c:numLit>
          </c:bubbleSize>
        </c:ser>
        <c:ser>
          <c:idx val="9"/>
          <c:order val="9"/>
          <c:tx>
            <c:v>underside  R</c:v>
          </c:tx>
          <c:spPr>
            <a:solidFill>
              <a:srgbClr val="FF0000"/>
            </a:solidFill>
            <a:ln w="25400">
              <a:noFill/>
            </a:ln>
          </c:spPr>
          <c:xVal>
            <c:numRef>
              <c:f>'desigh Stairs'!$BB$27</c:f>
              <c:numCache>
                <c:formatCode>General</c:formatCode>
                <c:ptCount val="1"/>
                <c:pt idx="0">
                  <c:v>36</c:v>
                </c:pt>
              </c:numCache>
            </c:numRef>
          </c:xVal>
          <c:yVal>
            <c:numRef>
              <c:f>'desigh Stairs'!$BC$27</c:f>
              <c:numCache>
                <c:formatCode>General</c:formatCode>
                <c:ptCount val="1"/>
                <c:pt idx="0">
                  <c:v>20</c:v>
                </c:pt>
              </c:numCache>
            </c:numRef>
          </c:yVal>
          <c:bubbleSize>
            <c:numLit>
              <c:formatCode>General</c:formatCode>
              <c:ptCount val="1"/>
              <c:pt idx="0">
                <c:v>1</c:v>
              </c:pt>
            </c:numLit>
          </c:bubbleSize>
        </c:ser>
        <c:ser>
          <c:idx val="10"/>
          <c:order val="10"/>
          <c:tx>
            <c:v>middle c</c:v>
          </c:tx>
          <c:spPr>
            <a:solidFill>
              <a:srgbClr val="FF0000"/>
            </a:solidFill>
            <a:ln w="25400">
              <a:noFill/>
            </a:ln>
          </c:spPr>
          <c:xVal>
            <c:strRef>
              <c:f>'desigh Stairs'!$BB$34</c:f>
              <c:strCache>
                <c:ptCount val="1"/>
                <c:pt idx="0">
                  <c:v> </c:v>
                </c:pt>
              </c:strCache>
            </c:strRef>
          </c:xVal>
          <c:yVal>
            <c:numRef>
              <c:f>'desigh Stairs'!$BC$34</c:f>
              <c:numCache>
                <c:formatCode>General</c:formatCode>
                <c:ptCount val="1"/>
                <c:pt idx="0">
                  <c:v>0</c:v>
                </c:pt>
              </c:numCache>
            </c:numRef>
          </c:yVal>
          <c:bubbleSize>
            <c:numLit>
              <c:formatCode>General</c:formatCode>
              <c:ptCount val="1"/>
              <c:pt idx="0">
                <c:v>1</c:v>
              </c:pt>
            </c:numLit>
          </c:bubbleSize>
        </c:ser>
        <c:ser>
          <c:idx val="11"/>
          <c:order val="11"/>
          <c:tx>
            <c:v>middle L2</c:v>
          </c:tx>
          <c:spPr>
            <a:solidFill>
              <a:srgbClr val="FF0000"/>
            </a:solidFill>
            <a:ln w="25400">
              <a:noFill/>
            </a:ln>
          </c:spPr>
          <c:xVal>
            <c:numRef>
              <c:f>'desigh Stairs'!$BB$35</c:f>
              <c:numCache>
                <c:formatCode>General</c:formatCode>
                <c:ptCount val="1"/>
                <c:pt idx="0">
                  <c:v>14.5</c:v>
                </c:pt>
              </c:numCache>
            </c:numRef>
          </c:xVal>
          <c:yVal>
            <c:numRef>
              <c:f>'desigh Stairs'!$BC$35</c:f>
              <c:numCache>
                <c:formatCode>General</c:formatCode>
                <c:ptCount val="1"/>
                <c:pt idx="0">
                  <c:v>45</c:v>
                </c:pt>
              </c:numCache>
            </c:numRef>
          </c:yVal>
          <c:bubbleSize>
            <c:numLit>
              <c:formatCode>General</c:formatCode>
              <c:ptCount val="1"/>
              <c:pt idx="0">
                <c:v>1</c:v>
              </c:pt>
            </c:numLit>
          </c:bubbleSize>
        </c:ser>
        <c:ser>
          <c:idx val="12"/>
          <c:order val="12"/>
          <c:tx>
            <c:v>middle r2</c:v>
          </c:tx>
          <c:spPr>
            <a:solidFill>
              <a:srgbClr val="FF0000"/>
            </a:solidFill>
            <a:ln w="25400">
              <a:noFill/>
            </a:ln>
          </c:spPr>
          <c:xVal>
            <c:numRef>
              <c:f>'desigh Stairs'!$BB$36</c:f>
              <c:numCache>
                <c:formatCode>General</c:formatCode>
                <c:ptCount val="1"/>
                <c:pt idx="0">
                  <c:v>36</c:v>
                </c:pt>
              </c:numCache>
            </c:numRef>
          </c:xVal>
          <c:yVal>
            <c:numRef>
              <c:f>'desigh Stairs'!$BC$36</c:f>
              <c:numCache>
                <c:formatCode>General</c:formatCode>
                <c:ptCount val="1"/>
                <c:pt idx="0">
                  <c:v>45</c:v>
                </c:pt>
              </c:numCache>
            </c:numRef>
          </c:yVal>
          <c:bubbleSize>
            <c:numLit>
              <c:formatCode>General</c:formatCode>
              <c:ptCount val="1"/>
              <c:pt idx="0">
                <c:v>1</c:v>
              </c:pt>
            </c:numLit>
          </c:bubbleSize>
        </c:ser>
        <c:ser>
          <c:idx val="13"/>
          <c:order val="13"/>
          <c:tx>
            <c:v>middle c2</c:v>
          </c:tx>
          <c:spPr>
            <a:ln w="25400">
              <a:noFill/>
            </a:ln>
          </c:spPr>
          <c:dPt>
            <c:idx val="0"/>
            <c:spPr>
              <a:solidFill>
                <a:srgbClr val="FF0000"/>
              </a:solidFill>
              <a:ln w="25400">
                <a:noFill/>
              </a:ln>
            </c:spPr>
          </c:dPt>
          <c:xVal>
            <c:strRef>
              <c:f>'desigh Stairs'!$BB$37</c:f>
              <c:strCache>
                <c:ptCount val="1"/>
                <c:pt idx="0">
                  <c:v> </c:v>
                </c:pt>
              </c:strCache>
            </c:strRef>
          </c:xVal>
          <c:yVal>
            <c:numRef>
              <c:f>'desigh Stairs'!$BC$37</c:f>
              <c:numCache>
                <c:formatCode>General</c:formatCode>
                <c:ptCount val="1"/>
                <c:pt idx="0">
                  <c:v>0</c:v>
                </c:pt>
              </c:numCache>
            </c:numRef>
          </c:yVal>
          <c:bubbleSize>
            <c:numLit>
              <c:formatCode>General</c:formatCode>
              <c:ptCount val="1"/>
              <c:pt idx="0">
                <c:v>1</c:v>
              </c:pt>
            </c:numLit>
          </c:bubbleSize>
        </c:ser>
        <c:ser>
          <c:idx val="14"/>
          <c:order val="14"/>
          <c:tx>
            <c:v>under r</c:v>
          </c:tx>
          <c:spPr>
            <a:solidFill>
              <a:srgbClr val="FF0000"/>
            </a:solidFill>
            <a:ln w="25400">
              <a:noFill/>
            </a:ln>
          </c:spPr>
          <c:xVal>
            <c:numRef>
              <c:f>'desigh Stairs'!$BB$22</c:f>
              <c:numCache>
                <c:formatCode>General</c:formatCode>
                <c:ptCount val="1"/>
                <c:pt idx="0">
                  <c:v>36</c:v>
                </c:pt>
              </c:numCache>
            </c:numRef>
          </c:xVal>
          <c:yVal>
            <c:numRef>
              <c:f>'desigh Stairs'!$BC$22</c:f>
              <c:numCache>
                <c:formatCode>General</c:formatCode>
                <c:ptCount val="1"/>
                <c:pt idx="0">
                  <c:v>15.85</c:v>
                </c:pt>
              </c:numCache>
            </c:numRef>
          </c:yVal>
          <c:bubbleSize>
            <c:numLit>
              <c:formatCode>General</c:formatCode>
              <c:ptCount val="1"/>
              <c:pt idx="0">
                <c:v>1</c:v>
              </c:pt>
            </c:numLit>
          </c:bubbleSize>
        </c:ser>
        <c:ser>
          <c:idx val="15"/>
          <c:order val="15"/>
          <c:tx>
            <c:v>miidle l3</c:v>
          </c:tx>
          <c:spPr>
            <a:solidFill>
              <a:srgbClr val="FF0000"/>
            </a:solidFill>
            <a:ln w="25400">
              <a:noFill/>
            </a:ln>
          </c:spPr>
          <c:xVal>
            <c:numRef>
              <c:f>'desigh Stairs'!$BB$38</c:f>
              <c:numCache>
                <c:formatCode>General</c:formatCode>
                <c:ptCount val="1"/>
                <c:pt idx="0">
                  <c:v>14.5</c:v>
                </c:pt>
              </c:numCache>
            </c:numRef>
          </c:xVal>
          <c:yVal>
            <c:numRef>
              <c:f>'desigh Stairs'!$BC$38</c:f>
              <c:numCache>
                <c:formatCode>General</c:formatCode>
                <c:ptCount val="1"/>
                <c:pt idx="0">
                  <c:v>35</c:v>
                </c:pt>
              </c:numCache>
            </c:numRef>
          </c:yVal>
          <c:bubbleSize>
            <c:numLit>
              <c:formatCode>General</c:formatCode>
              <c:ptCount val="1"/>
              <c:pt idx="0">
                <c:v>1</c:v>
              </c:pt>
            </c:numLit>
          </c:bubbleSize>
        </c:ser>
        <c:ser>
          <c:idx val="16"/>
          <c:order val="16"/>
          <c:tx>
            <c:v>midle c3</c:v>
          </c:tx>
          <c:spPr>
            <a:solidFill>
              <a:srgbClr val="FF0000"/>
            </a:solidFill>
            <a:ln w="25400">
              <a:noFill/>
            </a:ln>
          </c:spPr>
          <c:xVal>
            <c:strRef>
              <c:f>'desigh Stairs'!$BB$39</c:f>
              <c:strCache>
                <c:ptCount val="1"/>
                <c:pt idx="0">
                  <c:v> </c:v>
                </c:pt>
              </c:strCache>
            </c:strRef>
          </c:xVal>
          <c:yVal>
            <c:numRef>
              <c:f>'desigh Stairs'!$BC$39</c:f>
              <c:numCache>
                <c:formatCode>General</c:formatCode>
                <c:ptCount val="1"/>
                <c:pt idx="0">
                  <c:v>0</c:v>
                </c:pt>
              </c:numCache>
            </c:numRef>
          </c:yVal>
          <c:bubbleSize>
            <c:numLit>
              <c:formatCode>General</c:formatCode>
              <c:ptCount val="1"/>
              <c:pt idx="0">
                <c:v>1</c:v>
              </c:pt>
            </c:numLit>
          </c:bubbleSize>
        </c:ser>
        <c:ser>
          <c:idx val="17"/>
          <c:order val="17"/>
          <c:tx>
            <c:v>middle R3</c:v>
          </c:tx>
          <c:spPr>
            <a:solidFill>
              <a:srgbClr val="FF0000"/>
            </a:solidFill>
            <a:ln w="25400">
              <a:noFill/>
            </a:ln>
          </c:spPr>
          <c:xVal>
            <c:numRef>
              <c:f>'desigh Stairs'!$BB$40</c:f>
              <c:numCache>
                <c:formatCode>General</c:formatCode>
                <c:ptCount val="1"/>
                <c:pt idx="0">
                  <c:v>36</c:v>
                </c:pt>
              </c:numCache>
            </c:numRef>
          </c:xVal>
          <c:yVal>
            <c:numRef>
              <c:f>'desigh Stairs'!$BC$40</c:f>
              <c:numCache>
                <c:formatCode>General</c:formatCode>
                <c:ptCount val="1"/>
                <c:pt idx="0">
                  <c:v>35</c:v>
                </c:pt>
              </c:numCache>
            </c:numRef>
          </c:yVal>
          <c:bubbleSize>
            <c:numLit>
              <c:formatCode>General</c:formatCode>
              <c:ptCount val="1"/>
              <c:pt idx="0">
                <c:v>1</c:v>
              </c:pt>
            </c:numLit>
          </c:bubbleSize>
        </c:ser>
        <c:ser>
          <c:idx val="18"/>
          <c:order val="18"/>
          <c:tx>
            <c:v>top c</c:v>
          </c:tx>
          <c:spPr>
            <a:solidFill>
              <a:srgbClr val="FF0000"/>
            </a:solidFill>
            <a:ln w="25400">
              <a:noFill/>
            </a:ln>
          </c:spPr>
          <c:xVal>
            <c:numRef>
              <c:f>'desigh Stairs'!$BB$41</c:f>
              <c:numCache>
                <c:formatCode>General</c:formatCode>
                <c:ptCount val="1"/>
                <c:pt idx="0">
                  <c:v>25</c:v>
                </c:pt>
              </c:numCache>
            </c:numRef>
          </c:xVal>
          <c:yVal>
            <c:numRef>
              <c:f>'desigh Stairs'!$BC$41</c:f>
              <c:numCache>
                <c:formatCode>General</c:formatCode>
                <c:ptCount val="1"/>
                <c:pt idx="0">
                  <c:v>64.400000000000006</c:v>
                </c:pt>
              </c:numCache>
            </c:numRef>
          </c:yVal>
          <c:bubbleSize>
            <c:numLit>
              <c:formatCode>General</c:formatCode>
              <c:ptCount val="1"/>
              <c:pt idx="0">
                <c:v>1</c:v>
              </c:pt>
            </c:numLit>
          </c:bubbleSize>
        </c:ser>
        <c:ser>
          <c:idx val="19"/>
          <c:order val="19"/>
          <c:tx>
            <c:v>top r2</c:v>
          </c:tx>
          <c:spPr>
            <a:solidFill>
              <a:srgbClr val="FF0000"/>
            </a:solidFill>
            <a:ln>
              <a:noFill/>
            </a:ln>
          </c:spPr>
          <c:xVal>
            <c:numRef>
              <c:f>'desigh Stairs'!$BB$42</c:f>
              <c:numCache>
                <c:formatCode>General</c:formatCode>
                <c:ptCount val="1"/>
                <c:pt idx="0">
                  <c:v>14.5</c:v>
                </c:pt>
              </c:numCache>
            </c:numRef>
          </c:xVal>
          <c:yVal>
            <c:numRef>
              <c:f>'desigh Stairs'!$BC$42</c:f>
              <c:numCache>
                <c:formatCode>General</c:formatCode>
                <c:ptCount val="1"/>
                <c:pt idx="0">
                  <c:v>59.7</c:v>
                </c:pt>
              </c:numCache>
            </c:numRef>
          </c:yVal>
          <c:bubbleSize>
            <c:numLit>
              <c:formatCode>General</c:formatCode>
              <c:ptCount val="1"/>
              <c:pt idx="0">
                <c:v>1</c:v>
              </c:pt>
            </c:numLit>
          </c:bubbleSize>
        </c:ser>
        <c:ser>
          <c:idx val="20"/>
          <c:order val="20"/>
          <c:tx>
            <c:v>top L2</c:v>
          </c:tx>
          <c:spPr>
            <a:solidFill>
              <a:srgbClr val="FF0000"/>
            </a:solidFill>
            <a:ln w="25400">
              <a:noFill/>
            </a:ln>
          </c:spPr>
          <c:xVal>
            <c:numRef>
              <c:f>'desigh Stairs'!$BB$43</c:f>
              <c:numCache>
                <c:formatCode>General</c:formatCode>
                <c:ptCount val="1"/>
                <c:pt idx="0">
                  <c:v>36</c:v>
                </c:pt>
              </c:numCache>
            </c:numRef>
          </c:xVal>
          <c:yVal>
            <c:numRef>
              <c:f>'desigh Stairs'!$BC$43</c:f>
              <c:numCache>
                <c:formatCode>General</c:formatCode>
                <c:ptCount val="1"/>
                <c:pt idx="0">
                  <c:v>59.7</c:v>
                </c:pt>
              </c:numCache>
            </c:numRef>
          </c:yVal>
          <c:bubbleSize>
            <c:numLit>
              <c:formatCode>General</c:formatCode>
              <c:ptCount val="1"/>
              <c:pt idx="0">
                <c:v>1</c:v>
              </c:pt>
            </c:numLit>
          </c:bubbleSize>
        </c:ser>
        <c:ser>
          <c:idx val="21"/>
          <c:order val="21"/>
          <c:tx>
            <c:v>top c 2</c:v>
          </c:tx>
          <c:spPr>
            <a:solidFill>
              <a:srgbClr val="FF0000"/>
            </a:solidFill>
            <a:ln w="25400">
              <a:noFill/>
            </a:ln>
          </c:spPr>
          <c:xVal>
            <c:strRef>
              <c:f>'desigh Stairs'!$BB$44</c:f>
              <c:strCache>
                <c:ptCount val="1"/>
                <c:pt idx="0">
                  <c:v> </c:v>
                </c:pt>
              </c:strCache>
            </c:strRef>
          </c:xVal>
          <c:yVal>
            <c:numRef>
              <c:f>'desigh Stairs'!$BC$44</c:f>
              <c:numCache>
                <c:formatCode>General</c:formatCode>
                <c:ptCount val="1"/>
                <c:pt idx="0">
                  <c:v>0</c:v>
                </c:pt>
              </c:numCache>
            </c:numRef>
          </c:yVal>
          <c:bubbleSize>
            <c:numLit>
              <c:formatCode>General</c:formatCode>
              <c:ptCount val="1"/>
              <c:pt idx="0">
                <c:v>1</c:v>
              </c:pt>
            </c:numLit>
          </c:bubbleSize>
        </c:ser>
        <c:ser>
          <c:idx val="22"/>
          <c:order val="22"/>
          <c:tx>
            <c:v>top R3</c:v>
          </c:tx>
          <c:spPr>
            <a:solidFill>
              <a:srgbClr val="FF0000"/>
            </a:solidFill>
            <a:ln w="25400">
              <a:noFill/>
            </a:ln>
          </c:spPr>
          <c:xVal>
            <c:strRef>
              <c:f>'desigh Stairs'!$BB$45</c:f>
              <c:strCache>
                <c:ptCount val="1"/>
                <c:pt idx="0">
                  <c:v> </c:v>
                </c:pt>
              </c:strCache>
            </c:strRef>
          </c:xVal>
          <c:yVal>
            <c:numRef>
              <c:f>'desigh Stairs'!$BC$45</c:f>
              <c:numCache>
                <c:formatCode>General</c:formatCode>
                <c:ptCount val="1"/>
                <c:pt idx="0">
                  <c:v>0</c:v>
                </c:pt>
              </c:numCache>
            </c:numRef>
          </c:yVal>
          <c:bubbleSize>
            <c:numLit>
              <c:formatCode>General</c:formatCode>
              <c:ptCount val="1"/>
              <c:pt idx="0">
                <c:v>1</c:v>
              </c:pt>
            </c:numLit>
          </c:bubbleSize>
        </c:ser>
        <c:ser>
          <c:idx val="23"/>
          <c:order val="23"/>
          <c:tx>
            <c:v>top c3</c:v>
          </c:tx>
          <c:spPr>
            <a:solidFill>
              <a:srgbClr val="FF0000"/>
            </a:solidFill>
            <a:ln w="25400">
              <a:noFill/>
            </a:ln>
          </c:spPr>
          <c:xVal>
            <c:strRef>
              <c:f>'desigh Stairs'!$BB$46</c:f>
              <c:strCache>
                <c:ptCount val="1"/>
                <c:pt idx="0">
                  <c:v> </c:v>
                </c:pt>
              </c:strCache>
            </c:strRef>
          </c:xVal>
          <c:yVal>
            <c:numRef>
              <c:f>'desigh Stairs'!$BC$46</c:f>
              <c:numCache>
                <c:formatCode>General</c:formatCode>
                <c:ptCount val="1"/>
                <c:pt idx="0">
                  <c:v>0</c:v>
                </c:pt>
              </c:numCache>
            </c:numRef>
          </c:yVal>
          <c:bubbleSize>
            <c:numLit>
              <c:formatCode>General</c:formatCode>
              <c:ptCount val="1"/>
              <c:pt idx="0">
                <c:v>1</c:v>
              </c:pt>
            </c:numLit>
          </c:bubbleSize>
        </c:ser>
        <c:ser>
          <c:idx val="24"/>
          <c:order val="24"/>
          <c:tx>
            <c:v>top l3</c:v>
          </c:tx>
          <c:spPr>
            <a:solidFill>
              <a:srgbClr val="FF0000"/>
            </a:solidFill>
            <a:ln w="25400">
              <a:noFill/>
            </a:ln>
          </c:spPr>
          <c:xVal>
            <c:strRef>
              <c:f>'desigh Stairs'!$BB$47</c:f>
              <c:strCache>
                <c:ptCount val="1"/>
                <c:pt idx="0">
                  <c:v> </c:v>
                </c:pt>
              </c:strCache>
            </c:strRef>
          </c:xVal>
          <c:yVal>
            <c:numRef>
              <c:f>'desigh Stairs'!$BC$47</c:f>
              <c:numCache>
                <c:formatCode>General</c:formatCode>
                <c:ptCount val="1"/>
                <c:pt idx="0">
                  <c:v>0</c:v>
                </c:pt>
              </c:numCache>
            </c:numRef>
          </c:yVal>
          <c:bubbleSize>
            <c:numLit>
              <c:formatCode>General</c:formatCode>
              <c:ptCount val="1"/>
              <c:pt idx="0">
                <c:v>1</c:v>
              </c:pt>
            </c:numLit>
          </c:bubbleSize>
        </c:ser>
        <c:ser>
          <c:idx val="25"/>
          <c:order val="25"/>
          <c:tx>
            <c:v>unde side L3</c:v>
          </c:tx>
          <c:spPr>
            <a:solidFill>
              <a:srgbClr val="FF0000"/>
            </a:solidFill>
            <a:ln w="25400">
              <a:noFill/>
            </a:ln>
          </c:spPr>
          <c:xVal>
            <c:strRef>
              <c:f>'desigh Stairs'!$BB$30</c:f>
              <c:strCache>
                <c:ptCount val="1"/>
                <c:pt idx="0">
                  <c:v> </c:v>
                </c:pt>
              </c:strCache>
            </c:strRef>
          </c:xVal>
          <c:yVal>
            <c:numRef>
              <c:f>'desigh Stairs'!$BC$30</c:f>
              <c:numCache>
                <c:formatCode>General</c:formatCode>
                <c:ptCount val="1"/>
                <c:pt idx="0">
                  <c:v>0</c:v>
                </c:pt>
              </c:numCache>
            </c:numRef>
          </c:yVal>
          <c:bubbleSize>
            <c:numLit>
              <c:formatCode>General</c:formatCode>
              <c:ptCount val="1"/>
              <c:pt idx="0">
                <c:v>1</c:v>
              </c:pt>
            </c:numLit>
          </c:bubbleSize>
        </c:ser>
        <c:bubbleScale val="5"/>
        <c:axId val="84356480"/>
        <c:axId val="84374656"/>
      </c:bubbleChart>
      <c:valAx>
        <c:axId val="84356480"/>
        <c:scaling>
          <c:orientation val="minMax"/>
          <c:max val="140"/>
          <c:min val="0"/>
        </c:scaling>
        <c:delete val="1"/>
        <c:axPos val="b"/>
        <c:numFmt formatCode="General" sourceLinked="1"/>
        <c:tickLblPos val="nextTo"/>
        <c:crossAx val="84374656"/>
        <c:crossesAt val="0"/>
        <c:crossBetween val="midCat"/>
        <c:majorUnit val="10"/>
        <c:minorUnit val="2"/>
      </c:valAx>
      <c:valAx>
        <c:axId val="84374656"/>
        <c:scaling>
          <c:orientation val="minMax"/>
          <c:max val="160"/>
          <c:min val="0"/>
        </c:scaling>
        <c:delete val="1"/>
        <c:axPos val="l"/>
        <c:numFmt formatCode="General" sourceLinked="1"/>
        <c:tickLblPos val="nextTo"/>
        <c:crossAx val="84356480"/>
        <c:crossesAt val="0"/>
        <c:crossBetween val="midCat"/>
        <c:majorUnit val="10"/>
        <c:minorUnit val="2"/>
      </c:valAx>
      <c:spPr>
        <a:noFill/>
        <a:ln>
          <a:noFill/>
        </a:ln>
      </c:spPr>
    </c:plotArea>
    <c:plotVisOnly val="1"/>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th-TH"/>
  <c:style val="18"/>
  <c:chart>
    <c:autoTitleDeleted val="1"/>
    <c:plotArea>
      <c:layout>
        <c:manualLayout>
          <c:layoutTarget val="inner"/>
          <c:xMode val="edge"/>
          <c:yMode val="edge"/>
          <c:x val="2.5262713004053604E-3"/>
          <c:y val="0"/>
          <c:w val="0.99338253822403799"/>
          <c:h val="1"/>
        </c:manualLayout>
      </c:layout>
      <c:scatterChart>
        <c:scatterStyle val="lineMarker"/>
        <c:ser>
          <c:idx val="0"/>
          <c:order val="0"/>
          <c:tx>
            <c:v>beam</c:v>
          </c:tx>
          <c:spPr>
            <a:ln w="19050">
              <a:solidFill>
                <a:schemeClr val="bg1">
                  <a:lumMod val="50000"/>
                </a:schemeClr>
              </a:solidFill>
            </a:ln>
          </c:spPr>
          <c:marker>
            <c:symbol val="none"/>
          </c:marker>
          <c:xVal>
            <c:numRef>
              <c:f>'desigh Stairs'!$AY$21:$AY$25</c:f>
              <c:numCache>
                <c:formatCode>General</c:formatCode>
                <c:ptCount val="5"/>
                <c:pt idx="0">
                  <c:v>40</c:v>
                </c:pt>
                <c:pt idx="1">
                  <c:v>40</c:v>
                </c:pt>
                <c:pt idx="2">
                  <c:v>10</c:v>
                </c:pt>
                <c:pt idx="3">
                  <c:v>10</c:v>
                </c:pt>
                <c:pt idx="4">
                  <c:v>40</c:v>
                </c:pt>
              </c:numCache>
            </c:numRef>
          </c:xVal>
          <c:yVal>
            <c:numRef>
              <c:f>'desigh Stairs'!$AZ$21:$AZ$25</c:f>
              <c:numCache>
                <c:formatCode>General</c:formatCode>
                <c:ptCount val="5"/>
                <c:pt idx="0">
                  <c:v>70</c:v>
                </c:pt>
                <c:pt idx="1">
                  <c:v>10</c:v>
                </c:pt>
                <c:pt idx="2">
                  <c:v>10</c:v>
                </c:pt>
                <c:pt idx="3">
                  <c:v>70</c:v>
                </c:pt>
                <c:pt idx="4">
                  <c:v>70</c:v>
                </c:pt>
              </c:numCache>
            </c:numRef>
          </c:yVal>
        </c:ser>
        <c:ser>
          <c:idx val="1"/>
          <c:order val="1"/>
          <c:tx>
            <c:v>strirup</c:v>
          </c:tx>
          <c:spPr>
            <a:ln w="19050">
              <a:solidFill>
                <a:srgbClr val="C00000"/>
              </a:solidFill>
            </a:ln>
          </c:spPr>
          <c:marker>
            <c:symbol val="none"/>
          </c:marker>
          <c:xVal>
            <c:numRef>
              <c:f>'desigh Stairs'!$AY$26:$AY$30</c:f>
              <c:numCache>
                <c:formatCode>General</c:formatCode>
                <c:ptCount val="5"/>
                <c:pt idx="0">
                  <c:v>37.5</c:v>
                </c:pt>
                <c:pt idx="1">
                  <c:v>37.5</c:v>
                </c:pt>
                <c:pt idx="2">
                  <c:v>12.5</c:v>
                </c:pt>
                <c:pt idx="3">
                  <c:v>12.5</c:v>
                </c:pt>
                <c:pt idx="4">
                  <c:v>37.5</c:v>
                </c:pt>
              </c:numCache>
            </c:numRef>
          </c:xVal>
          <c:yVal>
            <c:numRef>
              <c:f>'desigh Stairs'!$AZ$26:$AZ$30</c:f>
              <c:numCache>
                <c:formatCode>General</c:formatCode>
                <c:ptCount val="5"/>
                <c:pt idx="0">
                  <c:v>66</c:v>
                </c:pt>
                <c:pt idx="1">
                  <c:v>14</c:v>
                </c:pt>
                <c:pt idx="2">
                  <c:v>14</c:v>
                </c:pt>
                <c:pt idx="3">
                  <c:v>66</c:v>
                </c:pt>
                <c:pt idx="4">
                  <c:v>66</c:v>
                </c:pt>
              </c:numCache>
            </c:numRef>
          </c:yVal>
        </c:ser>
        <c:ser>
          <c:idx val="2"/>
          <c:order val="2"/>
          <c:tx>
            <c:v>dimension bx</c:v>
          </c:tx>
          <c:spPr>
            <a:ln w="9525">
              <a:solidFill>
                <a:sysClr val="windowText" lastClr="000000"/>
              </a:solidFill>
            </a:ln>
          </c:spPr>
          <c:marker>
            <c:symbol val="none"/>
          </c:marker>
          <c:xVal>
            <c:numRef>
              <c:f>'desigh Stairs'!$BK$22:$BK$23</c:f>
              <c:numCache>
                <c:formatCode>General</c:formatCode>
                <c:ptCount val="2"/>
                <c:pt idx="0">
                  <c:v>10</c:v>
                </c:pt>
                <c:pt idx="1">
                  <c:v>10</c:v>
                </c:pt>
              </c:numCache>
            </c:numRef>
          </c:xVal>
          <c:yVal>
            <c:numRef>
              <c:f>'desigh Stairs'!$BL$22:$BL$23</c:f>
              <c:numCache>
                <c:formatCode>General</c:formatCode>
                <c:ptCount val="2"/>
                <c:pt idx="0">
                  <c:v>77</c:v>
                </c:pt>
                <c:pt idx="1">
                  <c:v>92</c:v>
                </c:pt>
              </c:numCache>
            </c:numRef>
          </c:yVal>
        </c:ser>
        <c:ser>
          <c:idx val="3"/>
          <c:order val="3"/>
          <c:tx>
            <c:v>dimension by</c:v>
          </c:tx>
          <c:spPr>
            <a:ln w="6350" cap="rnd">
              <a:solidFill>
                <a:srgbClr val="C00000"/>
              </a:solidFill>
              <a:headEnd type="triangle" w="sm" len="med"/>
              <a:tailEnd type="triangle" w="sm" len="med"/>
            </a:ln>
          </c:spPr>
          <c:marker>
            <c:symbol val="none"/>
          </c:marker>
          <c:xVal>
            <c:numRef>
              <c:f>'desigh Stairs'!$BM$22:$BM$23</c:f>
              <c:numCache>
                <c:formatCode>General</c:formatCode>
                <c:ptCount val="2"/>
                <c:pt idx="0">
                  <c:v>60</c:v>
                </c:pt>
                <c:pt idx="1">
                  <c:v>60</c:v>
                </c:pt>
              </c:numCache>
            </c:numRef>
          </c:xVal>
          <c:yVal>
            <c:numRef>
              <c:f>'desigh Stairs'!$BN$22:$BN$23</c:f>
              <c:numCache>
                <c:formatCode>General</c:formatCode>
                <c:ptCount val="2"/>
                <c:pt idx="0">
                  <c:v>10</c:v>
                </c:pt>
                <c:pt idx="1">
                  <c:v>70</c:v>
                </c:pt>
              </c:numCache>
            </c:numRef>
          </c:yVal>
          <c:smooth val="1"/>
        </c:ser>
        <c:ser>
          <c:idx val="4"/>
          <c:order val="4"/>
          <c:tx>
            <c:v>dimension by 2</c:v>
          </c:tx>
          <c:spPr>
            <a:ln w="9525">
              <a:solidFill>
                <a:sysClr val="windowText" lastClr="000000"/>
              </a:solidFill>
            </a:ln>
          </c:spPr>
          <c:marker>
            <c:symbol val="none"/>
          </c:marker>
          <c:xVal>
            <c:numRef>
              <c:f>'desigh Stairs'!$BM$24:$BM$25</c:f>
              <c:numCache>
                <c:formatCode>General</c:formatCode>
                <c:ptCount val="2"/>
                <c:pt idx="0">
                  <c:v>50</c:v>
                </c:pt>
                <c:pt idx="1">
                  <c:v>65</c:v>
                </c:pt>
              </c:numCache>
            </c:numRef>
          </c:xVal>
          <c:yVal>
            <c:numRef>
              <c:f>'desigh Stairs'!$BN$24:$BN$25</c:f>
              <c:numCache>
                <c:formatCode>General</c:formatCode>
                <c:ptCount val="2"/>
                <c:pt idx="0">
                  <c:v>10</c:v>
                </c:pt>
                <c:pt idx="1">
                  <c:v>10</c:v>
                </c:pt>
              </c:numCache>
            </c:numRef>
          </c:yVal>
        </c:ser>
        <c:ser>
          <c:idx val="5"/>
          <c:order val="5"/>
          <c:tx>
            <c:v>dimension by3</c:v>
          </c:tx>
          <c:spPr>
            <a:ln w="9525">
              <a:solidFill>
                <a:schemeClr val="tx1"/>
              </a:solidFill>
              <a:prstDash val="solid"/>
            </a:ln>
          </c:spPr>
          <c:marker>
            <c:symbol val="none"/>
          </c:marker>
          <c:xVal>
            <c:numRef>
              <c:f>'desigh Stairs'!$BM$26:$BM$27</c:f>
              <c:numCache>
                <c:formatCode>General</c:formatCode>
                <c:ptCount val="2"/>
                <c:pt idx="0">
                  <c:v>50</c:v>
                </c:pt>
                <c:pt idx="1">
                  <c:v>65</c:v>
                </c:pt>
              </c:numCache>
            </c:numRef>
          </c:xVal>
          <c:yVal>
            <c:numRef>
              <c:f>'desigh Stairs'!$BN$26:$BN$27</c:f>
              <c:numCache>
                <c:formatCode>General</c:formatCode>
                <c:ptCount val="2"/>
                <c:pt idx="0">
                  <c:v>70</c:v>
                </c:pt>
                <c:pt idx="1">
                  <c:v>70</c:v>
                </c:pt>
              </c:numCache>
            </c:numRef>
          </c:yVal>
        </c:ser>
        <c:ser>
          <c:idx val="6"/>
          <c:order val="6"/>
          <c:tx>
            <c:v>dimension bx2</c:v>
          </c:tx>
          <c:spPr>
            <a:ln w="6350">
              <a:solidFill>
                <a:srgbClr val="C00000"/>
              </a:solidFill>
              <a:headEnd type="triangle" w="sm" len="med"/>
              <a:tailEnd type="triangle" w="sm" len="med"/>
            </a:ln>
          </c:spPr>
          <c:marker>
            <c:symbol val="none"/>
          </c:marker>
          <c:xVal>
            <c:numRef>
              <c:f>'desigh Stairs'!$BK$24:$BK$25</c:f>
              <c:numCache>
                <c:formatCode>General</c:formatCode>
                <c:ptCount val="2"/>
                <c:pt idx="0">
                  <c:v>10</c:v>
                </c:pt>
                <c:pt idx="1">
                  <c:v>40</c:v>
                </c:pt>
              </c:numCache>
            </c:numRef>
          </c:xVal>
          <c:yVal>
            <c:numRef>
              <c:f>'desigh Stairs'!$BL$24:$BL$25</c:f>
              <c:numCache>
                <c:formatCode>General</c:formatCode>
                <c:ptCount val="2"/>
                <c:pt idx="0">
                  <c:v>88</c:v>
                </c:pt>
                <c:pt idx="1">
                  <c:v>88</c:v>
                </c:pt>
              </c:numCache>
            </c:numRef>
          </c:yVal>
          <c:smooth val="1"/>
        </c:ser>
        <c:ser>
          <c:idx val="7"/>
          <c:order val="7"/>
          <c:tx>
            <c:v>dimension bx3</c:v>
          </c:tx>
          <c:spPr>
            <a:ln w="9525">
              <a:solidFill>
                <a:sysClr val="windowText" lastClr="000000"/>
              </a:solidFill>
            </a:ln>
          </c:spPr>
          <c:marker>
            <c:symbol val="none"/>
          </c:marker>
          <c:xVal>
            <c:numRef>
              <c:f>'desigh Stairs'!$BK$26:$BK$27</c:f>
              <c:numCache>
                <c:formatCode>General</c:formatCode>
                <c:ptCount val="2"/>
                <c:pt idx="0">
                  <c:v>40</c:v>
                </c:pt>
                <c:pt idx="1">
                  <c:v>40</c:v>
                </c:pt>
              </c:numCache>
            </c:numRef>
          </c:xVal>
          <c:yVal>
            <c:numRef>
              <c:f>'desigh Stairs'!$BL$26:$BL$27</c:f>
              <c:numCache>
                <c:formatCode>General</c:formatCode>
                <c:ptCount val="2"/>
                <c:pt idx="0">
                  <c:v>92</c:v>
                </c:pt>
                <c:pt idx="1">
                  <c:v>77</c:v>
                </c:pt>
              </c:numCache>
            </c:numRef>
          </c:yVal>
        </c:ser>
        <c:axId val="84416000"/>
        <c:axId val="84417536"/>
      </c:scatterChart>
      <c:valAx>
        <c:axId val="84416000"/>
        <c:scaling>
          <c:orientation val="minMax"/>
          <c:max val="140"/>
          <c:min val="0"/>
        </c:scaling>
        <c:delete val="1"/>
        <c:axPos val="b"/>
        <c:numFmt formatCode="General" sourceLinked="1"/>
        <c:tickLblPos val="nextTo"/>
        <c:crossAx val="84417536"/>
        <c:crossesAt val="0"/>
        <c:crossBetween val="midCat"/>
        <c:majorUnit val="10"/>
        <c:minorUnit val="2"/>
      </c:valAx>
      <c:valAx>
        <c:axId val="84417536"/>
        <c:scaling>
          <c:orientation val="minMax"/>
          <c:max val="160"/>
          <c:min val="0"/>
        </c:scaling>
        <c:delete val="1"/>
        <c:axPos val="l"/>
        <c:majorGridlines>
          <c:spPr>
            <a:ln>
              <a:noFill/>
            </a:ln>
          </c:spPr>
        </c:majorGridlines>
        <c:numFmt formatCode="General" sourceLinked="1"/>
        <c:tickLblPos val="nextTo"/>
        <c:crossAx val="84416000"/>
        <c:crossesAt val="0"/>
        <c:crossBetween val="midCat"/>
        <c:majorUnit val="10"/>
        <c:minorUnit val="2"/>
      </c:valAx>
      <c:spPr>
        <a:noFill/>
        <a:ln>
          <a:noFill/>
        </a:ln>
      </c:spPr>
    </c:plotArea>
    <c:plotVisOnly val="1"/>
    <c:dispBlanksAs val="gap"/>
  </c:chart>
  <c:spPr>
    <a:noFill/>
    <a:ln>
      <a:noFill/>
    </a:ln>
  </c:spPr>
  <c:printSettings>
    <c:headerFooter/>
    <c:pageMargins b="0.75000000000000577" l="0.70000000000000062" r="0.70000000000000062" t="0.750000000000005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th-TH"/>
  <c:style val="4"/>
  <c:chart>
    <c:autoTitleDeleted val="1"/>
    <c:plotArea>
      <c:layout>
        <c:manualLayout>
          <c:layoutTarget val="inner"/>
          <c:xMode val="edge"/>
          <c:yMode val="edge"/>
          <c:x val="0"/>
          <c:y val="2.9375006799770318E-4"/>
          <c:w val="1"/>
          <c:h val="0.99970623771054934"/>
        </c:manualLayout>
      </c:layout>
      <c:bubbleChart>
        <c:varyColors val="1"/>
        <c:ser>
          <c:idx val="3"/>
          <c:order val="0"/>
          <c:tx>
            <c:v>underside l2</c:v>
          </c:tx>
          <c:spPr>
            <a:solidFill>
              <a:srgbClr val="FF0000"/>
            </a:solidFill>
            <a:ln w="25400">
              <a:noFill/>
            </a:ln>
          </c:spPr>
          <c:xVal>
            <c:numRef>
              <c:f>'desigh Stairs'!$BB$26</c:f>
              <c:numCache>
                <c:formatCode>General</c:formatCode>
                <c:ptCount val="1"/>
                <c:pt idx="0">
                  <c:v>14.5</c:v>
                </c:pt>
              </c:numCache>
            </c:numRef>
          </c:xVal>
          <c:yVal>
            <c:numRef>
              <c:f>'desigh Stairs'!$BC$26</c:f>
              <c:numCache>
                <c:formatCode>General</c:formatCode>
                <c:ptCount val="1"/>
                <c:pt idx="0">
                  <c:v>20</c:v>
                </c:pt>
              </c:numCache>
            </c:numRef>
          </c:yVal>
          <c:bubbleSize>
            <c:numLit>
              <c:formatCode>General</c:formatCode>
              <c:ptCount val="1"/>
              <c:pt idx="0">
                <c:v>1</c:v>
              </c:pt>
            </c:numLit>
          </c:bubbleSize>
        </c:ser>
        <c:ser>
          <c:idx val="2"/>
          <c:order val="1"/>
          <c:tx>
            <c:v>under c</c:v>
          </c:tx>
          <c:spPr>
            <a:solidFill>
              <a:srgbClr val="FF0000"/>
            </a:solidFill>
            <a:ln>
              <a:noFill/>
            </a:ln>
          </c:spPr>
          <c:xVal>
            <c:numRef>
              <c:f>'desigh Stairs'!$BB$25</c:f>
              <c:numCache>
                <c:formatCode>General</c:formatCode>
                <c:ptCount val="1"/>
                <c:pt idx="0">
                  <c:v>25</c:v>
                </c:pt>
              </c:numCache>
            </c:numRef>
          </c:xVal>
          <c:yVal>
            <c:numRef>
              <c:f>'desigh Stairs'!$BC$25</c:f>
              <c:numCache>
                <c:formatCode>General</c:formatCode>
                <c:ptCount val="1"/>
                <c:pt idx="0">
                  <c:v>15.85</c:v>
                </c:pt>
              </c:numCache>
            </c:numRef>
          </c:yVal>
          <c:bubbleSize>
            <c:numLit>
              <c:formatCode>General</c:formatCode>
              <c:ptCount val="2"/>
              <c:pt idx="0">
                <c:v>1</c:v>
              </c:pt>
              <c:pt idx="1">
                <c:v>1</c:v>
              </c:pt>
            </c:numLit>
          </c:bubbleSize>
        </c:ser>
        <c:ser>
          <c:idx val="1"/>
          <c:order val="2"/>
          <c:tx>
            <c:v>under2</c:v>
          </c:tx>
          <c:spPr>
            <a:solidFill>
              <a:srgbClr val="FF0000"/>
            </a:solidFill>
            <a:ln w="25400">
              <a:noFill/>
            </a:ln>
          </c:spPr>
          <c:xVal>
            <c:numRef>
              <c:f>'desigh Stairs'!$BB$23:$BB$24</c:f>
              <c:numCache>
                <c:formatCode>General</c:formatCode>
                <c:ptCount val="2"/>
                <c:pt idx="0">
                  <c:v>14.5</c:v>
                </c:pt>
                <c:pt idx="1">
                  <c:v>36</c:v>
                </c:pt>
              </c:numCache>
            </c:numRef>
          </c:xVal>
          <c:yVal>
            <c:numRef>
              <c:f>'desigh Stairs'!$BC$23:$BC$24</c:f>
              <c:numCache>
                <c:formatCode>General</c:formatCode>
                <c:ptCount val="2"/>
                <c:pt idx="0">
                  <c:v>64.400000000000006</c:v>
                </c:pt>
                <c:pt idx="1">
                  <c:v>64.400000000000006</c:v>
                </c:pt>
              </c:numCache>
            </c:numRef>
          </c:yVal>
          <c:bubbleSize>
            <c:numLit>
              <c:formatCode>General</c:formatCode>
              <c:ptCount val="2"/>
              <c:pt idx="0">
                <c:v>1</c:v>
              </c:pt>
              <c:pt idx="1">
                <c:v>1</c:v>
              </c:pt>
            </c:numLit>
          </c:bubbleSize>
        </c:ser>
        <c:ser>
          <c:idx val="0"/>
          <c:order val="3"/>
          <c:tx>
            <c:v>under l</c:v>
          </c:tx>
          <c:spPr>
            <a:solidFill>
              <a:srgbClr val="FF0000"/>
            </a:solidFill>
          </c:spPr>
          <c:xVal>
            <c:numRef>
              <c:f>'desigh Stairs'!$BB$21</c:f>
              <c:numCache>
                <c:formatCode>General</c:formatCode>
                <c:ptCount val="1"/>
                <c:pt idx="0">
                  <c:v>14.5</c:v>
                </c:pt>
              </c:numCache>
            </c:numRef>
          </c:xVal>
          <c:yVal>
            <c:numRef>
              <c:f>'desigh Stairs'!$BC$21</c:f>
              <c:numCache>
                <c:formatCode>General</c:formatCode>
                <c:ptCount val="1"/>
                <c:pt idx="0">
                  <c:v>15.85</c:v>
                </c:pt>
              </c:numCache>
            </c:numRef>
          </c:yVal>
          <c:bubbleSize>
            <c:numLit>
              <c:formatCode>General</c:formatCode>
              <c:ptCount val="1"/>
              <c:pt idx="0">
                <c:v>1</c:v>
              </c:pt>
            </c:numLit>
          </c:bubbleSize>
        </c:ser>
        <c:ser>
          <c:idx val="4"/>
          <c:order val="4"/>
          <c:tx>
            <c:v>under c2</c:v>
          </c:tx>
          <c:spPr>
            <a:solidFill>
              <a:srgbClr val="FF0000"/>
            </a:solidFill>
            <a:ln w="25400">
              <a:noFill/>
            </a:ln>
          </c:spPr>
          <c:xVal>
            <c:strRef>
              <c:f>'desigh Stairs'!$BB$28</c:f>
              <c:strCache>
                <c:ptCount val="1"/>
                <c:pt idx="0">
                  <c:v> </c:v>
                </c:pt>
              </c:strCache>
            </c:strRef>
          </c:xVal>
          <c:yVal>
            <c:numRef>
              <c:f>'desigh Stairs'!$BC$28</c:f>
              <c:numCache>
                <c:formatCode>General</c:formatCode>
                <c:ptCount val="1"/>
                <c:pt idx="0">
                  <c:v>0</c:v>
                </c:pt>
              </c:numCache>
            </c:numRef>
          </c:yVal>
          <c:bubbleSize>
            <c:numLit>
              <c:formatCode>General</c:formatCode>
              <c:ptCount val="1"/>
              <c:pt idx="0">
                <c:v>1</c:v>
              </c:pt>
            </c:numLit>
          </c:bubbleSize>
        </c:ser>
        <c:ser>
          <c:idx val="5"/>
          <c:order val="5"/>
          <c:tx>
            <c:v>under side 3</c:v>
          </c:tx>
          <c:spPr>
            <a:solidFill>
              <a:srgbClr val="FF0000"/>
            </a:solidFill>
            <a:ln w="25400">
              <a:noFill/>
            </a:ln>
          </c:spPr>
          <c:xVal>
            <c:strRef>
              <c:f>'desigh Stairs'!$BB$29</c:f>
              <c:strCache>
                <c:ptCount val="1"/>
                <c:pt idx="0">
                  <c:v> </c:v>
                </c:pt>
              </c:strCache>
            </c:strRef>
          </c:xVal>
          <c:yVal>
            <c:numRef>
              <c:f>'desigh Stairs'!$BC$29</c:f>
              <c:numCache>
                <c:formatCode>General</c:formatCode>
                <c:ptCount val="1"/>
                <c:pt idx="0">
                  <c:v>0</c:v>
                </c:pt>
              </c:numCache>
            </c:numRef>
          </c:yVal>
          <c:bubbleSize>
            <c:numLit>
              <c:formatCode>General</c:formatCode>
              <c:ptCount val="1"/>
              <c:pt idx="0">
                <c:v>1</c:v>
              </c:pt>
            </c:numLit>
          </c:bubbleSize>
        </c:ser>
        <c:ser>
          <c:idx val="6"/>
          <c:order val="6"/>
          <c:tx>
            <c:v>under c3</c:v>
          </c:tx>
          <c:spPr>
            <a:solidFill>
              <a:srgbClr val="FF0000"/>
            </a:solidFill>
            <a:ln w="25400">
              <a:noFill/>
            </a:ln>
          </c:spPr>
          <c:xVal>
            <c:strRef>
              <c:f>'desigh Stairs'!$BB$31</c:f>
              <c:strCache>
                <c:ptCount val="1"/>
                <c:pt idx="0">
                  <c:v> </c:v>
                </c:pt>
              </c:strCache>
            </c:strRef>
          </c:xVal>
          <c:yVal>
            <c:numRef>
              <c:f>'desigh Stairs'!$BC$31</c:f>
              <c:numCache>
                <c:formatCode>General</c:formatCode>
                <c:ptCount val="1"/>
                <c:pt idx="0">
                  <c:v>0</c:v>
                </c:pt>
              </c:numCache>
            </c:numRef>
          </c:yVal>
          <c:bubbleSize>
            <c:numLit>
              <c:formatCode>General</c:formatCode>
              <c:ptCount val="1"/>
              <c:pt idx="0">
                <c:v>1</c:v>
              </c:pt>
            </c:numLit>
          </c:bubbleSize>
        </c:ser>
        <c:ser>
          <c:idx val="7"/>
          <c:order val="7"/>
          <c:tx>
            <c:v>midle L</c:v>
          </c:tx>
          <c:spPr>
            <a:solidFill>
              <a:srgbClr val="FF0000"/>
            </a:solidFill>
            <a:ln w="25400">
              <a:noFill/>
            </a:ln>
          </c:spPr>
          <c:xVal>
            <c:strRef>
              <c:f>'desigh Stairs'!$BB$32</c:f>
              <c:strCache>
                <c:ptCount val="1"/>
                <c:pt idx="0">
                  <c:v> </c:v>
                </c:pt>
              </c:strCache>
            </c:strRef>
          </c:xVal>
          <c:yVal>
            <c:numRef>
              <c:f>'desigh Stairs'!$BC$32</c:f>
              <c:numCache>
                <c:formatCode>General</c:formatCode>
                <c:ptCount val="1"/>
                <c:pt idx="0">
                  <c:v>0</c:v>
                </c:pt>
              </c:numCache>
            </c:numRef>
          </c:yVal>
          <c:bubbleSize>
            <c:numLit>
              <c:formatCode>General</c:formatCode>
              <c:ptCount val="1"/>
              <c:pt idx="0">
                <c:v>1</c:v>
              </c:pt>
            </c:numLit>
          </c:bubbleSize>
        </c:ser>
        <c:ser>
          <c:idx val="8"/>
          <c:order val="8"/>
          <c:tx>
            <c:v>middle R</c:v>
          </c:tx>
          <c:spPr>
            <a:solidFill>
              <a:srgbClr val="FF0000"/>
            </a:solidFill>
            <a:ln w="25400">
              <a:noFill/>
            </a:ln>
          </c:spPr>
          <c:xVal>
            <c:strRef>
              <c:f>'desigh Stairs'!$BB$33</c:f>
              <c:strCache>
                <c:ptCount val="1"/>
                <c:pt idx="0">
                  <c:v> </c:v>
                </c:pt>
              </c:strCache>
            </c:strRef>
          </c:xVal>
          <c:yVal>
            <c:numRef>
              <c:f>'desigh Stairs'!$BC$33</c:f>
              <c:numCache>
                <c:formatCode>General</c:formatCode>
                <c:ptCount val="1"/>
                <c:pt idx="0">
                  <c:v>0</c:v>
                </c:pt>
              </c:numCache>
            </c:numRef>
          </c:yVal>
          <c:bubbleSize>
            <c:numLit>
              <c:formatCode>General</c:formatCode>
              <c:ptCount val="1"/>
              <c:pt idx="0">
                <c:v>1</c:v>
              </c:pt>
            </c:numLit>
          </c:bubbleSize>
        </c:ser>
        <c:ser>
          <c:idx val="9"/>
          <c:order val="9"/>
          <c:tx>
            <c:v>underside  R</c:v>
          </c:tx>
          <c:spPr>
            <a:solidFill>
              <a:srgbClr val="FF0000"/>
            </a:solidFill>
            <a:ln w="25400">
              <a:noFill/>
            </a:ln>
          </c:spPr>
          <c:xVal>
            <c:numRef>
              <c:f>'desigh Stairs'!$BB$27</c:f>
              <c:numCache>
                <c:formatCode>General</c:formatCode>
                <c:ptCount val="1"/>
                <c:pt idx="0">
                  <c:v>36</c:v>
                </c:pt>
              </c:numCache>
            </c:numRef>
          </c:xVal>
          <c:yVal>
            <c:numRef>
              <c:f>'desigh Stairs'!$BC$27</c:f>
              <c:numCache>
                <c:formatCode>General</c:formatCode>
                <c:ptCount val="1"/>
                <c:pt idx="0">
                  <c:v>20</c:v>
                </c:pt>
              </c:numCache>
            </c:numRef>
          </c:yVal>
          <c:bubbleSize>
            <c:numLit>
              <c:formatCode>General</c:formatCode>
              <c:ptCount val="1"/>
              <c:pt idx="0">
                <c:v>1</c:v>
              </c:pt>
            </c:numLit>
          </c:bubbleSize>
        </c:ser>
        <c:ser>
          <c:idx val="10"/>
          <c:order val="10"/>
          <c:tx>
            <c:v>middle c</c:v>
          </c:tx>
          <c:spPr>
            <a:solidFill>
              <a:srgbClr val="FF0000"/>
            </a:solidFill>
            <a:ln w="25400">
              <a:noFill/>
            </a:ln>
          </c:spPr>
          <c:xVal>
            <c:strRef>
              <c:f>'desigh Stairs'!$BB$34</c:f>
              <c:strCache>
                <c:ptCount val="1"/>
                <c:pt idx="0">
                  <c:v> </c:v>
                </c:pt>
              </c:strCache>
            </c:strRef>
          </c:xVal>
          <c:yVal>
            <c:numRef>
              <c:f>'desigh Stairs'!$BC$34</c:f>
              <c:numCache>
                <c:formatCode>General</c:formatCode>
                <c:ptCount val="1"/>
                <c:pt idx="0">
                  <c:v>0</c:v>
                </c:pt>
              </c:numCache>
            </c:numRef>
          </c:yVal>
          <c:bubbleSize>
            <c:numLit>
              <c:formatCode>General</c:formatCode>
              <c:ptCount val="1"/>
              <c:pt idx="0">
                <c:v>1</c:v>
              </c:pt>
            </c:numLit>
          </c:bubbleSize>
        </c:ser>
        <c:ser>
          <c:idx val="11"/>
          <c:order val="11"/>
          <c:tx>
            <c:v>middle L2</c:v>
          </c:tx>
          <c:spPr>
            <a:solidFill>
              <a:srgbClr val="FF0000"/>
            </a:solidFill>
            <a:ln w="25400">
              <a:noFill/>
            </a:ln>
          </c:spPr>
          <c:xVal>
            <c:numRef>
              <c:f>'desigh Stairs'!$BB$35</c:f>
              <c:numCache>
                <c:formatCode>General</c:formatCode>
                <c:ptCount val="1"/>
                <c:pt idx="0">
                  <c:v>14.5</c:v>
                </c:pt>
              </c:numCache>
            </c:numRef>
          </c:xVal>
          <c:yVal>
            <c:numRef>
              <c:f>'desigh Stairs'!$BC$35</c:f>
              <c:numCache>
                <c:formatCode>General</c:formatCode>
                <c:ptCount val="1"/>
                <c:pt idx="0">
                  <c:v>45</c:v>
                </c:pt>
              </c:numCache>
            </c:numRef>
          </c:yVal>
          <c:bubbleSize>
            <c:numLit>
              <c:formatCode>General</c:formatCode>
              <c:ptCount val="1"/>
              <c:pt idx="0">
                <c:v>1</c:v>
              </c:pt>
            </c:numLit>
          </c:bubbleSize>
        </c:ser>
        <c:ser>
          <c:idx val="12"/>
          <c:order val="12"/>
          <c:tx>
            <c:v>middle r2</c:v>
          </c:tx>
          <c:spPr>
            <a:solidFill>
              <a:srgbClr val="FF0000"/>
            </a:solidFill>
            <a:ln w="25400">
              <a:noFill/>
            </a:ln>
          </c:spPr>
          <c:xVal>
            <c:numRef>
              <c:f>'desigh Stairs'!$BB$36</c:f>
              <c:numCache>
                <c:formatCode>General</c:formatCode>
                <c:ptCount val="1"/>
                <c:pt idx="0">
                  <c:v>36</c:v>
                </c:pt>
              </c:numCache>
            </c:numRef>
          </c:xVal>
          <c:yVal>
            <c:numRef>
              <c:f>'desigh Stairs'!$BC$36</c:f>
              <c:numCache>
                <c:formatCode>General</c:formatCode>
                <c:ptCount val="1"/>
                <c:pt idx="0">
                  <c:v>45</c:v>
                </c:pt>
              </c:numCache>
            </c:numRef>
          </c:yVal>
          <c:bubbleSize>
            <c:numLit>
              <c:formatCode>General</c:formatCode>
              <c:ptCount val="1"/>
              <c:pt idx="0">
                <c:v>1</c:v>
              </c:pt>
            </c:numLit>
          </c:bubbleSize>
        </c:ser>
        <c:ser>
          <c:idx val="13"/>
          <c:order val="13"/>
          <c:tx>
            <c:v>middle c2</c:v>
          </c:tx>
          <c:spPr>
            <a:ln w="25400">
              <a:noFill/>
            </a:ln>
          </c:spPr>
          <c:dPt>
            <c:idx val="0"/>
            <c:spPr>
              <a:solidFill>
                <a:srgbClr val="FF0000"/>
              </a:solidFill>
              <a:ln w="25400">
                <a:noFill/>
              </a:ln>
            </c:spPr>
          </c:dPt>
          <c:xVal>
            <c:strRef>
              <c:f>'desigh Stairs'!$BB$37</c:f>
              <c:strCache>
                <c:ptCount val="1"/>
                <c:pt idx="0">
                  <c:v> </c:v>
                </c:pt>
              </c:strCache>
            </c:strRef>
          </c:xVal>
          <c:yVal>
            <c:numRef>
              <c:f>'desigh Stairs'!$BC$37</c:f>
              <c:numCache>
                <c:formatCode>General</c:formatCode>
                <c:ptCount val="1"/>
                <c:pt idx="0">
                  <c:v>0</c:v>
                </c:pt>
              </c:numCache>
            </c:numRef>
          </c:yVal>
          <c:bubbleSize>
            <c:numLit>
              <c:formatCode>General</c:formatCode>
              <c:ptCount val="1"/>
              <c:pt idx="0">
                <c:v>1</c:v>
              </c:pt>
            </c:numLit>
          </c:bubbleSize>
        </c:ser>
        <c:ser>
          <c:idx val="14"/>
          <c:order val="14"/>
          <c:tx>
            <c:v>under r</c:v>
          </c:tx>
          <c:spPr>
            <a:solidFill>
              <a:srgbClr val="FF0000"/>
            </a:solidFill>
            <a:ln w="25400">
              <a:noFill/>
            </a:ln>
          </c:spPr>
          <c:xVal>
            <c:numRef>
              <c:f>'desigh Stairs'!$BB$22</c:f>
              <c:numCache>
                <c:formatCode>General</c:formatCode>
                <c:ptCount val="1"/>
                <c:pt idx="0">
                  <c:v>36</c:v>
                </c:pt>
              </c:numCache>
            </c:numRef>
          </c:xVal>
          <c:yVal>
            <c:numRef>
              <c:f>'desigh Stairs'!$BC$22</c:f>
              <c:numCache>
                <c:formatCode>General</c:formatCode>
                <c:ptCount val="1"/>
                <c:pt idx="0">
                  <c:v>15.85</c:v>
                </c:pt>
              </c:numCache>
            </c:numRef>
          </c:yVal>
          <c:bubbleSize>
            <c:numLit>
              <c:formatCode>General</c:formatCode>
              <c:ptCount val="1"/>
              <c:pt idx="0">
                <c:v>1</c:v>
              </c:pt>
            </c:numLit>
          </c:bubbleSize>
        </c:ser>
        <c:ser>
          <c:idx val="15"/>
          <c:order val="15"/>
          <c:tx>
            <c:v>miidle l3</c:v>
          </c:tx>
          <c:spPr>
            <a:solidFill>
              <a:srgbClr val="FF0000"/>
            </a:solidFill>
            <a:ln w="25400">
              <a:noFill/>
            </a:ln>
          </c:spPr>
          <c:xVal>
            <c:numRef>
              <c:f>'desigh Stairs'!$BB$38</c:f>
              <c:numCache>
                <c:formatCode>General</c:formatCode>
                <c:ptCount val="1"/>
                <c:pt idx="0">
                  <c:v>14.5</c:v>
                </c:pt>
              </c:numCache>
            </c:numRef>
          </c:xVal>
          <c:yVal>
            <c:numRef>
              <c:f>'desigh Stairs'!$BC$38</c:f>
              <c:numCache>
                <c:formatCode>General</c:formatCode>
                <c:ptCount val="1"/>
                <c:pt idx="0">
                  <c:v>35</c:v>
                </c:pt>
              </c:numCache>
            </c:numRef>
          </c:yVal>
          <c:bubbleSize>
            <c:numLit>
              <c:formatCode>General</c:formatCode>
              <c:ptCount val="1"/>
              <c:pt idx="0">
                <c:v>1</c:v>
              </c:pt>
            </c:numLit>
          </c:bubbleSize>
        </c:ser>
        <c:ser>
          <c:idx val="16"/>
          <c:order val="16"/>
          <c:tx>
            <c:v>midle c3</c:v>
          </c:tx>
          <c:spPr>
            <a:solidFill>
              <a:srgbClr val="FF0000"/>
            </a:solidFill>
            <a:ln w="25400">
              <a:noFill/>
            </a:ln>
          </c:spPr>
          <c:xVal>
            <c:strRef>
              <c:f>'desigh Stairs'!$BB$39</c:f>
              <c:strCache>
                <c:ptCount val="1"/>
                <c:pt idx="0">
                  <c:v> </c:v>
                </c:pt>
              </c:strCache>
            </c:strRef>
          </c:xVal>
          <c:yVal>
            <c:numRef>
              <c:f>'desigh Stairs'!$BC$39</c:f>
              <c:numCache>
                <c:formatCode>General</c:formatCode>
                <c:ptCount val="1"/>
                <c:pt idx="0">
                  <c:v>0</c:v>
                </c:pt>
              </c:numCache>
            </c:numRef>
          </c:yVal>
          <c:bubbleSize>
            <c:numLit>
              <c:formatCode>General</c:formatCode>
              <c:ptCount val="1"/>
              <c:pt idx="0">
                <c:v>1</c:v>
              </c:pt>
            </c:numLit>
          </c:bubbleSize>
        </c:ser>
        <c:ser>
          <c:idx val="17"/>
          <c:order val="17"/>
          <c:tx>
            <c:v>middle R3</c:v>
          </c:tx>
          <c:spPr>
            <a:solidFill>
              <a:srgbClr val="FF0000"/>
            </a:solidFill>
            <a:ln w="25400">
              <a:noFill/>
            </a:ln>
          </c:spPr>
          <c:xVal>
            <c:numRef>
              <c:f>'desigh Stairs'!$BB$40</c:f>
              <c:numCache>
                <c:formatCode>General</c:formatCode>
                <c:ptCount val="1"/>
                <c:pt idx="0">
                  <c:v>36</c:v>
                </c:pt>
              </c:numCache>
            </c:numRef>
          </c:xVal>
          <c:yVal>
            <c:numRef>
              <c:f>'desigh Stairs'!$BC$40</c:f>
              <c:numCache>
                <c:formatCode>General</c:formatCode>
                <c:ptCount val="1"/>
                <c:pt idx="0">
                  <c:v>35</c:v>
                </c:pt>
              </c:numCache>
            </c:numRef>
          </c:yVal>
          <c:bubbleSize>
            <c:numLit>
              <c:formatCode>General</c:formatCode>
              <c:ptCount val="1"/>
              <c:pt idx="0">
                <c:v>1</c:v>
              </c:pt>
            </c:numLit>
          </c:bubbleSize>
        </c:ser>
        <c:ser>
          <c:idx val="18"/>
          <c:order val="18"/>
          <c:tx>
            <c:v>top c</c:v>
          </c:tx>
          <c:spPr>
            <a:solidFill>
              <a:srgbClr val="FF0000"/>
            </a:solidFill>
            <a:ln w="25400">
              <a:noFill/>
            </a:ln>
          </c:spPr>
          <c:xVal>
            <c:numRef>
              <c:f>'desigh Stairs'!$BB$41</c:f>
              <c:numCache>
                <c:formatCode>General</c:formatCode>
                <c:ptCount val="1"/>
                <c:pt idx="0">
                  <c:v>25</c:v>
                </c:pt>
              </c:numCache>
            </c:numRef>
          </c:xVal>
          <c:yVal>
            <c:numRef>
              <c:f>'desigh Stairs'!$BC$41</c:f>
              <c:numCache>
                <c:formatCode>General</c:formatCode>
                <c:ptCount val="1"/>
                <c:pt idx="0">
                  <c:v>64.400000000000006</c:v>
                </c:pt>
              </c:numCache>
            </c:numRef>
          </c:yVal>
          <c:bubbleSize>
            <c:numLit>
              <c:formatCode>General</c:formatCode>
              <c:ptCount val="1"/>
              <c:pt idx="0">
                <c:v>1</c:v>
              </c:pt>
            </c:numLit>
          </c:bubbleSize>
        </c:ser>
        <c:ser>
          <c:idx val="19"/>
          <c:order val="19"/>
          <c:tx>
            <c:v>top r2</c:v>
          </c:tx>
          <c:spPr>
            <a:solidFill>
              <a:srgbClr val="FF0000"/>
            </a:solidFill>
            <a:ln>
              <a:noFill/>
            </a:ln>
          </c:spPr>
          <c:xVal>
            <c:numRef>
              <c:f>'desigh Stairs'!$BB$42</c:f>
              <c:numCache>
                <c:formatCode>General</c:formatCode>
                <c:ptCount val="1"/>
                <c:pt idx="0">
                  <c:v>14.5</c:v>
                </c:pt>
              </c:numCache>
            </c:numRef>
          </c:xVal>
          <c:yVal>
            <c:numRef>
              <c:f>'desigh Stairs'!$BC$42</c:f>
              <c:numCache>
                <c:formatCode>General</c:formatCode>
                <c:ptCount val="1"/>
                <c:pt idx="0">
                  <c:v>59.7</c:v>
                </c:pt>
              </c:numCache>
            </c:numRef>
          </c:yVal>
          <c:bubbleSize>
            <c:numLit>
              <c:formatCode>General</c:formatCode>
              <c:ptCount val="1"/>
              <c:pt idx="0">
                <c:v>1</c:v>
              </c:pt>
            </c:numLit>
          </c:bubbleSize>
        </c:ser>
        <c:ser>
          <c:idx val="20"/>
          <c:order val="20"/>
          <c:tx>
            <c:v>top L2</c:v>
          </c:tx>
          <c:spPr>
            <a:solidFill>
              <a:srgbClr val="FF0000"/>
            </a:solidFill>
            <a:ln w="25400">
              <a:noFill/>
            </a:ln>
          </c:spPr>
          <c:xVal>
            <c:numRef>
              <c:f>'desigh Stairs'!$BB$43</c:f>
              <c:numCache>
                <c:formatCode>General</c:formatCode>
                <c:ptCount val="1"/>
                <c:pt idx="0">
                  <c:v>36</c:v>
                </c:pt>
              </c:numCache>
            </c:numRef>
          </c:xVal>
          <c:yVal>
            <c:numRef>
              <c:f>'desigh Stairs'!$BC$43</c:f>
              <c:numCache>
                <c:formatCode>General</c:formatCode>
                <c:ptCount val="1"/>
                <c:pt idx="0">
                  <c:v>59.7</c:v>
                </c:pt>
              </c:numCache>
            </c:numRef>
          </c:yVal>
          <c:bubbleSize>
            <c:numLit>
              <c:formatCode>General</c:formatCode>
              <c:ptCount val="1"/>
              <c:pt idx="0">
                <c:v>1</c:v>
              </c:pt>
            </c:numLit>
          </c:bubbleSize>
        </c:ser>
        <c:ser>
          <c:idx val="21"/>
          <c:order val="21"/>
          <c:tx>
            <c:v>top c 2</c:v>
          </c:tx>
          <c:spPr>
            <a:solidFill>
              <a:srgbClr val="FF0000"/>
            </a:solidFill>
            <a:ln w="25400">
              <a:noFill/>
            </a:ln>
          </c:spPr>
          <c:xVal>
            <c:strRef>
              <c:f>'desigh Stairs'!$BB$44</c:f>
              <c:strCache>
                <c:ptCount val="1"/>
                <c:pt idx="0">
                  <c:v> </c:v>
                </c:pt>
              </c:strCache>
            </c:strRef>
          </c:xVal>
          <c:yVal>
            <c:numRef>
              <c:f>'desigh Stairs'!$BC$44</c:f>
              <c:numCache>
                <c:formatCode>General</c:formatCode>
                <c:ptCount val="1"/>
                <c:pt idx="0">
                  <c:v>0</c:v>
                </c:pt>
              </c:numCache>
            </c:numRef>
          </c:yVal>
          <c:bubbleSize>
            <c:numLit>
              <c:formatCode>General</c:formatCode>
              <c:ptCount val="1"/>
              <c:pt idx="0">
                <c:v>1</c:v>
              </c:pt>
            </c:numLit>
          </c:bubbleSize>
        </c:ser>
        <c:ser>
          <c:idx val="22"/>
          <c:order val="22"/>
          <c:tx>
            <c:v>top R3</c:v>
          </c:tx>
          <c:spPr>
            <a:solidFill>
              <a:srgbClr val="FF0000"/>
            </a:solidFill>
            <a:ln w="25400">
              <a:noFill/>
            </a:ln>
          </c:spPr>
          <c:xVal>
            <c:strRef>
              <c:f>'desigh Stairs'!$BB$45</c:f>
              <c:strCache>
                <c:ptCount val="1"/>
                <c:pt idx="0">
                  <c:v> </c:v>
                </c:pt>
              </c:strCache>
            </c:strRef>
          </c:xVal>
          <c:yVal>
            <c:numRef>
              <c:f>'desigh Stairs'!$BC$45</c:f>
              <c:numCache>
                <c:formatCode>General</c:formatCode>
                <c:ptCount val="1"/>
                <c:pt idx="0">
                  <c:v>0</c:v>
                </c:pt>
              </c:numCache>
            </c:numRef>
          </c:yVal>
          <c:bubbleSize>
            <c:numLit>
              <c:formatCode>General</c:formatCode>
              <c:ptCount val="1"/>
              <c:pt idx="0">
                <c:v>1</c:v>
              </c:pt>
            </c:numLit>
          </c:bubbleSize>
        </c:ser>
        <c:ser>
          <c:idx val="23"/>
          <c:order val="23"/>
          <c:tx>
            <c:v>top c3</c:v>
          </c:tx>
          <c:spPr>
            <a:solidFill>
              <a:srgbClr val="FF0000"/>
            </a:solidFill>
            <a:ln w="25400">
              <a:noFill/>
            </a:ln>
          </c:spPr>
          <c:xVal>
            <c:strRef>
              <c:f>'desigh Stairs'!$BB$46</c:f>
              <c:strCache>
                <c:ptCount val="1"/>
                <c:pt idx="0">
                  <c:v> </c:v>
                </c:pt>
              </c:strCache>
            </c:strRef>
          </c:xVal>
          <c:yVal>
            <c:numRef>
              <c:f>'desigh Stairs'!$BC$46</c:f>
              <c:numCache>
                <c:formatCode>General</c:formatCode>
                <c:ptCount val="1"/>
                <c:pt idx="0">
                  <c:v>0</c:v>
                </c:pt>
              </c:numCache>
            </c:numRef>
          </c:yVal>
          <c:bubbleSize>
            <c:numLit>
              <c:formatCode>General</c:formatCode>
              <c:ptCount val="1"/>
              <c:pt idx="0">
                <c:v>1</c:v>
              </c:pt>
            </c:numLit>
          </c:bubbleSize>
        </c:ser>
        <c:ser>
          <c:idx val="24"/>
          <c:order val="24"/>
          <c:tx>
            <c:v>top l3</c:v>
          </c:tx>
          <c:spPr>
            <a:solidFill>
              <a:srgbClr val="FF0000"/>
            </a:solidFill>
            <a:ln w="25400">
              <a:noFill/>
            </a:ln>
          </c:spPr>
          <c:xVal>
            <c:strRef>
              <c:f>'desigh Stairs'!$BB$47</c:f>
              <c:strCache>
                <c:ptCount val="1"/>
                <c:pt idx="0">
                  <c:v> </c:v>
                </c:pt>
              </c:strCache>
            </c:strRef>
          </c:xVal>
          <c:yVal>
            <c:numRef>
              <c:f>'desigh Stairs'!$BC$47</c:f>
              <c:numCache>
                <c:formatCode>General</c:formatCode>
                <c:ptCount val="1"/>
                <c:pt idx="0">
                  <c:v>0</c:v>
                </c:pt>
              </c:numCache>
            </c:numRef>
          </c:yVal>
          <c:bubbleSize>
            <c:numLit>
              <c:formatCode>General</c:formatCode>
              <c:ptCount val="1"/>
              <c:pt idx="0">
                <c:v>1</c:v>
              </c:pt>
            </c:numLit>
          </c:bubbleSize>
        </c:ser>
        <c:ser>
          <c:idx val="25"/>
          <c:order val="25"/>
          <c:tx>
            <c:v>unde side L3</c:v>
          </c:tx>
          <c:spPr>
            <a:solidFill>
              <a:srgbClr val="FF0000"/>
            </a:solidFill>
            <a:ln w="25400">
              <a:noFill/>
            </a:ln>
          </c:spPr>
          <c:xVal>
            <c:strRef>
              <c:f>'desigh Stairs'!$BB$30</c:f>
              <c:strCache>
                <c:ptCount val="1"/>
                <c:pt idx="0">
                  <c:v> </c:v>
                </c:pt>
              </c:strCache>
            </c:strRef>
          </c:xVal>
          <c:yVal>
            <c:numRef>
              <c:f>'desigh Stairs'!$BC$30</c:f>
              <c:numCache>
                <c:formatCode>General</c:formatCode>
                <c:ptCount val="1"/>
                <c:pt idx="0">
                  <c:v>0</c:v>
                </c:pt>
              </c:numCache>
            </c:numRef>
          </c:yVal>
          <c:bubbleSize>
            <c:numLit>
              <c:formatCode>General</c:formatCode>
              <c:ptCount val="1"/>
              <c:pt idx="0">
                <c:v>1</c:v>
              </c:pt>
            </c:numLit>
          </c:bubbleSize>
        </c:ser>
        <c:bubbleScale val="5"/>
        <c:axId val="84766080"/>
        <c:axId val="84788352"/>
      </c:bubbleChart>
      <c:valAx>
        <c:axId val="84766080"/>
        <c:scaling>
          <c:orientation val="minMax"/>
          <c:max val="140"/>
          <c:min val="0"/>
        </c:scaling>
        <c:delete val="1"/>
        <c:axPos val="b"/>
        <c:numFmt formatCode="General" sourceLinked="1"/>
        <c:tickLblPos val="nextTo"/>
        <c:crossAx val="84788352"/>
        <c:crossesAt val="0"/>
        <c:crossBetween val="midCat"/>
        <c:majorUnit val="10"/>
        <c:minorUnit val="2"/>
      </c:valAx>
      <c:valAx>
        <c:axId val="84788352"/>
        <c:scaling>
          <c:orientation val="minMax"/>
          <c:max val="160"/>
          <c:min val="0"/>
        </c:scaling>
        <c:delete val="1"/>
        <c:axPos val="l"/>
        <c:numFmt formatCode="General" sourceLinked="1"/>
        <c:tickLblPos val="nextTo"/>
        <c:crossAx val="84766080"/>
        <c:crossesAt val="0"/>
        <c:crossBetween val="midCat"/>
        <c:majorUnit val="10"/>
        <c:minorUnit val="2"/>
      </c:valAx>
      <c:spPr>
        <a:noFill/>
        <a:ln>
          <a:noFill/>
        </a:ln>
      </c:spPr>
    </c:plotArea>
    <c:plotVisOnly val="1"/>
  </c:chart>
  <c:spPr>
    <a:noFill/>
    <a:ln>
      <a:noFill/>
    </a:ln>
  </c:spPr>
  <c:printSettings>
    <c:headerFooter/>
    <c:pageMargins b="0.75000000000000511" l="0.70000000000000062" r="0.70000000000000062" t="0.750000000000005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Sheet3!A193"/><Relationship Id="rId3" Type="http://schemas.openxmlformats.org/officeDocument/2006/relationships/hyperlink" Target="#Sheet3!A10"/><Relationship Id="rId7" Type="http://schemas.openxmlformats.org/officeDocument/2006/relationships/hyperlink" Target="#Sheet3!A98"/><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Sheet3!A69"/><Relationship Id="rId5" Type="http://schemas.openxmlformats.org/officeDocument/2006/relationships/hyperlink" Target="#Sheet3!A44"/><Relationship Id="rId4" Type="http://schemas.openxmlformats.org/officeDocument/2006/relationships/hyperlink" Target="#Sheet3!A150"/><Relationship Id="rId9"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10" Type="http://schemas.openxmlformats.org/officeDocument/2006/relationships/chart" Target="../charts/chart12.xml"/><Relationship Id="rId4" Type="http://schemas.openxmlformats.org/officeDocument/2006/relationships/chart" Target="../charts/chart6.xml"/><Relationship Id="rId9"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2</xdr:col>
      <xdr:colOff>109001</xdr:colOff>
      <xdr:row>2</xdr:row>
      <xdr:rowOff>107021</xdr:rowOff>
    </xdr:from>
    <xdr:to>
      <xdr:col>18</xdr:col>
      <xdr:colOff>400050</xdr:colOff>
      <xdr:row>12</xdr:row>
      <xdr:rowOff>84414</xdr:rowOff>
    </xdr:to>
    <xdr:grpSp>
      <xdr:nvGrpSpPr>
        <xdr:cNvPr id="430" name="Group 429"/>
        <xdr:cNvGrpSpPr/>
      </xdr:nvGrpSpPr>
      <xdr:grpSpPr>
        <a:xfrm>
          <a:off x="966251" y="697571"/>
          <a:ext cx="9739849" cy="1882393"/>
          <a:chOff x="1118651" y="601118"/>
          <a:chExt cx="9767369" cy="1950271"/>
        </a:xfrm>
      </xdr:grpSpPr>
      <xdr:grpSp>
        <xdr:nvGrpSpPr>
          <xdr:cNvPr id="830" name="Group 829"/>
          <xdr:cNvGrpSpPr/>
        </xdr:nvGrpSpPr>
        <xdr:grpSpPr>
          <a:xfrm>
            <a:off x="1118651" y="601118"/>
            <a:ext cx="9767369" cy="1950271"/>
            <a:chOff x="109001" y="343555"/>
            <a:chExt cx="7798156" cy="1913415"/>
          </a:xfrm>
        </xdr:grpSpPr>
        <xdr:grpSp>
          <xdr:nvGrpSpPr>
            <xdr:cNvPr id="784" name="Group 783"/>
            <xdr:cNvGrpSpPr/>
          </xdr:nvGrpSpPr>
          <xdr:grpSpPr>
            <a:xfrm>
              <a:off x="109001" y="343555"/>
              <a:ext cx="7798156" cy="1913415"/>
              <a:chOff x="156626" y="345053"/>
              <a:chExt cx="7786169" cy="1892011"/>
            </a:xfrm>
          </xdr:grpSpPr>
          <xdr:grpSp>
            <xdr:nvGrpSpPr>
              <xdr:cNvPr id="646" name="Group 645"/>
              <xdr:cNvGrpSpPr/>
            </xdr:nvGrpSpPr>
            <xdr:grpSpPr>
              <a:xfrm>
                <a:off x="156626" y="345053"/>
                <a:ext cx="7628611" cy="1892011"/>
                <a:chOff x="429148" y="728158"/>
                <a:chExt cx="7653034" cy="2001432"/>
              </a:xfrm>
              <a:effectLst>
                <a:outerShdw blurRad="50800" dist="38100" dir="8100000" algn="tr" rotWithShape="0">
                  <a:prstClr val="black">
                    <a:alpha val="40000"/>
                  </a:prstClr>
                </a:outerShdw>
              </a:effectLst>
            </xdr:grpSpPr>
            <xdr:grpSp>
              <xdr:nvGrpSpPr>
                <xdr:cNvPr id="615" name="Group 614"/>
                <xdr:cNvGrpSpPr/>
              </xdr:nvGrpSpPr>
              <xdr:grpSpPr>
                <a:xfrm>
                  <a:off x="429148" y="728158"/>
                  <a:ext cx="7653034" cy="1845034"/>
                  <a:chOff x="943704" y="893210"/>
                  <a:chExt cx="7537897" cy="1734174"/>
                </a:xfrm>
              </xdr:grpSpPr>
              <xdr:grpSp>
                <xdr:nvGrpSpPr>
                  <xdr:cNvPr id="569" name="Group 568"/>
                  <xdr:cNvGrpSpPr/>
                </xdr:nvGrpSpPr>
                <xdr:grpSpPr>
                  <a:xfrm>
                    <a:off x="943704" y="893210"/>
                    <a:ext cx="7537897" cy="1704583"/>
                    <a:chOff x="819014" y="803595"/>
                    <a:chExt cx="7546452" cy="1663266"/>
                  </a:xfrm>
                </xdr:grpSpPr>
                <xdr:grpSp>
                  <xdr:nvGrpSpPr>
                    <xdr:cNvPr id="522" name="Group 521"/>
                    <xdr:cNvGrpSpPr/>
                  </xdr:nvGrpSpPr>
                  <xdr:grpSpPr>
                    <a:xfrm>
                      <a:off x="819014" y="803595"/>
                      <a:ext cx="7546452" cy="1663266"/>
                      <a:chOff x="1322644" y="702647"/>
                      <a:chExt cx="7440347" cy="1757772"/>
                    </a:xfrm>
                  </xdr:grpSpPr>
                  <xdr:grpSp>
                    <xdr:nvGrpSpPr>
                      <xdr:cNvPr id="158" name="Group 157"/>
                      <xdr:cNvGrpSpPr/>
                    </xdr:nvGrpSpPr>
                    <xdr:grpSpPr>
                      <a:xfrm>
                        <a:off x="1322644" y="862068"/>
                        <a:ext cx="1051670" cy="1317819"/>
                        <a:chOff x="1224088" y="803542"/>
                        <a:chExt cx="1052591" cy="1296290"/>
                      </a:xfrm>
                    </xdr:grpSpPr>
                    <xdr:cxnSp macro="">
                      <xdr:nvCxnSpPr>
                        <xdr:cNvPr id="20" name="Straight Connector 19"/>
                        <xdr:cNvCxnSpPr/>
                      </xdr:nvCxnSpPr>
                      <xdr:spPr>
                        <a:xfrm>
                          <a:off x="1295185" y="1673830"/>
                          <a:ext cx="540313" cy="158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2" name="Straight Connector 21"/>
                        <xdr:cNvCxnSpPr/>
                      </xdr:nvCxnSpPr>
                      <xdr:spPr>
                        <a:xfrm rot="5400000" flipH="1" flipV="1">
                          <a:off x="1824962" y="1588842"/>
                          <a:ext cx="90000" cy="9000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5" name="Straight Connector 24"/>
                        <xdr:cNvCxnSpPr/>
                      </xdr:nvCxnSpPr>
                      <xdr:spPr>
                        <a:xfrm rot="5400000" flipH="1" flipV="1">
                          <a:off x="1300152" y="1582266"/>
                          <a:ext cx="90000" cy="9000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9" name="Straight Connector 28"/>
                        <xdr:cNvCxnSpPr/>
                      </xdr:nvCxnSpPr>
                      <xdr:spPr>
                        <a:xfrm rot="5400000" flipH="1" flipV="1">
                          <a:off x="1844893" y="1512294"/>
                          <a:ext cx="144000" cy="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33" name="Straight Connector 32"/>
                        <xdr:cNvCxnSpPr/>
                      </xdr:nvCxnSpPr>
                      <xdr:spPr>
                        <a:xfrm rot="5400000" flipH="1" flipV="1">
                          <a:off x="1314977" y="1508498"/>
                          <a:ext cx="144000" cy="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35" name="Straight Connector 34"/>
                        <xdr:cNvCxnSpPr/>
                      </xdr:nvCxnSpPr>
                      <xdr:spPr>
                        <a:xfrm>
                          <a:off x="1388735" y="1437121"/>
                          <a:ext cx="540313" cy="158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37" name="Straight Connector 36"/>
                        <xdr:cNvCxnSpPr/>
                      </xdr:nvCxnSpPr>
                      <xdr:spPr>
                        <a:xfrm>
                          <a:off x="1382428" y="1584871"/>
                          <a:ext cx="540313" cy="158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39" name="Straight Connector 38"/>
                        <xdr:cNvCxnSpPr/>
                      </xdr:nvCxnSpPr>
                      <xdr:spPr>
                        <a:xfrm rot="5400000" flipH="1" flipV="1">
                          <a:off x="1920443" y="1346123"/>
                          <a:ext cx="90000" cy="9000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41" name="Straight Connector 40"/>
                        <xdr:cNvCxnSpPr/>
                      </xdr:nvCxnSpPr>
                      <xdr:spPr>
                        <a:xfrm rot="5400000" flipH="1" flipV="1">
                          <a:off x="1388897" y="1345955"/>
                          <a:ext cx="90000" cy="9000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43" name="Straight Connector 42"/>
                        <xdr:cNvCxnSpPr/>
                      </xdr:nvCxnSpPr>
                      <xdr:spPr>
                        <a:xfrm>
                          <a:off x="1475066" y="1345556"/>
                          <a:ext cx="540313" cy="158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45" name="Straight Connector 44"/>
                        <xdr:cNvCxnSpPr/>
                      </xdr:nvCxnSpPr>
                      <xdr:spPr>
                        <a:xfrm rot="5400000" flipH="1" flipV="1">
                          <a:off x="1408386" y="1267661"/>
                          <a:ext cx="142579" cy="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47" name="Straight Connector 46"/>
                        <xdr:cNvCxnSpPr/>
                      </xdr:nvCxnSpPr>
                      <xdr:spPr>
                        <a:xfrm rot="5400000" flipH="1" flipV="1">
                          <a:off x="1936400" y="1271921"/>
                          <a:ext cx="144000" cy="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49" name="Straight Connector 48"/>
                        <xdr:cNvCxnSpPr/>
                      </xdr:nvCxnSpPr>
                      <xdr:spPr>
                        <a:xfrm>
                          <a:off x="1476062" y="1193174"/>
                          <a:ext cx="540313" cy="3009"/>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51" name="Straight Connector 50"/>
                        <xdr:cNvCxnSpPr/>
                      </xdr:nvCxnSpPr>
                      <xdr:spPr>
                        <a:xfrm rot="5400000" flipH="1" flipV="1">
                          <a:off x="2007884" y="1103878"/>
                          <a:ext cx="90000" cy="9000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53" name="Straight Connector 52"/>
                        <xdr:cNvCxnSpPr/>
                      </xdr:nvCxnSpPr>
                      <xdr:spPr>
                        <a:xfrm rot="5400000" flipH="1" flipV="1">
                          <a:off x="1483710" y="1104298"/>
                          <a:ext cx="90000" cy="9000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55" name="Straight Connector 54"/>
                        <xdr:cNvCxnSpPr/>
                      </xdr:nvCxnSpPr>
                      <xdr:spPr>
                        <a:xfrm>
                          <a:off x="1568179" y="1101477"/>
                          <a:ext cx="540313" cy="158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57" name="Straight Connector 56"/>
                        <xdr:cNvCxnSpPr/>
                      </xdr:nvCxnSpPr>
                      <xdr:spPr>
                        <a:xfrm rot="5400000" flipH="1" flipV="1">
                          <a:off x="1508085" y="1032019"/>
                          <a:ext cx="144000" cy="158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59" name="Straight Connector 58"/>
                        <xdr:cNvCxnSpPr/>
                      </xdr:nvCxnSpPr>
                      <xdr:spPr>
                        <a:xfrm rot="5400000" flipH="1" flipV="1">
                          <a:off x="2036809" y="1032018"/>
                          <a:ext cx="144000" cy="158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61" name="Straight Connector 60"/>
                        <xdr:cNvCxnSpPr/>
                      </xdr:nvCxnSpPr>
                      <xdr:spPr>
                        <a:xfrm>
                          <a:off x="1580085" y="964555"/>
                          <a:ext cx="540313" cy="158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63" name="Straight Connector 62"/>
                        <xdr:cNvCxnSpPr/>
                      </xdr:nvCxnSpPr>
                      <xdr:spPr>
                        <a:xfrm rot="5400000" flipH="1" flipV="1">
                          <a:off x="2108958" y="803542"/>
                          <a:ext cx="162000" cy="16200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65" name="Straight Connector 64"/>
                        <xdr:cNvCxnSpPr/>
                      </xdr:nvCxnSpPr>
                      <xdr:spPr>
                        <a:xfrm rot="5400000" flipH="1" flipV="1">
                          <a:off x="1581381" y="806647"/>
                          <a:ext cx="162000" cy="164865"/>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67" name="Straight Connector 66"/>
                        <xdr:cNvCxnSpPr/>
                      </xdr:nvCxnSpPr>
                      <xdr:spPr>
                        <a:xfrm>
                          <a:off x="1740279" y="808078"/>
                          <a:ext cx="536400" cy="158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77" name="Straight Connector 76"/>
                        <xdr:cNvCxnSpPr/>
                      </xdr:nvCxnSpPr>
                      <xdr:spPr>
                        <a:xfrm>
                          <a:off x="1292918" y="1815002"/>
                          <a:ext cx="542865" cy="158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78" name="Straight Connector 77"/>
                        <xdr:cNvCxnSpPr/>
                      </xdr:nvCxnSpPr>
                      <xdr:spPr>
                        <a:xfrm rot="5400000" flipH="1" flipV="1">
                          <a:off x="1764253" y="1814045"/>
                          <a:ext cx="72000" cy="7200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79" name="Straight Connector 78"/>
                        <xdr:cNvCxnSpPr/>
                      </xdr:nvCxnSpPr>
                      <xdr:spPr>
                        <a:xfrm rot="5400000" flipH="1" flipV="1">
                          <a:off x="1227563" y="1814455"/>
                          <a:ext cx="72000" cy="7200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81" name="Straight Connector 80"/>
                        <xdr:cNvCxnSpPr/>
                      </xdr:nvCxnSpPr>
                      <xdr:spPr>
                        <a:xfrm rot="5400000">
                          <a:off x="1229117" y="1741942"/>
                          <a:ext cx="136862" cy="1775"/>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84" name="Straight Connector 83"/>
                        <xdr:cNvCxnSpPr/>
                      </xdr:nvCxnSpPr>
                      <xdr:spPr>
                        <a:xfrm rot="5400000">
                          <a:off x="1765228" y="1742126"/>
                          <a:ext cx="131536" cy="158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86" name="Straight Connector 85"/>
                        <xdr:cNvCxnSpPr/>
                      </xdr:nvCxnSpPr>
                      <xdr:spPr>
                        <a:xfrm>
                          <a:off x="1224880" y="1883038"/>
                          <a:ext cx="542865" cy="158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88" name="Straight Connector 87"/>
                        <xdr:cNvCxnSpPr/>
                      </xdr:nvCxnSpPr>
                      <xdr:spPr>
                        <a:xfrm rot="5400000">
                          <a:off x="1654961" y="1991038"/>
                          <a:ext cx="216000" cy="158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90" name="Straight Connector 89"/>
                        <xdr:cNvCxnSpPr/>
                      </xdr:nvCxnSpPr>
                      <xdr:spPr>
                        <a:xfrm rot="5400000">
                          <a:off x="1116882" y="1991037"/>
                          <a:ext cx="216000" cy="158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92" name="Straight Connector 91"/>
                        <xdr:cNvCxnSpPr/>
                      </xdr:nvCxnSpPr>
                      <xdr:spPr>
                        <a:xfrm rot="5400000">
                          <a:off x="1727533" y="1923001"/>
                          <a:ext cx="216000" cy="158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98" name="Straight Connector 97"/>
                        <xdr:cNvCxnSpPr/>
                      </xdr:nvCxnSpPr>
                      <xdr:spPr>
                        <a:xfrm rot="5400000">
                          <a:off x="2143611" y="935650"/>
                          <a:ext cx="252000" cy="158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104" name="Straight Connector 103"/>
                        <xdr:cNvCxnSpPr/>
                      </xdr:nvCxnSpPr>
                      <xdr:spPr>
                        <a:xfrm rot="5400000" flipH="1" flipV="1">
                          <a:off x="1556741" y="1264977"/>
                          <a:ext cx="928379" cy="37623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109" name="Straight Connector 108"/>
                        <xdr:cNvCxnSpPr/>
                      </xdr:nvCxnSpPr>
                      <xdr:spPr>
                        <a:xfrm>
                          <a:off x="1224881" y="2096221"/>
                          <a:ext cx="542865" cy="158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110" name="Straight Connector 109"/>
                        <xdr:cNvCxnSpPr/>
                      </xdr:nvCxnSpPr>
                      <xdr:spPr>
                        <a:xfrm rot="5400000" flipH="1" flipV="1">
                          <a:off x="1767530" y="2023645"/>
                          <a:ext cx="72000" cy="7200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117" name="Straight Connector 116"/>
                        <xdr:cNvCxnSpPr/>
                      </xdr:nvCxnSpPr>
                      <xdr:spPr>
                        <a:xfrm rot="5400000">
                          <a:off x="2084086" y="991879"/>
                          <a:ext cx="252000" cy="158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119" name="Straight Connector 118"/>
                        <xdr:cNvCxnSpPr/>
                      </xdr:nvCxnSpPr>
                      <xdr:spPr>
                        <a:xfrm rot="10800000">
                          <a:off x="1684131" y="864770"/>
                          <a:ext cx="534446" cy="158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121" name="Straight Connector 120"/>
                        <xdr:cNvCxnSpPr/>
                      </xdr:nvCxnSpPr>
                      <xdr:spPr>
                        <a:xfrm rot="5400000" flipH="1" flipV="1">
                          <a:off x="2214033" y="1058688"/>
                          <a:ext cx="54000" cy="5400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125" name="Straight Connector 124"/>
                        <xdr:cNvCxnSpPr/>
                      </xdr:nvCxnSpPr>
                      <xdr:spPr>
                        <a:xfrm rot="10800000">
                          <a:off x="2159810" y="1112420"/>
                          <a:ext cx="54000" cy="158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grpSp>
                  <xdr:grpSp>
                    <xdr:nvGrpSpPr>
                      <xdr:cNvPr id="255" name="Group 254"/>
                      <xdr:cNvGrpSpPr>
                        <a:grpSpLocks/>
                      </xdr:cNvGrpSpPr>
                    </xdr:nvGrpSpPr>
                    <xdr:grpSpPr>
                      <a:xfrm>
                        <a:off x="2635604" y="856614"/>
                        <a:ext cx="1043082" cy="1318216"/>
                        <a:chOff x="2727280" y="1072613"/>
                        <a:chExt cx="1046053" cy="1294890"/>
                      </a:xfrm>
                    </xdr:grpSpPr>
                    <xdr:cxnSp macro="">
                      <xdr:nvCxnSpPr>
                        <xdr:cNvPr id="166" name="Straight Connector 165"/>
                        <xdr:cNvCxnSpPr/>
                      </xdr:nvCxnSpPr>
                      <xdr:spPr>
                        <a:xfrm>
                          <a:off x="2884652" y="1851607"/>
                          <a:ext cx="537011" cy="1615"/>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grpSp>
                      <xdr:nvGrpSpPr>
                        <xdr:cNvPr id="253" name="Group 252"/>
                        <xdr:cNvGrpSpPr/>
                      </xdr:nvGrpSpPr>
                      <xdr:grpSpPr>
                        <a:xfrm>
                          <a:off x="2727280" y="1072613"/>
                          <a:ext cx="1046053" cy="1294890"/>
                          <a:chOff x="2732768" y="1077187"/>
                          <a:chExt cx="1043081" cy="1318216"/>
                        </a:xfrm>
                      </xdr:grpSpPr>
                      <xdr:cxnSp macro="">
                        <xdr:nvCxnSpPr>
                          <xdr:cNvPr id="160" name="Straight Connector 159"/>
                          <xdr:cNvCxnSpPr/>
                        </xdr:nvCxnSpPr>
                        <xdr:spPr>
                          <a:xfrm>
                            <a:off x="2803430" y="1962196"/>
                            <a:ext cx="537011" cy="1615"/>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161" name="Straight Connector 160"/>
                          <xdr:cNvCxnSpPr/>
                        </xdr:nvCxnSpPr>
                        <xdr:spPr>
                          <a:xfrm rot="5400000" flipH="1" flipV="1">
                            <a:off x="3328933" y="1876807"/>
                            <a:ext cx="91522" cy="8945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162" name="Straight Connector 161"/>
                          <xdr:cNvCxnSpPr/>
                        </xdr:nvCxnSpPr>
                        <xdr:spPr>
                          <a:xfrm rot="5400000" flipH="1" flipV="1">
                            <a:off x="2807331" y="1870119"/>
                            <a:ext cx="91522" cy="8945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163" name="Straight Connector 162"/>
                          <xdr:cNvCxnSpPr/>
                        </xdr:nvCxnSpPr>
                        <xdr:spPr>
                          <a:xfrm rot="5400000" flipH="1" flipV="1">
                            <a:off x="3348121" y="1797927"/>
                            <a:ext cx="146436" cy="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164" name="Straight Connector 163"/>
                          <xdr:cNvCxnSpPr/>
                        </xdr:nvCxnSpPr>
                        <xdr:spPr>
                          <a:xfrm rot="5400000" flipH="1" flipV="1">
                            <a:off x="2821443" y="1794067"/>
                            <a:ext cx="146436" cy="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165" name="Straight Connector 164"/>
                          <xdr:cNvCxnSpPr/>
                        </xdr:nvCxnSpPr>
                        <xdr:spPr>
                          <a:xfrm>
                            <a:off x="2896408" y="1721482"/>
                            <a:ext cx="537011" cy="1615"/>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167" name="Straight Connector 166"/>
                          <xdr:cNvCxnSpPr/>
                        </xdr:nvCxnSpPr>
                        <xdr:spPr>
                          <a:xfrm rot="5400000" flipH="1" flipV="1">
                            <a:off x="3423830" y="1629982"/>
                            <a:ext cx="91522" cy="8945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168" name="Straight Connector 167"/>
                          <xdr:cNvCxnSpPr/>
                        </xdr:nvCxnSpPr>
                        <xdr:spPr>
                          <a:xfrm rot="5400000" flipH="1" flipV="1">
                            <a:off x="2895533" y="1629811"/>
                            <a:ext cx="91522" cy="8945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169" name="Straight Connector 168"/>
                          <xdr:cNvCxnSpPr/>
                        </xdr:nvCxnSpPr>
                        <xdr:spPr>
                          <a:xfrm>
                            <a:off x="2982212" y="1628369"/>
                            <a:ext cx="537011" cy="1615"/>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170" name="Straight Connector 169"/>
                          <xdr:cNvCxnSpPr/>
                        </xdr:nvCxnSpPr>
                        <xdr:spPr>
                          <a:xfrm rot="5400000" flipH="1" flipV="1">
                            <a:off x="2914298" y="1549156"/>
                            <a:ext cx="144991" cy="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171" name="Straight Connector 170"/>
                          <xdr:cNvCxnSpPr/>
                        </xdr:nvCxnSpPr>
                        <xdr:spPr>
                          <a:xfrm rot="5400000" flipH="1" flipV="1">
                            <a:off x="3439069" y="1553488"/>
                            <a:ext cx="146436" cy="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172" name="Straight Connector 171"/>
                          <xdr:cNvCxnSpPr/>
                        </xdr:nvCxnSpPr>
                        <xdr:spPr>
                          <a:xfrm>
                            <a:off x="2983201" y="1473409"/>
                            <a:ext cx="537011" cy="306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173" name="Straight Connector 172"/>
                          <xdr:cNvCxnSpPr/>
                        </xdr:nvCxnSpPr>
                        <xdr:spPr>
                          <a:xfrm rot="5400000" flipH="1" flipV="1">
                            <a:off x="3510737" y="1383639"/>
                            <a:ext cx="91522" cy="8945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174" name="Straight Connector 173"/>
                          <xdr:cNvCxnSpPr/>
                        </xdr:nvCxnSpPr>
                        <xdr:spPr>
                          <a:xfrm rot="5400000" flipH="1" flipV="1">
                            <a:off x="2989767" y="1384066"/>
                            <a:ext cx="91522" cy="8945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175" name="Straight Connector 174"/>
                          <xdr:cNvCxnSpPr/>
                        </xdr:nvCxnSpPr>
                        <xdr:spPr>
                          <a:xfrm>
                            <a:off x="3074755" y="1380162"/>
                            <a:ext cx="537011" cy="1615"/>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176" name="Straight Connector 175"/>
                          <xdr:cNvCxnSpPr/>
                        </xdr:nvCxnSpPr>
                        <xdr:spPr>
                          <a:xfrm rot="5400000" flipH="1" flipV="1">
                            <a:off x="3013371" y="1309547"/>
                            <a:ext cx="146436" cy="157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177" name="Straight Connector 176"/>
                          <xdr:cNvCxnSpPr/>
                        </xdr:nvCxnSpPr>
                        <xdr:spPr>
                          <a:xfrm rot="5400000" flipH="1" flipV="1">
                            <a:off x="3538863" y="1309546"/>
                            <a:ext cx="146436" cy="157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178" name="Straight Connector 177"/>
                          <xdr:cNvCxnSpPr/>
                        </xdr:nvCxnSpPr>
                        <xdr:spPr>
                          <a:xfrm>
                            <a:off x="3086589" y="1240924"/>
                            <a:ext cx="537011" cy="1615"/>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179" name="Straight Connector 178"/>
                          <xdr:cNvCxnSpPr/>
                        </xdr:nvCxnSpPr>
                        <xdr:spPr>
                          <a:xfrm rot="5400000" flipH="1" flipV="1">
                            <a:off x="3610364" y="1079052"/>
                            <a:ext cx="164740" cy="16101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180" name="Straight Connector 179"/>
                          <xdr:cNvCxnSpPr/>
                        </xdr:nvCxnSpPr>
                        <xdr:spPr>
                          <a:xfrm rot="5400000" flipH="1" flipV="1">
                            <a:off x="3086012" y="1082242"/>
                            <a:ext cx="164740" cy="16385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181" name="Straight Connector 180"/>
                          <xdr:cNvCxnSpPr/>
                        </xdr:nvCxnSpPr>
                        <xdr:spPr>
                          <a:xfrm>
                            <a:off x="3242728" y="1081799"/>
                            <a:ext cx="533121" cy="1615"/>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182" name="Straight Connector 181"/>
                          <xdr:cNvCxnSpPr/>
                        </xdr:nvCxnSpPr>
                        <xdr:spPr>
                          <a:xfrm>
                            <a:off x="2801177" y="2105755"/>
                            <a:ext cx="539546" cy="1615"/>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183" name="Straight Connector 182"/>
                          <xdr:cNvCxnSpPr/>
                        </xdr:nvCxnSpPr>
                        <xdr:spPr>
                          <a:xfrm rot="5400000" flipH="1" flipV="1">
                            <a:off x="3268803" y="2105611"/>
                            <a:ext cx="73218" cy="7156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184" name="Straight Connector 183"/>
                          <xdr:cNvCxnSpPr/>
                        </xdr:nvCxnSpPr>
                        <xdr:spPr>
                          <a:xfrm rot="5400000" flipH="1" flipV="1">
                            <a:off x="2735393" y="2106028"/>
                            <a:ext cx="73218" cy="7156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185" name="Straight Connector 184"/>
                          <xdr:cNvCxnSpPr/>
                        </xdr:nvCxnSpPr>
                        <xdr:spPr>
                          <a:xfrm rot="5400000">
                            <a:off x="2736190" y="2031480"/>
                            <a:ext cx="139177" cy="1764"/>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186" name="Straight Connector 185"/>
                          <xdr:cNvCxnSpPr/>
                        </xdr:nvCxnSpPr>
                        <xdr:spPr>
                          <a:xfrm rot="5400000">
                            <a:off x="3269085" y="2031665"/>
                            <a:ext cx="133761" cy="157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187" name="Straight Connector 186"/>
                          <xdr:cNvCxnSpPr/>
                        </xdr:nvCxnSpPr>
                        <xdr:spPr>
                          <a:xfrm>
                            <a:off x="2733555" y="2174943"/>
                            <a:ext cx="539546" cy="1615"/>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188" name="Straight Connector 187"/>
                          <xdr:cNvCxnSpPr/>
                        </xdr:nvCxnSpPr>
                        <xdr:spPr>
                          <a:xfrm rot="5400000">
                            <a:off x="3158520" y="2284787"/>
                            <a:ext cx="219654" cy="157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189" name="Straight Connector 188"/>
                          <xdr:cNvCxnSpPr/>
                        </xdr:nvCxnSpPr>
                        <xdr:spPr>
                          <a:xfrm rot="5400000">
                            <a:off x="2623730" y="2284786"/>
                            <a:ext cx="219654" cy="157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190" name="Straight Connector 189"/>
                          <xdr:cNvCxnSpPr/>
                        </xdr:nvCxnSpPr>
                        <xdr:spPr>
                          <a:xfrm rot="5400000">
                            <a:off x="3230648" y="2215599"/>
                            <a:ext cx="219654" cy="157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191" name="Straight Connector 190"/>
                          <xdr:cNvCxnSpPr/>
                        </xdr:nvCxnSpPr>
                        <xdr:spPr>
                          <a:xfrm rot="5400000">
                            <a:off x="3639311" y="1211548"/>
                            <a:ext cx="256263" cy="157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193" name="Straight Connector 192"/>
                          <xdr:cNvCxnSpPr/>
                        </xdr:nvCxnSpPr>
                        <xdr:spPr>
                          <a:xfrm>
                            <a:off x="2733556" y="2391731"/>
                            <a:ext cx="539546" cy="1615"/>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194" name="Straight Connector 193"/>
                          <xdr:cNvCxnSpPr/>
                        </xdr:nvCxnSpPr>
                        <xdr:spPr>
                          <a:xfrm rot="5400000" flipH="1" flipV="1">
                            <a:off x="3272059" y="2318756"/>
                            <a:ext cx="73218" cy="7156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195" name="Straight Connector 194"/>
                          <xdr:cNvCxnSpPr/>
                        </xdr:nvCxnSpPr>
                        <xdr:spPr>
                          <a:xfrm rot="5400000">
                            <a:off x="3584608" y="1268727"/>
                            <a:ext cx="256263" cy="157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196" name="Straight Connector 195"/>
                          <xdr:cNvCxnSpPr/>
                        </xdr:nvCxnSpPr>
                        <xdr:spPr>
                          <a:xfrm rot="10800000">
                            <a:off x="3186923" y="1139451"/>
                            <a:ext cx="531180" cy="1615"/>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197" name="Straight Connector 196"/>
                          <xdr:cNvCxnSpPr/>
                        </xdr:nvCxnSpPr>
                        <xdr:spPr>
                          <a:xfrm rot="5400000" flipH="1" flipV="1">
                            <a:off x="3715425" y="1334808"/>
                            <a:ext cx="54913" cy="5367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198" name="Straight Connector 197"/>
                          <xdr:cNvCxnSpPr/>
                        </xdr:nvCxnSpPr>
                        <xdr:spPr>
                          <a:xfrm rot="10800000">
                            <a:off x="3680458" y="1391289"/>
                            <a:ext cx="35982" cy="1615"/>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grpSp>
                    <xdr:cxnSp macro="">
                      <xdr:nvCxnSpPr>
                        <xdr:cNvPr id="200" name="Straight Connector 199"/>
                        <xdr:cNvCxnSpPr/>
                      </xdr:nvCxnSpPr>
                      <xdr:spPr>
                        <a:xfrm rot="5400000" flipH="1" flipV="1">
                          <a:off x="3333389" y="2166377"/>
                          <a:ext cx="91225" cy="89319"/>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04" name="Straight Connector 203"/>
                        <xdr:cNvCxnSpPr/>
                      </xdr:nvCxnSpPr>
                      <xdr:spPr>
                        <a:xfrm rot="5400000">
                          <a:off x="3335888" y="2077527"/>
                          <a:ext cx="180000" cy="158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05" name="Straight Connector 204"/>
                        <xdr:cNvCxnSpPr/>
                      </xdr:nvCxnSpPr>
                      <xdr:spPr>
                        <a:xfrm rot="5400000" flipH="1" flipV="1">
                          <a:off x="3424452" y="1905793"/>
                          <a:ext cx="91225" cy="89941"/>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06" name="Straight Connector 205"/>
                        <xdr:cNvCxnSpPr/>
                      </xdr:nvCxnSpPr>
                      <xdr:spPr>
                        <a:xfrm rot="5400000">
                          <a:off x="3421182" y="1824365"/>
                          <a:ext cx="180000" cy="158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07" name="Straight Connector 206"/>
                        <xdr:cNvCxnSpPr/>
                      </xdr:nvCxnSpPr>
                      <xdr:spPr>
                        <a:xfrm rot="5400000" flipH="1" flipV="1">
                          <a:off x="3509435" y="1653659"/>
                          <a:ext cx="91225" cy="89319"/>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08" name="Straight Connector 207"/>
                        <xdr:cNvCxnSpPr/>
                      </xdr:nvCxnSpPr>
                      <xdr:spPr>
                        <a:xfrm rot="5400000" flipH="1" flipV="1">
                          <a:off x="3593350" y="1392972"/>
                          <a:ext cx="91225" cy="89942"/>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09" name="Straight Connector 208"/>
                        <xdr:cNvCxnSpPr/>
                      </xdr:nvCxnSpPr>
                      <xdr:spPr>
                        <a:xfrm rot="5400000" flipH="1" flipV="1">
                          <a:off x="3678086" y="1197218"/>
                          <a:ext cx="32400" cy="34081"/>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11" name="Straight Connector 210"/>
                        <xdr:cNvCxnSpPr/>
                      </xdr:nvCxnSpPr>
                      <xdr:spPr>
                        <a:xfrm rot="5400000">
                          <a:off x="3507859" y="1569281"/>
                          <a:ext cx="180000" cy="158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13" name="Straight Connector 212"/>
                        <xdr:cNvCxnSpPr/>
                      </xdr:nvCxnSpPr>
                      <xdr:spPr>
                        <a:xfrm rot="5400000">
                          <a:off x="3590290" y="1307108"/>
                          <a:ext cx="180000" cy="3269"/>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grpSp>
                  <xdr:grpSp>
                    <xdr:nvGrpSpPr>
                      <xdr:cNvPr id="584" name="Group 583"/>
                      <xdr:cNvGrpSpPr/>
                    </xdr:nvGrpSpPr>
                    <xdr:grpSpPr>
                      <a:xfrm>
                        <a:off x="7655273" y="702647"/>
                        <a:ext cx="1107718" cy="1731440"/>
                        <a:chOff x="4095263" y="957664"/>
                        <a:chExt cx="1108344" cy="1518241"/>
                      </a:xfrm>
                    </xdr:grpSpPr>
                    <xdr:cxnSp macro="">
                      <xdr:nvCxnSpPr>
                        <xdr:cNvPr id="277" name="Straight Connector 276"/>
                        <xdr:cNvCxnSpPr/>
                      </xdr:nvCxnSpPr>
                      <xdr:spPr>
                        <a:xfrm rot="5400000" flipH="1" flipV="1">
                          <a:off x="4397026" y="1588451"/>
                          <a:ext cx="151458" cy="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78" name="Straight Connector 277"/>
                        <xdr:cNvCxnSpPr/>
                      </xdr:nvCxnSpPr>
                      <xdr:spPr>
                        <a:xfrm rot="5400000" flipH="1" flipV="1">
                          <a:off x="4917236" y="1588973"/>
                          <a:ext cx="149862" cy="4156"/>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grpSp>
                      <xdr:nvGrpSpPr>
                        <xdr:cNvPr id="583" name="Group 582"/>
                        <xdr:cNvGrpSpPr/>
                      </xdr:nvGrpSpPr>
                      <xdr:grpSpPr>
                        <a:xfrm>
                          <a:off x="4095263" y="957664"/>
                          <a:ext cx="1108344" cy="1518241"/>
                          <a:chOff x="4119557" y="968026"/>
                          <a:chExt cx="1100485" cy="1488229"/>
                        </a:xfrm>
                      </xdr:grpSpPr>
                      <xdr:cxnSp macro="">
                        <xdr:nvCxnSpPr>
                          <xdr:cNvPr id="257" name="Straight Connector 256"/>
                          <xdr:cNvCxnSpPr/>
                        </xdr:nvCxnSpPr>
                        <xdr:spPr>
                          <a:xfrm>
                            <a:off x="4394675" y="1893007"/>
                            <a:ext cx="530000" cy="1591"/>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68" name="Straight Connector 267"/>
                          <xdr:cNvCxnSpPr/>
                        </xdr:nvCxnSpPr>
                        <xdr:spPr>
                          <a:xfrm>
                            <a:off x="4309846" y="1981537"/>
                            <a:ext cx="531500" cy="1562"/>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69" name="Straight Connector 268"/>
                          <xdr:cNvCxnSpPr/>
                        </xdr:nvCxnSpPr>
                        <xdr:spPr>
                          <a:xfrm flipV="1">
                            <a:off x="4829322" y="1897911"/>
                            <a:ext cx="89683" cy="88556"/>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70" name="Straight Connector 269"/>
                          <xdr:cNvCxnSpPr/>
                        </xdr:nvCxnSpPr>
                        <xdr:spPr>
                          <a:xfrm rot="5400000" flipH="1" flipV="1">
                            <a:off x="4314401" y="1891741"/>
                            <a:ext cx="88557" cy="87956"/>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71" name="Straight Connector 270"/>
                          <xdr:cNvCxnSpPr/>
                        </xdr:nvCxnSpPr>
                        <xdr:spPr>
                          <a:xfrm rot="5400000" flipH="1" flipV="1">
                            <a:off x="4850047" y="1822591"/>
                            <a:ext cx="141691" cy="158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72" name="Straight Connector 271"/>
                          <xdr:cNvCxnSpPr/>
                        </xdr:nvCxnSpPr>
                        <xdr:spPr>
                          <a:xfrm rot="5400000" flipH="1" flipV="1">
                            <a:off x="4328709" y="1818856"/>
                            <a:ext cx="141691" cy="158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73" name="Straight Connector 272"/>
                          <xdr:cNvCxnSpPr/>
                        </xdr:nvCxnSpPr>
                        <xdr:spPr>
                          <a:xfrm>
                            <a:off x="4401271" y="1748622"/>
                            <a:ext cx="531500" cy="1562"/>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74" name="Straight Connector 273"/>
                          <xdr:cNvCxnSpPr/>
                        </xdr:nvCxnSpPr>
                        <xdr:spPr>
                          <a:xfrm rot="5400000" flipH="1" flipV="1">
                            <a:off x="4924062" y="1659385"/>
                            <a:ext cx="88557" cy="87956"/>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75" name="Straight Connector 274"/>
                          <xdr:cNvCxnSpPr/>
                        </xdr:nvCxnSpPr>
                        <xdr:spPr>
                          <a:xfrm rot="5400000" flipH="1" flipV="1">
                            <a:off x="4401130" y="1659220"/>
                            <a:ext cx="88557" cy="87956"/>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76" name="Straight Connector 275"/>
                          <xdr:cNvCxnSpPr/>
                        </xdr:nvCxnSpPr>
                        <xdr:spPr>
                          <a:xfrm>
                            <a:off x="4485642" y="1658526"/>
                            <a:ext cx="531500" cy="1562"/>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79" name="Straight Connector 278"/>
                          <xdr:cNvCxnSpPr/>
                        </xdr:nvCxnSpPr>
                        <xdr:spPr>
                          <a:xfrm>
                            <a:off x="4486615" y="1508587"/>
                            <a:ext cx="529401" cy="2961"/>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80" name="Straight Connector 279"/>
                          <xdr:cNvCxnSpPr/>
                        </xdr:nvCxnSpPr>
                        <xdr:spPr>
                          <a:xfrm rot="5400000" flipH="1" flipV="1">
                            <a:off x="5009518" y="1421024"/>
                            <a:ext cx="88557" cy="87956"/>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81" name="Straight Connector 280"/>
                          <xdr:cNvCxnSpPr/>
                        </xdr:nvCxnSpPr>
                        <xdr:spPr>
                          <a:xfrm rot="5400000" flipH="1" flipV="1">
                            <a:off x="4493791" y="1421437"/>
                            <a:ext cx="88557" cy="87956"/>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82" name="Straight Connector 281"/>
                          <xdr:cNvCxnSpPr/>
                        </xdr:nvCxnSpPr>
                        <xdr:spPr>
                          <a:xfrm>
                            <a:off x="4576641" y="1418362"/>
                            <a:ext cx="531500" cy="1562"/>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83" name="Straight Connector 282"/>
                          <xdr:cNvCxnSpPr/>
                        </xdr:nvCxnSpPr>
                        <xdr:spPr>
                          <a:xfrm rot="5400000" flipH="1" flipV="1">
                            <a:off x="4517432" y="1350023"/>
                            <a:ext cx="141691" cy="1552"/>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84" name="Straight Connector 283"/>
                          <xdr:cNvCxnSpPr/>
                        </xdr:nvCxnSpPr>
                        <xdr:spPr>
                          <a:xfrm rot="5400000" flipH="1" flipV="1">
                            <a:off x="5037605" y="1350022"/>
                            <a:ext cx="141691" cy="1552"/>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85" name="Straight Connector 284"/>
                          <xdr:cNvCxnSpPr/>
                        </xdr:nvCxnSpPr>
                        <xdr:spPr>
                          <a:xfrm flipV="1">
                            <a:off x="4588277" y="1283275"/>
                            <a:ext cx="529627" cy="36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86" name="Straight Connector 285"/>
                          <xdr:cNvCxnSpPr/>
                        </xdr:nvCxnSpPr>
                        <xdr:spPr>
                          <a:xfrm flipV="1">
                            <a:off x="5103951" y="1183880"/>
                            <a:ext cx="109202" cy="10190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87" name="Straight Connector 286"/>
                          <xdr:cNvCxnSpPr/>
                        </xdr:nvCxnSpPr>
                        <xdr:spPr>
                          <a:xfrm flipV="1">
                            <a:off x="4591309" y="1182089"/>
                            <a:ext cx="102983" cy="100666"/>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99" name="Straight Connector 298"/>
                          <xdr:cNvCxnSpPr/>
                        </xdr:nvCxnSpPr>
                        <xdr:spPr>
                          <a:xfrm>
                            <a:off x="4305467" y="2228449"/>
                            <a:ext cx="529067" cy="1562"/>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301" name="Straight Connector 300"/>
                          <xdr:cNvCxnSpPr/>
                        </xdr:nvCxnSpPr>
                        <xdr:spPr>
                          <a:xfrm rot="5400000">
                            <a:off x="5177603" y="1218346"/>
                            <a:ext cx="73490" cy="2394"/>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302" name="Straight Connector 301"/>
                          <xdr:cNvCxnSpPr/>
                        </xdr:nvCxnSpPr>
                        <xdr:spPr>
                          <a:xfrm rot="10800000">
                            <a:off x="4691888" y="1182668"/>
                            <a:ext cx="528154" cy="118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59" name="Straight Connector 258"/>
                          <xdr:cNvCxnSpPr/>
                        </xdr:nvCxnSpPr>
                        <xdr:spPr>
                          <a:xfrm rot="5400000" flipH="1" flipV="1">
                            <a:off x="4837040" y="2140766"/>
                            <a:ext cx="89882" cy="89305"/>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60" name="Straight Connector 259"/>
                          <xdr:cNvCxnSpPr/>
                        </xdr:nvCxnSpPr>
                        <xdr:spPr>
                          <a:xfrm rot="5400000">
                            <a:off x="4867810" y="2088665"/>
                            <a:ext cx="116161" cy="824"/>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61" name="Straight Connector 260"/>
                          <xdr:cNvCxnSpPr/>
                        </xdr:nvCxnSpPr>
                        <xdr:spPr>
                          <a:xfrm rot="5400000" flipH="1" flipV="1">
                            <a:off x="4927193" y="1946611"/>
                            <a:ext cx="89883" cy="8818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62" name="Straight Connector 261"/>
                          <xdr:cNvCxnSpPr/>
                        </xdr:nvCxnSpPr>
                        <xdr:spPr>
                          <a:xfrm rot="5400000">
                            <a:off x="4923775" y="1866169"/>
                            <a:ext cx="177351" cy="1556"/>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63" name="Straight Connector 262"/>
                          <xdr:cNvCxnSpPr/>
                        </xdr:nvCxnSpPr>
                        <xdr:spPr>
                          <a:xfrm rot="5400000" flipH="1" flipV="1">
                            <a:off x="5010519" y="1698185"/>
                            <a:ext cx="89882" cy="87579"/>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64" name="Straight Connector 263"/>
                          <xdr:cNvCxnSpPr/>
                        </xdr:nvCxnSpPr>
                        <xdr:spPr>
                          <a:xfrm flipV="1">
                            <a:off x="5093645" y="1440489"/>
                            <a:ext cx="95529" cy="89882"/>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65" name="Straight Connector 264"/>
                          <xdr:cNvCxnSpPr/>
                        </xdr:nvCxnSpPr>
                        <xdr:spPr>
                          <a:xfrm flipV="1">
                            <a:off x="5182617" y="1249076"/>
                            <a:ext cx="33417" cy="31922"/>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66" name="Straight Connector 265"/>
                          <xdr:cNvCxnSpPr/>
                        </xdr:nvCxnSpPr>
                        <xdr:spPr>
                          <a:xfrm rot="5400000">
                            <a:off x="5008763" y="1614839"/>
                            <a:ext cx="177351" cy="1556"/>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67" name="Straight Connector 266"/>
                          <xdr:cNvCxnSpPr/>
                        </xdr:nvCxnSpPr>
                        <xdr:spPr>
                          <a:xfrm rot="5400000">
                            <a:off x="5096928" y="1356528"/>
                            <a:ext cx="177351" cy="3204"/>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306" name="Straight Connector 305"/>
                          <xdr:cNvCxnSpPr/>
                        </xdr:nvCxnSpPr>
                        <xdr:spPr>
                          <a:xfrm rot="5400000">
                            <a:off x="4712561" y="2109393"/>
                            <a:ext cx="244431" cy="436"/>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307" name="Straight Connector 306"/>
                          <xdr:cNvCxnSpPr/>
                        </xdr:nvCxnSpPr>
                        <xdr:spPr>
                          <a:xfrm rot="5400000">
                            <a:off x="4188266" y="2104540"/>
                            <a:ext cx="247870" cy="6707"/>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309" name="Straight Connector 308"/>
                          <xdr:cNvCxnSpPr/>
                        </xdr:nvCxnSpPr>
                        <xdr:spPr>
                          <a:xfrm rot="5400000" flipH="1" flipV="1">
                            <a:off x="3839298" y="1343474"/>
                            <a:ext cx="1239258" cy="496076"/>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311" name="Straight Connector 310"/>
                          <xdr:cNvCxnSpPr/>
                        </xdr:nvCxnSpPr>
                        <xdr:spPr>
                          <a:xfrm rot="5400000" flipH="1" flipV="1">
                            <a:off x="3770969" y="1325633"/>
                            <a:ext cx="1231742" cy="51652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313" name="Straight Connector 312"/>
                          <xdr:cNvCxnSpPr/>
                        </xdr:nvCxnSpPr>
                        <xdr:spPr>
                          <a:xfrm rot="10800000">
                            <a:off x="4119557" y="2204100"/>
                            <a:ext cx="89140" cy="156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315" name="Straight Connector 314"/>
                          <xdr:cNvCxnSpPr/>
                        </xdr:nvCxnSpPr>
                        <xdr:spPr>
                          <a:xfrm rot="10800000">
                            <a:off x="4641235" y="971880"/>
                            <a:ext cx="72570" cy="158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317" name="Straight Connector 316"/>
                          <xdr:cNvCxnSpPr/>
                        </xdr:nvCxnSpPr>
                        <xdr:spPr>
                          <a:xfrm rot="5400000">
                            <a:off x="4087378" y="2323260"/>
                            <a:ext cx="240695" cy="6336"/>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318" name="Straight Connector 317"/>
                          <xdr:cNvCxnSpPr/>
                        </xdr:nvCxnSpPr>
                        <xdr:spPr>
                          <a:xfrm rot="16200000" flipH="1">
                            <a:off x="4019712" y="2306232"/>
                            <a:ext cx="255299" cy="44747"/>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319" name="Straight Connector 318"/>
                          <xdr:cNvCxnSpPr/>
                        </xdr:nvCxnSpPr>
                        <xdr:spPr>
                          <a:xfrm rot="10800000">
                            <a:off x="4167924" y="2451941"/>
                            <a:ext cx="42788" cy="158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331" name="Straight Connector 330"/>
                          <xdr:cNvCxnSpPr/>
                        </xdr:nvCxnSpPr>
                        <xdr:spPr>
                          <a:xfrm rot="5400000" flipH="1" flipV="1">
                            <a:off x="4149018" y="2279531"/>
                            <a:ext cx="229108" cy="111701"/>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333" name="Straight Connector 332"/>
                          <xdr:cNvCxnSpPr/>
                        </xdr:nvCxnSpPr>
                        <xdr:spPr>
                          <a:xfrm rot="5400000">
                            <a:off x="4604487" y="1082084"/>
                            <a:ext cx="212686" cy="158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grpSp>
                  </xdr:grpSp>
                  <xdr:grpSp>
                    <xdr:nvGrpSpPr>
                      <xdr:cNvPr id="672" name="Group 671"/>
                      <xdr:cNvGrpSpPr/>
                    </xdr:nvGrpSpPr>
                    <xdr:grpSpPr>
                      <a:xfrm>
                        <a:off x="6422323" y="728633"/>
                        <a:ext cx="1115080" cy="1731786"/>
                        <a:chOff x="5441960" y="948337"/>
                        <a:chExt cx="1102977" cy="1491919"/>
                      </a:xfrm>
                    </xdr:grpSpPr>
                    <xdr:cxnSp macro="">
                      <xdr:nvCxnSpPr>
                        <xdr:cNvPr id="595" name="Straight Connector 594"/>
                        <xdr:cNvCxnSpPr/>
                      </xdr:nvCxnSpPr>
                      <xdr:spPr>
                        <a:xfrm>
                          <a:off x="5725682" y="1742436"/>
                          <a:ext cx="534571" cy="1593"/>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grpSp>
                      <xdr:nvGrpSpPr>
                        <xdr:cNvPr id="670" name="Group 669"/>
                        <xdr:cNvGrpSpPr/>
                      </xdr:nvGrpSpPr>
                      <xdr:grpSpPr>
                        <a:xfrm>
                          <a:off x="5441960" y="948337"/>
                          <a:ext cx="1102977" cy="1491919"/>
                          <a:chOff x="5428935" y="998327"/>
                          <a:chExt cx="1110721" cy="1471263"/>
                        </a:xfrm>
                      </xdr:grpSpPr>
                      <xdr:cxnSp macro="">
                        <xdr:nvCxnSpPr>
                          <xdr:cNvPr id="586" name="Straight Connector 585"/>
                          <xdr:cNvCxnSpPr/>
                        </xdr:nvCxnSpPr>
                        <xdr:spPr>
                          <a:xfrm rot="5400000" flipH="1" flipV="1">
                            <a:off x="5739754" y="1608864"/>
                            <a:ext cx="145543" cy="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587" name="Straight Connector 586"/>
                          <xdr:cNvCxnSpPr/>
                        </xdr:nvCxnSpPr>
                        <xdr:spPr>
                          <a:xfrm rot="5400000" flipH="1" flipV="1">
                            <a:off x="6259963" y="1609386"/>
                            <a:ext cx="143946" cy="4156"/>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589" name="Straight Connector 588"/>
                          <xdr:cNvCxnSpPr/>
                        </xdr:nvCxnSpPr>
                        <xdr:spPr>
                          <a:xfrm>
                            <a:off x="5706013" y="1912754"/>
                            <a:ext cx="539876" cy="1623"/>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590" name="Straight Connector 589"/>
                          <xdr:cNvCxnSpPr/>
                        </xdr:nvCxnSpPr>
                        <xdr:spPr>
                          <a:xfrm>
                            <a:off x="5620580" y="1997150"/>
                            <a:ext cx="541387" cy="1593"/>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591" name="Straight Connector 590"/>
                          <xdr:cNvCxnSpPr/>
                        </xdr:nvCxnSpPr>
                        <xdr:spPr>
                          <a:xfrm flipV="1">
                            <a:off x="6146453" y="1914356"/>
                            <a:ext cx="90322" cy="84422"/>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592" name="Straight Connector 591"/>
                          <xdr:cNvCxnSpPr/>
                        </xdr:nvCxnSpPr>
                        <xdr:spPr>
                          <a:xfrm rot="5400000" flipH="1" flipV="1">
                            <a:off x="5627550" y="1909076"/>
                            <a:ext cx="84423" cy="88584"/>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593" name="Straight Connector 592"/>
                          <xdr:cNvCxnSpPr/>
                        </xdr:nvCxnSpPr>
                        <xdr:spPr>
                          <a:xfrm rot="5400000" flipH="1" flipV="1">
                            <a:off x="6170310" y="1837593"/>
                            <a:ext cx="147381" cy="5442"/>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594" name="Straight Connector 593"/>
                          <xdr:cNvCxnSpPr/>
                        </xdr:nvCxnSpPr>
                        <xdr:spPr>
                          <a:xfrm rot="5400000" flipH="1" flipV="1">
                            <a:off x="5641613" y="1840079"/>
                            <a:ext cx="138627" cy="1599"/>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596" name="Straight Connector 595"/>
                          <xdr:cNvCxnSpPr/>
                        </xdr:nvCxnSpPr>
                        <xdr:spPr>
                          <a:xfrm rot="5400000" flipH="1" flipV="1">
                            <a:off x="6244698" y="1680917"/>
                            <a:ext cx="90339" cy="88584"/>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597" name="Straight Connector 596"/>
                          <xdr:cNvCxnSpPr/>
                        </xdr:nvCxnSpPr>
                        <xdr:spPr>
                          <a:xfrm rot="5400000" flipH="1" flipV="1">
                            <a:off x="5714986" y="1677703"/>
                            <a:ext cx="90339" cy="94677"/>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598" name="Straight Connector 597"/>
                          <xdr:cNvCxnSpPr/>
                        </xdr:nvCxnSpPr>
                        <xdr:spPr>
                          <a:xfrm>
                            <a:off x="5803723" y="1679470"/>
                            <a:ext cx="535294" cy="1593"/>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599" name="Straight Connector 598"/>
                          <xdr:cNvCxnSpPr/>
                        </xdr:nvCxnSpPr>
                        <xdr:spPr>
                          <a:xfrm>
                            <a:off x="5804704" y="1532430"/>
                            <a:ext cx="533180" cy="3021"/>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600" name="Straight Connector 599"/>
                          <xdr:cNvCxnSpPr/>
                        </xdr:nvCxnSpPr>
                        <xdr:spPr>
                          <a:xfrm rot="5400000" flipH="1" flipV="1">
                            <a:off x="6330763" y="1443675"/>
                            <a:ext cx="90339" cy="88584"/>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601" name="Straight Connector 600"/>
                          <xdr:cNvCxnSpPr/>
                        </xdr:nvCxnSpPr>
                        <xdr:spPr>
                          <a:xfrm rot="5400000" flipH="1" flipV="1">
                            <a:off x="5811355" y="1444098"/>
                            <a:ext cx="90339" cy="88584"/>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602" name="Straight Connector 601"/>
                          <xdr:cNvCxnSpPr/>
                        </xdr:nvCxnSpPr>
                        <xdr:spPr>
                          <a:xfrm>
                            <a:off x="5895371" y="1440390"/>
                            <a:ext cx="535294" cy="1593"/>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603" name="Straight Connector 602"/>
                          <xdr:cNvCxnSpPr/>
                        </xdr:nvCxnSpPr>
                        <xdr:spPr>
                          <a:xfrm rot="5400000" flipH="1" flipV="1">
                            <a:off x="5837777" y="1373643"/>
                            <a:ext cx="138627" cy="1563"/>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604" name="Straight Connector 603"/>
                          <xdr:cNvCxnSpPr/>
                        </xdr:nvCxnSpPr>
                        <xdr:spPr>
                          <a:xfrm rot="5400000" flipH="1" flipV="1">
                            <a:off x="6361664" y="1373642"/>
                            <a:ext cx="138627" cy="1563"/>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605" name="Straight Connector 604"/>
                          <xdr:cNvCxnSpPr/>
                        </xdr:nvCxnSpPr>
                        <xdr:spPr>
                          <a:xfrm flipV="1">
                            <a:off x="5907090" y="1308500"/>
                            <a:ext cx="533407" cy="367"/>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606" name="Straight Connector 605"/>
                          <xdr:cNvCxnSpPr/>
                        </xdr:nvCxnSpPr>
                        <xdr:spPr>
                          <a:xfrm flipV="1">
                            <a:off x="6426445" y="1213020"/>
                            <a:ext cx="106272" cy="98043"/>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607" name="Straight Connector 606"/>
                          <xdr:cNvCxnSpPr/>
                        </xdr:nvCxnSpPr>
                        <xdr:spPr>
                          <a:xfrm flipV="1">
                            <a:off x="5910144" y="1211192"/>
                            <a:ext cx="103718" cy="96776"/>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608" name="Straight Connector 607"/>
                          <xdr:cNvCxnSpPr/>
                        </xdr:nvCxnSpPr>
                        <xdr:spPr>
                          <a:xfrm>
                            <a:off x="5616169" y="2147234"/>
                            <a:ext cx="538936" cy="1593"/>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609" name="Straight Connector 608"/>
                          <xdr:cNvCxnSpPr/>
                        </xdr:nvCxnSpPr>
                        <xdr:spPr>
                          <a:xfrm rot="5400000">
                            <a:off x="6499395" y="1245237"/>
                            <a:ext cx="69053" cy="2411"/>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610" name="Straight Connector 609"/>
                          <xdr:cNvCxnSpPr/>
                        </xdr:nvCxnSpPr>
                        <xdr:spPr>
                          <a:xfrm rot="10800000">
                            <a:off x="6011441" y="1211784"/>
                            <a:ext cx="528215" cy="1212"/>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620" name="Straight Connector 619"/>
                          <xdr:cNvCxnSpPr/>
                        </xdr:nvCxnSpPr>
                        <xdr:spPr>
                          <a:xfrm rot="5400000">
                            <a:off x="6077261" y="2070384"/>
                            <a:ext cx="152004" cy="3223"/>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621" name="Straight Connector 620"/>
                          <xdr:cNvCxnSpPr/>
                        </xdr:nvCxnSpPr>
                        <xdr:spPr>
                          <a:xfrm rot="5400000">
                            <a:off x="5547636" y="2074315"/>
                            <a:ext cx="153390" cy="400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622" name="Straight Connector 621"/>
                          <xdr:cNvCxnSpPr/>
                        </xdr:nvCxnSpPr>
                        <xdr:spPr>
                          <a:xfrm rot="5400000" flipH="1" flipV="1">
                            <a:off x="5162378" y="1361209"/>
                            <a:ext cx="1222786" cy="50571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623" name="Straight Connector 622"/>
                          <xdr:cNvCxnSpPr/>
                        </xdr:nvCxnSpPr>
                        <xdr:spPr>
                          <a:xfrm rot="5400000" flipH="1" flipV="1">
                            <a:off x="5093610" y="1343143"/>
                            <a:ext cx="1215119" cy="52630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624" name="Straight Connector 623"/>
                          <xdr:cNvCxnSpPr/>
                        </xdr:nvCxnSpPr>
                        <xdr:spPr>
                          <a:xfrm rot="10800000">
                            <a:off x="5428935" y="2218276"/>
                            <a:ext cx="89776" cy="160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625" name="Straight Connector 624"/>
                          <xdr:cNvCxnSpPr/>
                        </xdr:nvCxnSpPr>
                        <xdr:spPr>
                          <a:xfrm rot="10800000">
                            <a:off x="5960430" y="1002670"/>
                            <a:ext cx="73088" cy="162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626" name="Straight Connector 625"/>
                          <xdr:cNvCxnSpPr/>
                        </xdr:nvCxnSpPr>
                        <xdr:spPr>
                          <a:xfrm rot="5400000">
                            <a:off x="5397921" y="2336918"/>
                            <a:ext cx="239624" cy="6381"/>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627" name="Straight Connector 626"/>
                          <xdr:cNvCxnSpPr/>
                        </xdr:nvCxnSpPr>
                        <xdr:spPr>
                          <a:xfrm rot="16200000" flipH="1">
                            <a:off x="5329678" y="2319797"/>
                            <a:ext cx="254521" cy="45066"/>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628" name="Straight Connector 627"/>
                          <xdr:cNvCxnSpPr/>
                        </xdr:nvCxnSpPr>
                        <xdr:spPr>
                          <a:xfrm rot="10800000">
                            <a:off x="5477646" y="2465189"/>
                            <a:ext cx="43093" cy="162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629" name="Straight Connector 628"/>
                          <xdr:cNvCxnSpPr/>
                        </xdr:nvCxnSpPr>
                        <xdr:spPr>
                          <a:xfrm rot="5400000" flipH="1" flipV="1">
                            <a:off x="5442513" y="2259204"/>
                            <a:ext cx="279159" cy="128729"/>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630" name="Straight Connector 629"/>
                          <xdr:cNvCxnSpPr/>
                        </xdr:nvCxnSpPr>
                        <xdr:spPr>
                          <a:xfrm rot="5400000">
                            <a:off x="5919601" y="1107738"/>
                            <a:ext cx="218821" cy="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636" name="Straight Connector 635"/>
                          <xdr:cNvCxnSpPr/>
                        </xdr:nvCxnSpPr>
                        <xdr:spPr>
                          <a:xfrm rot="16200000" flipH="1">
                            <a:off x="5606649" y="2163677"/>
                            <a:ext cx="77295" cy="45916"/>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639" name="Straight Connector 638"/>
                          <xdr:cNvCxnSpPr/>
                        </xdr:nvCxnSpPr>
                        <xdr:spPr>
                          <a:xfrm rot="16200000" flipH="1">
                            <a:off x="6121919" y="2167623"/>
                            <a:ext cx="96124" cy="34206"/>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640" name="Straight Connector 639"/>
                          <xdr:cNvCxnSpPr/>
                        </xdr:nvCxnSpPr>
                        <xdr:spPr>
                          <a:xfrm>
                            <a:off x="5667454" y="2223995"/>
                            <a:ext cx="516053" cy="502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642" name="Straight Connector 641"/>
                          <xdr:cNvCxnSpPr/>
                        </xdr:nvCxnSpPr>
                        <xdr:spPr>
                          <a:xfrm rot="5400000" flipH="1" flipV="1">
                            <a:off x="5882360" y="1578557"/>
                            <a:ext cx="950843" cy="350114"/>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grpSp>
                  </xdr:grpSp>
                  <xdr:grpSp>
                    <xdr:nvGrpSpPr>
                      <xdr:cNvPr id="350" name="Group 349"/>
                      <xdr:cNvGrpSpPr/>
                    </xdr:nvGrpSpPr>
                    <xdr:grpSpPr>
                      <a:xfrm>
                        <a:off x="3850715" y="736590"/>
                        <a:ext cx="1213225" cy="1720817"/>
                        <a:chOff x="7450839" y="624247"/>
                        <a:chExt cx="1231349" cy="1676122"/>
                      </a:xfrm>
                    </xdr:grpSpPr>
                    <xdr:grpSp>
                      <xdr:nvGrpSpPr>
                        <xdr:cNvPr id="320" name="Group 319"/>
                        <xdr:cNvGrpSpPr/>
                      </xdr:nvGrpSpPr>
                      <xdr:grpSpPr>
                        <a:xfrm>
                          <a:off x="7450839" y="624247"/>
                          <a:ext cx="1231349" cy="1674815"/>
                          <a:chOff x="7461571" y="622595"/>
                          <a:chExt cx="1230634" cy="1700779"/>
                        </a:xfrm>
                      </xdr:grpSpPr>
                      <xdr:cxnSp macro="">
                        <xdr:nvCxnSpPr>
                          <xdr:cNvPr id="199" name="Straight Connector 198"/>
                          <xdr:cNvCxnSpPr/>
                        </xdr:nvCxnSpPr>
                        <xdr:spPr>
                          <a:xfrm>
                            <a:off x="7750672" y="1516185"/>
                            <a:ext cx="532452" cy="1812"/>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03" name="Straight Connector 202"/>
                          <xdr:cNvCxnSpPr/>
                        </xdr:nvCxnSpPr>
                        <xdr:spPr>
                          <a:xfrm rot="5400000" flipH="1" flipV="1">
                            <a:off x="8288104" y="1331659"/>
                            <a:ext cx="166010" cy="4187"/>
                          </a:xfrm>
                          <a:prstGeom prst="line">
                            <a:avLst/>
                          </a:prstGeom>
                          <a:ln>
                            <a:solidFill>
                              <a:srgbClr val="C00000"/>
                            </a:solidFill>
                            <a:prstDash val="lgDash"/>
                          </a:ln>
                        </xdr:spPr>
                        <xdr:style>
                          <a:lnRef idx="1">
                            <a:schemeClr val="accent5"/>
                          </a:lnRef>
                          <a:fillRef idx="0">
                            <a:schemeClr val="accent5"/>
                          </a:fillRef>
                          <a:effectRef idx="0">
                            <a:schemeClr val="accent5"/>
                          </a:effectRef>
                          <a:fontRef idx="minor">
                            <a:schemeClr val="tx1"/>
                          </a:fontRef>
                        </xdr:style>
                      </xdr:cxnSp>
                      <xdr:cxnSp macro="">
                        <xdr:nvCxnSpPr>
                          <xdr:cNvPr id="214" name="Straight Connector 213"/>
                          <xdr:cNvCxnSpPr/>
                        </xdr:nvCxnSpPr>
                        <xdr:spPr>
                          <a:xfrm flipV="1">
                            <a:off x="8184250" y="1683071"/>
                            <a:ext cx="90992" cy="97362"/>
                          </a:xfrm>
                          <a:prstGeom prst="line">
                            <a:avLst/>
                          </a:prstGeom>
                          <a:ln>
                            <a:solidFill>
                              <a:schemeClr val="tx1">
                                <a:lumMod val="85000"/>
                                <a:lumOff val="15000"/>
                              </a:schemeClr>
                            </a:solidFill>
                            <a:prstDash val="lgDash"/>
                          </a:ln>
                        </xdr:spPr>
                        <xdr:style>
                          <a:lnRef idx="1">
                            <a:schemeClr val="accent5"/>
                          </a:lnRef>
                          <a:fillRef idx="0">
                            <a:schemeClr val="accent5"/>
                          </a:fillRef>
                          <a:effectRef idx="0">
                            <a:schemeClr val="accent5"/>
                          </a:effectRef>
                          <a:fontRef idx="minor">
                            <a:schemeClr val="tx1"/>
                          </a:fontRef>
                        </xdr:style>
                      </xdr:cxnSp>
                      <xdr:cxnSp macro="">
                        <xdr:nvCxnSpPr>
                          <xdr:cNvPr id="215" name="Straight Connector 214"/>
                          <xdr:cNvCxnSpPr/>
                        </xdr:nvCxnSpPr>
                        <xdr:spPr>
                          <a:xfrm rot="5400000" flipH="1" flipV="1">
                            <a:off x="7661425" y="1683442"/>
                            <a:ext cx="97363" cy="89241"/>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16" name="Straight Connector 215"/>
                          <xdr:cNvCxnSpPr/>
                        </xdr:nvCxnSpPr>
                        <xdr:spPr>
                          <a:xfrm rot="5400000" flipH="1" flipV="1">
                            <a:off x="8197535" y="1594939"/>
                            <a:ext cx="169972" cy="5482"/>
                          </a:xfrm>
                          <a:prstGeom prst="line">
                            <a:avLst/>
                          </a:prstGeom>
                          <a:ln>
                            <a:solidFill>
                              <a:srgbClr val="C00000"/>
                            </a:solidFill>
                            <a:prstDash val="lgDash"/>
                          </a:ln>
                        </xdr:spPr>
                        <xdr:style>
                          <a:lnRef idx="1">
                            <a:schemeClr val="accent5"/>
                          </a:lnRef>
                          <a:fillRef idx="0">
                            <a:schemeClr val="accent5"/>
                          </a:fillRef>
                          <a:effectRef idx="0">
                            <a:schemeClr val="accent5"/>
                          </a:effectRef>
                          <a:fontRef idx="minor">
                            <a:schemeClr val="tx1"/>
                          </a:fontRef>
                        </xdr:style>
                      </xdr:cxnSp>
                      <xdr:cxnSp macro="">
                        <xdr:nvCxnSpPr>
                          <xdr:cNvPr id="217" name="Straight Connector 216"/>
                          <xdr:cNvCxnSpPr/>
                        </xdr:nvCxnSpPr>
                        <xdr:spPr>
                          <a:xfrm rot="5400000" flipH="1" flipV="1">
                            <a:off x="7671640" y="1597526"/>
                            <a:ext cx="159876" cy="1611"/>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18" name="Straight Connector 217"/>
                          <xdr:cNvCxnSpPr/>
                        </xdr:nvCxnSpPr>
                        <xdr:spPr>
                          <a:xfrm rot="5400000" flipH="1" flipV="1">
                            <a:off x="8276635" y="1420311"/>
                            <a:ext cx="104186" cy="89241"/>
                          </a:xfrm>
                          <a:prstGeom prst="line">
                            <a:avLst/>
                          </a:prstGeom>
                          <a:ln>
                            <a:solidFill>
                              <a:srgbClr val="C00000"/>
                            </a:solidFill>
                            <a:prstDash val="lgDash"/>
                          </a:ln>
                        </xdr:spPr>
                        <xdr:style>
                          <a:lnRef idx="1">
                            <a:schemeClr val="accent5"/>
                          </a:lnRef>
                          <a:fillRef idx="0">
                            <a:schemeClr val="accent5"/>
                          </a:fillRef>
                          <a:effectRef idx="0">
                            <a:schemeClr val="accent5"/>
                          </a:effectRef>
                          <a:fontRef idx="minor">
                            <a:schemeClr val="tx1"/>
                          </a:fontRef>
                        </xdr:style>
                      </xdr:cxnSp>
                      <xdr:cxnSp macro="">
                        <xdr:nvCxnSpPr>
                          <xdr:cNvPr id="222" name="Straight Connector 221"/>
                          <xdr:cNvCxnSpPr/>
                        </xdr:nvCxnSpPr>
                        <xdr:spPr>
                          <a:xfrm rot="5400000" flipH="1" flipV="1">
                            <a:off x="8363339" y="1146705"/>
                            <a:ext cx="104186" cy="89241"/>
                          </a:xfrm>
                          <a:prstGeom prst="line">
                            <a:avLst/>
                          </a:prstGeom>
                          <a:ln>
                            <a:solidFill>
                              <a:srgbClr val="C00000"/>
                            </a:solidFill>
                            <a:prstDash val="lgDash"/>
                          </a:ln>
                        </xdr:spPr>
                        <xdr:style>
                          <a:lnRef idx="1">
                            <a:schemeClr val="accent5"/>
                          </a:lnRef>
                          <a:fillRef idx="0">
                            <a:schemeClr val="accent5"/>
                          </a:fillRef>
                          <a:effectRef idx="0">
                            <a:schemeClr val="accent5"/>
                          </a:effectRef>
                          <a:fontRef idx="minor">
                            <a:schemeClr val="tx1"/>
                          </a:fontRef>
                        </xdr:style>
                      </xdr:cxnSp>
                      <xdr:cxnSp macro="">
                        <xdr:nvCxnSpPr>
                          <xdr:cNvPr id="225" name="Straight Connector 224"/>
                          <xdr:cNvCxnSpPr/>
                        </xdr:nvCxnSpPr>
                        <xdr:spPr>
                          <a:xfrm rot="5400000" flipH="1" flipV="1">
                            <a:off x="7866395" y="1059592"/>
                            <a:ext cx="159876" cy="1575"/>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26" name="Straight Connector 225"/>
                          <xdr:cNvCxnSpPr/>
                        </xdr:nvCxnSpPr>
                        <xdr:spPr>
                          <a:xfrm rot="5400000" flipH="1" flipV="1">
                            <a:off x="8390948" y="1059590"/>
                            <a:ext cx="159876" cy="1575"/>
                          </a:xfrm>
                          <a:prstGeom prst="line">
                            <a:avLst/>
                          </a:prstGeom>
                          <a:ln>
                            <a:solidFill>
                              <a:srgbClr val="C00000"/>
                            </a:solidFill>
                            <a:prstDash val="lgDash"/>
                          </a:ln>
                        </xdr:spPr>
                        <xdr:style>
                          <a:lnRef idx="1">
                            <a:schemeClr val="accent5"/>
                          </a:lnRef>
                          <a:fillRef idx="0">
                            <a:schemeClr val="accent5"/>
                          </a:fillRef>
                          <a:effectRef idx="0">
                            <a:schemeClr val="accent5"/>
                          </a:effectRef>
                          <a:fontRef idx="minor">
                            <a:schemeClr val="tx1"/>
                          </a:fontRef>
                        </xdr:style>
                      </xdr:cxnSp>
                      <xdr:cxnSp macro="">
                        <xdr:nvCxnSpPr>
                          <xdr:cNvPr id="228" name="Straight Connector 227"/>
                          <xdr:cNvCxnSpPr/>
                        </xdr:nvCxnSpPr>
                        <xdr:spPr>
                          <a:xfrm flipV="1">
                            <a:off x="8466320" y="874234"/>
                            <a:ext cx="107061" cy="113071"/>
                          </a:xfrm>
                          <a:prstGeom prst="line">
                            <a:avLst/>
                          </a:prstGeom>
                          <a:ln>
                            <a:solidFill>
                              <a:srgbClr val="C00000"/>
                            </a:solidFill>
                            <a:prstDash val="lgDash"/>
                          </a:ln>
                        </xdr:spPr>
                        <xdr:style>
                          <a:lnRef idx="1">
                            <a:schemeClr val="accent5"/>
                          </a:lnRef>
                          <a:fillRef idx="0">
                            <a:schemeClr val="accent5"/>
                          </a:fillRef>
                          <a:effectRef idx="0">
                            <a:schemeClr val="accent5"/>
                          </a:effectRef>
                          <a:fontRef idx="minor">
                            <a:schemeClr val="tx1"/>
                          </a:fontRef>
                        </xdr:style>
                      </xdr:cxnSp>
                      <xdr:cxnSp macro="">
                        <xdr:nvCxnSpPr>
                          <xdr:cNvPr id="231" name="Straight Connector 230"/>
                          <xdr:cNvCxnSpPr/>
                        </xdr:nvCxnSpPr>
                        <xdr:spPr>
                          <a:xfrm rot="5400000">
                            <a:off x="8534775" y="911565"/>
                            <a:ext cx="79637" cy="2429"/>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33" name="Straight Connector 232"/>
                          <xdr:cNvCxnSpPr/>
                        </xdr:nvCxnSpPr>
                        <xdr:spPr>
                          <a:xfrm rot="5400000">
                            <a:off x="8103458" y="1863251"/>
                            <a:ext cx="175303" cy="3247"/>
                          </a:xfrm>
                          <a:prstGeom prst="line">
                            <a:avLst/>
                          </a:prstGeom>
                          <a:ln>
                            <a:solidFill>
                              <a:srgbClr val="C00000"/>
                            </a:solidFill>
                            <a:prstDash val="lgDash"/>
                          </a:ln>
                        </xdr:spPr>
                        <xdr:style>
                          <a:lnRef idx="1">
                            <a:schemeClr val="accent5"/>
                          </a:lnRef>
                          <a:fillRef idx="0">
                            <a:schemeClr val="accent5"/>
                          </a:fillRef>
                          <a:effectRef idx="0">
                            <a:schemeClr val="accent5"/>
                          </a:effectRef>
                          <a:fontRef idx="minor">
                            <a:schemeClr val="tx1"/>
                          </a:fontRef>
                        </xdr:style>
                      </xdr:cxnSp>
                      <xdr:cxnSp macro="">
                        <xdr:nvCxnSpPr>
                          <xdr:cNvPr id="239" name="Straight Connector 238"/>
                          <xdr:cNvCxnSpPr/>
                        </xdr:nvCxnSpPr>
                        <xdr:spPr>
                          <a:xfrm rot="5400000">
                            <a:off x="7418773" y="2170869"/>
                            <a:ext cx="276354" cy="642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45" name="Straight Connector 244"/>
                          <xdr:cNvCxnSpPr/>
                        </xdr:nvCxnSpPr>
                        <xdr:spPr>
                          <a:xfrm rot="16200000" flipH="1">
                            <a:off x="8152523" y="1977654"/>
                            <a:ext cx="110858" cy="3446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47" name="Straight Connector 246"/>
                          <xdr:cNvCxnSpPr/>
                        </xdr:nvCxnSpPr>
                        <xdr:spPr>
                          <a:xfrm rot="5400000" flipH="1" flipV="1">
                            <a:off x="7848852" y="1321334"/>
                            <a:ext cx="1096589" cy="352713"/>
                          </a:xfrm>
                          <a:prstGeom prst="line">
                            <a:avLst/>
                          </a:prstGeom>
                          <a:ln>
                            <a:solidFill>
                              <a:srgbClr val="C00000"/>
                            </a:solidFill>
                            <a:prstDash val="lgDash"/>
                          </a:ln>
                        </xdr:spPr>
                        <xdr:style>
                          <a:lnRef idx="1">
                            <a:schemeClr val="accent5"/>
                          </a:lnRef>
                          <a:fillRef idx="0">
                            <a:schemeClr val="accent5"/>
                          </a:fillRef>
                          <a:effectRef idx="0">
                            <a:schemeClr val="accent5"/>
                          </a:effectRef>
                          <a:fontRef idx="minor">
                            <a:schemeClr val="tx1"/>
                          </a:fontRef>
                        </xdr:style>
                      </xdr:cxnSp>
                      <xdr:grpSp>
                        <xdr:nvGrpSpPr>
                          <xdr:cNvPr id="316" name="Group 315"/>
                          <xdr:cNvGrpSpPr/>
                        </xdr:nvGrpSpPr>
                        <xdr:grpSpPr>
                          <a:xfrm>
                            <a:off x="7461571" y="622595"/>
                            <a:ext cx="1230634" cy="1700779"/>
                            <a:chOff x="7447936" y="624018"/>
                            <a:chExt cx="1234244" cy="1684025"/>
                          </a:xfrm>
                        </xdr:grpSpPr>
                        <xdr:cxnSp macro="">
                          <xdr:nvCxnSpPr>
                            <xdr:cNvPr id="202" name="Straight Connector 201"/>
                            <xdr:cNvCxnSpPr/>
                          </xdr:nvCxnSpPr>
                          <xdr:spPr>
                            <a:xfrm rot="5400000" flipH="1" flipV="1">
                              <a:off x="7757445" y="1324803"/>
                              <a:ext cx="165758" cy="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10" name="Straight Connector 209"/>
                            <xdr:cNvCxnSpPr/>
                          </xdr:nvCxnSpPr>
                          <xdr:spPr>
                            <a:xfrm>
                              <a:off x="7733021" y="1672134"/>
                              <a:ext cx="543360" cy="1872"/>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12" name="Straight Connector 211"/>
                            <xdr:cNvCxnSpPr/>
                          </xdr:nvCxnSpPr>
                          <xdr:spPr>
                            <a:xfrm>
                              <a:off x="7646953" y="1767373"/>
                              <a:ext cx="544882" cy="1837"/>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19" name="Straight Connector 218"/>
                            <xdr:cNvCxnSpPr/>
                          </xdr:nvCxnSpPr>
                          <xdr:spPr>
                            <a:xfrm rot="5400000" flipH="1" flipV="1">
                              <a:off x="7735472" y="1410052"/>
                              <a:ext cx="104186" cy="9538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20" name="Straight Connector 219"/>
                            <xdr:cNvCxnSpPr/>
                          </xdr:nvCxnSpPr>
                          <xdr:spPr>
                            <a:xfrm>
                              <a:off x="7831456" y="1405185"/>
                              <a:ext cx="538744" cy="1837"/>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21" name="Straight Connector 220"/>
                            <xdr:cNvCxnSpPr/>
                          </xdr:nvCxnSpPr>
                          <xdr:spPr>
                            <a:xfrm>
                              <a:off x="7832444" y="1237701"/>
                              <a:ext cx="536614" cy="3484"/>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23" name="Straight Connector 222"/>
                            <xdr:cNvCxnSpPr/>
                          </xdr:nvCxnSpPr>
                          <xdr:spPr>
                            <a:xfrm rot="5400000" flipH="1" flipV="1">
                              <a:off x="7834125" y="1142813"/>
                              <a:ext cx="102093" cy="90287"/>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24" name="Straight Connector 223"/>
                            <xdr:cNvCxnSpPr/>
                          </xdr:nvCxnSpPr>
                          <xdr:spPr>
                            <a:xfrm>
                              <a:off x="7924830" y="1133646"/>
                              <a:ext cx="537698" cy="1837"/>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27" name="Straight Connector 226"/>
                            <xdr:cNvCxnSpPr/>
                          </xdr:nvCxnSpPr>
                          <xdr:spPr>
                            <a:xfrm flipV="1">
                              <a:off x="7936636" y="983633"/>
                              <a:ext cx="535797" cy="423"/>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29" name="Straight Connector 228"/>
                            <xdr:cNvCxnSpPr/>
                          </xdr:nvCxnSpPr>
                          <xdr:spPr>
                            <a:xfrm flipV="1">
                              <a:off x="7939713" y="871410"/>
                              <a:ext cx="104488" cy="11161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30" name="Straight Connector 229"/>
                            <xdr:cNvCxnSpPr/>
                          </xdr:nvCxnSpPr>
                          <xdr:spPr>
                            <a:xfrm>
                              <a:off x="7642510" y="1940462"/>
                              <a:ext cx="542413" cy="1837"/>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32" name="Straight Connector 231"/>
                            <xdr:cNvCxnSpPr/>
                          </xdr:nvCxnSpPr>
                          <xdr:spPr>
                            <a:xfrm rot="10800000">
                              <a:off x="8041761" y="872093"/>
                              <a:ext cx="531090" cy="139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34" name="Straight Connector 233"/>
                            <xdr:cNvCxnSpPr/>
                          </xdr:nvCxnSpPr>
                          <xdr:spPr>
                            <a:xfrm rot="5400000">
                              <a:off x="7561627" y="1857312"/>
                              <a:ext cx="178210" cy="403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grpSp>
                          <xdr:nvGrpSpPr>
                            <xdr:cNvPr id="254" name="Group 253"/>
                            <xdr:cNvGrpSpPr/>
                          </xdr:nvGrpSpPr>
                          <xdr:grpSpPr>
                            <a:xfrm>
                              <a:off x="7447936" y="624018"/>
                              <a:ext cx="616063" cy="1684025"/>
                              <a:chOff x="7423983" y="621801"/>
                              <a:chExt cx="637469" cy="1688190"/>
                            </a:xfrm>
                          </xdr:grpSpPr>
                          <xdr:cxnSp macro="">
                            <xdr:nvCxnSpPr>
                              <xdr:cNvPr id="235" name="Straight Connector 234"/>
                              <xdr:cNvCxnSpPr/>
                            </xdr:nvCxnSpPr>
                            <xdr:spPr>
                              <a:xfrm rot="5400000" flipH="1" flipV="1">
                                <a:off x="7088174" y="1062071"/>
                                <a:ext cx="1405569" cy="525029"/>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36" name="Straight Connector 235"/>
                              <xdr:cNvCxnSpPr/>
                            </xdr:nvCxnSpPr>
                            <xdr:spPr>
                              <a:xfrm rot="5400000" flipH="1" flipV="1">
                                <a:off x="7008915" y="1046080"/>
                                <a:ext cx="1387572" cy="54797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37" name="Straight Connector 236"/>
                              <xdr:cNvCxnSpPr/>
                            </xdr:nvCxnSpPr>
                            <xdr:spPr>
                              <a:xfrm rot="10800000">
                                <a:off x="7423983" y="2018358"/>
                                <a:ext cx="104467" cy="4505"/>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38" name="Straight Connector 237"/>
                              <xdr:cNvCxnSpPr/>
                            </xdr:nvCxnSpPr>
                            <xdr:spPr>
                              <a:xfrm rot="10800000">
                                <a:off x="7972784" y="626308"/>
                                <a:ext cx="73362" cy="186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40" name="Straight Connector 239"/>
                              <xdr:cNvCxnSpPr/>
                            </xdr:nvCxnSpPr>
                            <xdr:spPr>
                              <a:xfrm rot="16200000" flipH="1">
                                <a:off x="7304461" y="2133602"/>
                                <a:ext cx="300645" cy="52134"/>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41" name="Straight Connector 240"/>
                              <xdr:cNvCxnSpPr/>
                            </xdr:nvCxnSpPr>
                            <xdr:spPr>
                              <a:xfrm rot="10800000">
                                <a:off x="7479032" y="2304913"/>
                                <a:ext cx="43255" cy="186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42" name="Straight Connector 241"/>
                              <xdr:cNvCxnSpPr/>
                            </xdr:nvCxnSpPr>
                            <xdr:spPr>
                              <a:xfrm rot="5400000" flipH="1" flipV="1">
                                <a:off x="7423683" y="2077767"/>
                                <a:ext cx="320376" cy="129212"/>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43" name="Straight Connector 242"/>
                              <xdr:cNvCxnSpPr/>
                            </xdr:nvCxnSpPr>
                            <xdr:spPr>
                              <a:xfrm rot="5400000">
                                <a:off x="7936845" y="751986"/>
                                <a:ext cx="249214" cy="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grpSp>
                        <xdr:cxnSp macro="">
                          <xdr:nvCxnSpPr>
                            <xdr:cNvPr id="244" name="Straight Connector 243"/>
                            <xdr:cNvCxnSpPr/>
                          </xdr:nvCxnSpPr>
                          <xdr:spPr>
                            <a:xfrm rot="16200000" flipH="1">
                              <a:off x="7628329" y="1961727"/>
                              <a:ext cx="87049" cy="46257"/>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46" name="Straight Connector 245"/>
                            <xdr:cNvCxnSpPr/>
                          </xdr:nvCxnSpPr>
                          <xdr:spPr>
                            <a:xfrm>
                              <a:off x="7694175" y="2026895"/>
                              <a:ext cx="519360" cy="5789"/>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grpSp>
                          <xdr:nvGrpSpPr>
                            <xdr:cNvPr id="256" name="Group 255"/>
                            <xdr:cNvGrpSpPr/>
                          </xdr:nvGrpSpPr>
                          <xdr:grpSpPr>
                            <a:xfrm>
                              <a:off x="8076030" y="628033"/>
                              <a:ext cx="606150" cy="1677649"/>
                              <a:chOff x="7466396" y="622342"/>
                              <a:chExt cx="604175" cy="1681796"/>
                            </a:xfrm>
                          </xdr:grpSpPr>
                          <xdr:cxnSp macro="">
                            <xdr:nvCxnSpPr>
                              <xdr:cNvPr id="258" name="Straight Connector 257"/>
                              <xdr:cNvCxnSpPr/>
                            </xdr:nvCxnSpPr>
                            <xdr:spPr>
                              <a:xfrm rot="5400000" flipH="1" flipV="1">
                                <a:off x="7104890" y="1075848"/>
                                <a:ext cx="1399194" cy="509125"/>
                              </a:xfrm>
                              <a:prstGeom prst="line">
                                <a:avLst/>
                              </a:prstGeom>
                              <a:ln w="12700">
                                <a:solidFill>
                                  <a:schemeClr val="tx1"/>
                                </a:solidFill>
                              </a:ln>
                            </xdr:spPr>
                            <xdr:style>
                              <a:lnRef idx="1">
                                <a:schemeClr val="accent5"/>
                              </a:lnRef>
                              <a:fillRef idx="0">
                                <a:schemeClr val="accent5"/>
                              </a:fillRef>
                              <a:effectRef idx="0">
                                <a:schemeClr val="accent5"/>
                              </a:effectRef>
                              <a:fontRef idx="minor">
                                <a:schemeClr val="tx1"/>
                              </a:fontRef>
                            </xdr:style>
                          </xdr:cxnSp>
                          <xdr:cxnSp macro="">
                            <xdr:nvCxnSpPr>
                              <xdr:cNvPr id="288" name="Straight Connector 287"/>
                              <xdr:cNvCxnSpPr/>
                            </xdr:nvCxnSpPr>
                            <xdr:spPr>
                              <a:xfrm rot="5400000" flipH="1" flipV="1">
                                <a:off x="7028007" y="1060748"/>
                                <a:ext cx="1394293" cy="517481"/>
                              </a:xfrm>
                              <a:prstGeom prst="line">
                                <a:avLst/>
                              </a:prstGeom>
                              <a:ln w="12700">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89" name="Straight Connector 288"/>
                              <xdr:cNvCxnSpPr/>
                            </xdr:nvCxnSpPr>
                            <xdr:spPr>
                              <a:xfrm rot="10800000">
                                <a:off x="7466396" y="2021729"/>
                                <a:ext cx="90442" cy="1845"/>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90" name="Straight Connector 289"/>
                              <xdr:cNvCxnSpPr/>
                            </xdr:nvCxnSpPr>
                            <xdr:spPr>
                              <a:xfrm rot="10800000">
                                <a:off x="7983888" y="626848"/>
                                <a:ext cx="86683" cy="1327"/>
                              </a:xfrm>
                              <a:prstGeom prst="line">
                                <a:avLst/>
                              </a:prstGeom>
                              <a:ln w="12700">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91" name="Straight Connector 290"/>
                              <xdr:cNvCxnSpPr/>
                            </xdr:nvCxnSpPr>
                            <xdr:spPr>
                              <a:xfrm rot="16200000" flipH="1">
                                <a:off x="7338317" y="2142065"/>
                                <a:ext cx="290726" cy="32694"/>
                              </a:xfrm>
                              <a:prstGeom prst="line">
                                <a:avLst/>
                              </a:prstGeom>
                              <a:ln w="12700">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92" name="Straight Connector 291"/>
                              <xdr:cNvCxnSpPr/>
                            </xdr:nvCxnSpPr>
                            <xdr:spPr>
                              <a:xfrm rot="10800000">
                                <a:off x="7505392" y="2303776"/>
                                <a:ext cx="48574" cy="362"/>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93" name="Straight Connector 292"/>
                              <xdr:cNvCxnSpPr/>
                            </xdr:nvCxnSpPr>
                            <xdr:spPr>
                              <a:xfrm rot="5400000" flipH="1" flipV="1">
                                <a:off x="7075470" y="1321680"/>
                                <a:ext cx="1464634" cy="498587"/>
                              </a:xfrm>
                              <a:prstGeom prst="line">
                                <a:avLst/>
                              </a:prstGeom>
                              <a:ln w="6350">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294" name="Straight Connector 293"/>
                              <xdr:cNvCxnSpPr/>
                            </xdr:nvCxnSpPr>
                            <xdr:spPr>
                              <a:xfrm rot="5400000">
                                <a:off x="7949121" y="735335"/>
                                <a:ext cx="220288" cy="4376"/>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grpSp>
                      </xdr:grpSp>
                    </xdr:grpSp>
                    <xdr:cxnSp macro="">
                      <xdr:nvCxnSpPr>
                        <xdr:cNvPr id="322" name="Straight Connector 321"/>
                        <xdr:cNvCxnSpPr/>
                      </xdr:nvCxnSpPr>
                      <xdr:spPr>
                        <a:xfrm rot="16200000" flipH="1">
                          <a:off x="8026400" y="2160667"/>
                          <a:ext cx="279404" cy="0"/>
                        </a:xfrm>
                        <a:prstGeom prst="line">
                          <a:avLst/>
                        </a:prstGeom>
                        <a:ln w="12700">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grpSp>
                  <xdr:grpSp>
                    <xdr:nvGrpSpPr>
                      <xdr:cNvPr id="519" name="Group 518"/>
                      <xdr:cNvGrpSpPr/>
                    </xdr:nvGrpSpPr>
                    <xdr:grpSpPr>
                      <a:xfrm>
                        <a:off x="5180568" y="715488"/>
                        <a:ext cx="1205156" cy="1739433"/>
                        <a:chOff x="8709413" y="621457"/>
                        <a:chExt cx="1212118" cy="1704450"/>
                      </a:xfrm>
                    </xdr:grpSpPr>
                    <xdr:cxnSp macro="">
                      <xdr:nvCxnSpPr>
                        <xdr:cNvPr id="352" name="Straight Connector 351"/>
                        <xdr:cNvCxnSpPr/>
                      </xdr:nvCxnSpPr>
                      <xdr:spPr>
                        <a:xfrm rot="5400000" flipH="1" flipV="1">
                          <a:off x="9001354" y="1326334"/>
                          <a:ext cx="169236" cy="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353" name="Straight Connector 352"/>
                        <xdr:cNvCxnSpPr/>
                      </xdr:nvCxnSpPr>
                      <xdr:spPr>
                        <a:xfrm rot="5400000" flipH="1" flipV="1">
                          <a:off x="9520362" y="1327166"/>
                          <a:ext cx="167453" cy="4146"/>
                        </a:xfrm>
                        <a:prstGeom prst="line">
                          <a:avLst/>
                        </a:prstGeom>
                        <a:ln>
                          <a:solidFill>
                            <a:srgbClr val="C00000"/>
                          </a:solidFill>
                          <a:prstDash val="lgDash"/>
                        </a:ln>
                      </xdr:spPr>
                      <xdr:style>
                        <a:lnRef idx="1">
                          <a:schemeClr val="accent5"/>
                        </a:lnRef>
                        <a:fillRef idx="0">
                          <a:schemeClr val="accent5"/>
                        </a:fillRef>
                        <a:effectRef idx="0">
                          <a:schemeClr val="accent5"/>
                        </a:effectRef>
                        <a:fontRef idx="minor">
                          <a:schemeClr val="tx1"/>
                        </a:fontRef>
                      </xdr:style>
                    </xdr:cxnSp>
                    <xdr:grpSp>
                      <xdr:nvGrpSpPr>
                        <xdr:cNvPr id="354" name="Group 582"/>
                        <xdr:cNvGrpSpPr/>
                      </xdr:nvGrpSpPr>
                      <xdr:grpSpPr>
                        <a:xfrm>
                          <a:off x="8709413" y="621457"/>
                          <a:ext cx="1105577" cy="1696377"/>
                          <a:chOff x="4119557" y="968026"/>
                          <a:chExt cx="1100485" cy="1488229"/>
                        </a:xfrm>
                      </xdr:grpSpPr>
                      <xdr:cxnSp macro="">
                        <xdr:nvCxnSpPr>
                          <xdr:cNvPr id="355" name="Straight Connector 354"/>
                          <xdr:cNvCxnSpPr/>
                        </xdr:nvCxnSpPr>
                        <xdr:spPr>
                          <a:xfrm>
                            <a:off x="4394675" y="1893007"/>
                            <a:ext cx="530000" cy="1591"/>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356" name="Straight Connector 355"/>
                          <xdr:cNvCxnSpPr/>
                        </xdr:nvCxnSpPr>
                        <xdr:spPr>
                          <a:xfrm>
                            <a:off x="4309846" y="1981537"/>
                            <a:ext cx="531500" cy="1562"/>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357" name="Straight Connector 356"/>
                          <xdr:cNvCxnSpPr/>
                        </xdr:nvCxnSpPr>
                        <xdr:spPr>
                          <a:xfrm flipV="1">
                            <a:off x="4829322" y="1897911"/>
                            <a:ext cx="89683" cy="88556"/>
                          </a:xfrm>
                          <a:prstGeom prst="line">
                            <a:avLst/>
                          </a:prstGeom>
                          <a:ln>
                            <a:solidFill>
                              <a:srgbClr val="C00000"/>
                            </a:solidFill>
                            <a:prstDash val="lgDash"/>
                          </a:ln>
                        </xdr:spPr>
                        <xdr:style>
                          <a:lnRef idx="1">
                            <a:schemeClr val="accent5"/>
                          </a:lnRef>
                          <a:fillRef idx="0">
                            <a:schemeClr val="accent5"/>
                          </a:fillRef>
                          <a:effectRef idx="0">
                            <a:schemeClr val="accent5"/>
                          </a:effectRef>
                          <a:fontRef idx="minor">
                            <a:schemeClr val="tx1"/>
                          </a:fontRef>
                        </xdr:style>
                      </xdr:cxnSp>
                      <xdr:cxnSp macro="">
                        <xdr:nvCxnSpPr>
                          <xdr:cNvPr id="358" name="Straight Connector 357"/>
                          <xdr:cNvCxnSpPr/>
                        </xdr:nvCxnSpPr>
                        <xdr:spPr>
                          <a:xfrm rot="5400000" flipH="1" flipV="1">
                            <a:off x="4314401" y="1891741"/>
                            <a:ext cx="88557" cy="87956"/>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359" name="Straight Connector 358"/>
                          <xdr:cNvCxnSpPr/>
                        </xdr:nvCxnSpPr>
                        <xdr:spPr>
                          <a:xfrm rot="5400000" flipH="1" flipV="1">
                            <a:off x="4850047" y="1822591"/>
                            <a:ext cx="141691" cy="1588"/>
                          </a:xfrm>
                          <a:prstGeom prst="line">
                            <a:avLst/>
                          </a:prstGeom>
                          <a:ln>
                            <a:solidFill>
                              <a:srgbClr val="C00000"/>
                            </a:solidFill>
                            <a:prstDash val="lgDash"/>
                          </a:ln>
                        </xdr:spPr>
                        <xdr:style>
                          <a:lnRef idx="1">
                            <a:schemeClr val="accent5"/>
                          </a:lnRef>
                          <a:fillRef idx="0">
                            <a:schemeClr val="accent5"/>
                          </a:fillRef>
                          <a:effectRef idx="0">
                            <a:schemeClr val="accent5"/>
                          </a:effectRef>
                          <a:fontRef idx="minor">
                            <a:schemeClr val="tx1"/>
                          </a:fontRef>
                        </xdr:style>
                      </xdr:cxnSp>
                      <xdr:cxnSp macro="">
                        <xdr:nvCxnSpPr>
                          <xdr:cNvPr id="360" name="Straight Connector 359"/>
                          <xdr:cNvCxnSpPr/>
                        </xdr:nvCxnSpPr>
                        <xdr:spPr>
                          <a:xfrm rot="5400000" flipH="1" flipV="1">
                            <a:off x="4328709" y="1818856"/>
                            <a:ext cx="141691" cy="158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361" name="Straight Connector 360"/>
                          <xdr:cNvCxnSpPr/>
                        </xdr:nvCxnSpPr>
                        <xdr:spPr>
                          <a:xfrm>
                            <a:off x="4401271" y="1748622"/>
                            <a:ext cx="531500" cy="1562"/>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362" name="Straight Connector 361"/>
                          <xdr:cNvCxnSpPr/>
                        </xdr:nvCxnSpPr>
                        <xdr:spPr>
                          <a:xfrm rot="5400000" flipH="1" flipV="1">
                            <a:off x="4924062" y="1659385"/>
                            <a:ext cx="88557" cy="87956"/>
                          </a:xfrm>
                          <a:prstGeom prst="line">
                            <a:avLst/>
                          </a:prstGeom>
                          <a:ln>
                            <a:solidFill>
                              <a:srgbClr val="C00000"/>
                            </a:solidFill>
                            <a:prstDash val="lgDash"/>
                          </a:ln>
                        </xdr:spPr>
                        <xdr:style>
                          <a:lnRef idx="1">
                            <a:schemeClr val="accent5"/>
                          </a:lnRef>
                          <a:fillRef idx="0">
                            <a:schemeClr val="accent5"/>
                          </a:fillRef>
                          <a:effectRef idx="0">
                            <a:schemeClr val="accent5"/>
                          </a:effectRef>
                          <a:fontRef idx="minor">
                            <a:schemeClr val="tx1"/>
                          </a:fontRef>
                        </xdr:style>
                      </xdr:cxnSp>
                      <xdr:cxnSp macro="">
                        <xdr:nvCxnSpPr>
                          <xdr:cNvPr id="363" name="Straight Connector 362"/>
                          <xdr:cNvCxnSpPr/>
                        </xdr:nvCxnSpPr>
                        <xdr:spPr>
                          <a:xfrm rot="5400000" flipH="1" flipV="1">
                            <a:off x="4401130" y="1659220"/>
                            <a:ext cx="88557" cy="87956"/>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364" name="Straight Connector 363"/>
                          <xdr:cNvCxnSpPr/>
                        </xdr:nvCxnSpPr>
                        <xdr:spPr>
                          <a:xfrm>
                            <a:off x="4485642" y="1658526"/>
                            <a:ext cx="531500" cy="1562"/>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365" name="Straight Connector 364"/>
                          <xdr:cNvCxnSpPr/>
                        </xdr:nvCxnSpPr>
                        <xdr:spPr>
                          <a:xfrm>
                            <a:off x="4486615" y="1508587"/>
                            <a:ext cx="529401" cy="2961"/>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366" name="Straight Connector 365"/>
                          <xdr:cNvCxnSpPr/>
                        </xdr:nvCxnSpPr>
                        <xdr:spPr>
                          <a:xfrm rot="5400000" flipH="1" flipV="1">
                            <a:off x="5009518" y="1421024"/>
                            <a:ext cx="88557" cy="87956"/>
                          </a:xfrm>
                          <a:prstGeom prst="line">
                            <a:avLst/>
                          </a:prstGeom>
                          <a:ln>
                            <a:solidFill>
                              <a:srgbClr val="C00000"/>
                            </a:solidFill>
                            <a:prstDash val="lgDash"/>
                          </a:ln>
                        </xdr:spPr>
                        <xdr:style>
                          <a:lnRef idx="1">
                            <a:schemeClr val="accent5"/>
                          </a:lnRef>
                          <a:fillRef idx="0">
                            <a:schemeClr val="accent5"/>
                          </a:fillRef>
                          <a:effectRef idx="0">
                            <a:schemeClr val="accent5"/>
                          </a:effectRef>
                          <a:fontRef idx="minor">
                            <a:schemeClr val="tx1"/>
                          </a:fontRef>
                        </xdr:style>
                      </xdr:cxnSp>
                      <xdr:cxnSp macro="">
                        <xdr:nvCxnSpPr>
                          <xdr:cNvPr id="367" name="Straight Connector 366"/>
                          <xdr:cNvCxnSpPr/>
                        </xdr:nvCxnSpPr>
                        <xdr:spPr>
                          <a:xfrm rot="5400000" flipH="1" flipV="1">
                            <a:off x="4493791" y="1421437"/>
                            <a:ext cx="88557" cy="87956"/>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368" name="Straight Connector 367"/>
                          <xdr:cNvCxnSpPr/>
                        </xdr:nvCxnSpPr>
                        <xdr:spPr>
                          <a:xfrm>
                            <a:off x="4576641" y="1418362"/>
                            <a:ext cx="531500" cy="1562"/>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369" name="Straight Connector 368"/>
                          <xdr:cNvCxnSpPr/>
                        </xdr:nvCxnSpPr>
                        <xdr:spPr>
                          <a:xfrm rot="5400000" flipH="1" flipV="1">
                            <a:off x="4517432" y="1350023"/>
                            <a:ext cx="141691" cy="1552"/>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370" name="Straight Connector 369"/>
                          <xdr:cNvCxnSpPr/>
                        </xdr:nvCxnSpPr>
                        <xdr:spPr>
                          <a:xfrm rot="5400000" flipH="1" flipV="1">
                            <a:off x="5037605" y="1350022"/>
                            <a:ext cx="141691" cy="1552"/>
                          </a:xfrm>
                          <a:prstGeom prst="line">
                            <a:avLst/>
                          </a:prstGeom>
                          <a:ln>
                            <a:solidFill>
                              <a:srgbClr val="C00000"/>
                            </a:solidFill>
                            <a:prstDash val="lgDash"/>
                          </a:ln>
                        </xdr:spPr>
                        <xdr:style>
                          <a:lnRef idx="1">
                            <a:schemeClr val="accent5"/>
                          </a:lnRef>
                          <a:fillRef idx="0">
                            <a:schemeClr val="accent5"/>
                          </a:fillRef>
                          <a:effectRef idx="0">
                            <a:schemeClr val="accent5"/>
                          </a:effectRef>
                          <a:fontRef idx="minor">
                            <a:schemeClr val="tx1"/>
                          </a:fontRef>
                        </xdr:style>
                      </xdr:cxnSp>
                      <xdr:cxnSp macro="">
                        <xdr:nvCxnSpPr>
                          <xdr:cNvPr id="371" name="Straight Connector 370"/>
                          <xdr:cNvCxnSpPr/>
                        </xdr:nvCxnSpPr>
                        <xdr:spPr>
                          <a:xfrm flipV="1">
                            <a:off x="4588277" y="1283275"/>
                            <a:ext cx="529627" cy="36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372" name="Straight Connector 371"/>
                          <xdr:cNvCxnSpPr/>
                        </xdr:nvCxnSpPr>
                        <xdr:spPr>
                          <a:xfrm flipV="1">
                            <a:off x="5103951" y="1183880"/>
                            <a:ext cx="109202" cy="101908"/>
                          </a:xfrm>
                          <a:prstGeom prst="line">
                            <a:avLst/>
                          </a:prstGeom>
                          <a:ln>
                            <a:solidFill>
                              <a:srgbClr val="C00000"/>
                            </a:solidFill>
                            <a:prstDash val="lgDash"/>
                          </a:ln>
                        </xdr:spPr>
                        <xdr:style>
                          <a:lnRef idx="1">
                            <a:schemeClr val="accent5"/>
                          </a:lnRef>
                          <a:fillRef idx="0">
                            <a:schemeClr val="accent5"/>
                          </a:fillRef>
                          <a:effectRef idx="0">
                            <a:schemeClr val="accent5"/>
                          </a:effectRef>
                          <a:fontRef idx="minor">
                            <a:schemeClr val="tx1"/>
                          </a:fontRef>
                        </xdr:style>
                      </xdr:cxnSp>
                      <xdr:cxnSp macro="">
                        <xdr:nvCxnSpPr>
                          <xdr:cNvPr id="373" name="Straight Connector 372"/>
                          <xdr:cNvCxnSpPr/>
                        </xdr:nvCxnSpPr>
                        <xdr:spPr>
                          <a:xfrm flipV="1">
                            <a:off x="4591309" y="1182089"/>
                            <a:ext cx="102983" cy="100666"/>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374" name="Straight Connector 373"/>
                          <xdr:cNvCxnSpPr/>
                        </xdr:nvCxnSpPr>
                        <xdr:spPr>
                          <a:xfrm>
                            <a:off x="4305467" y="2228449"/>
                            <a:ext cx="529067" cy="1562"/>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375" name="Straight Connector 374"/>
                          <xdr:cNvCxnSpPr/>
                        </xdr:nvCxnSpPr>
                        <xdr:spPr>
                          <a:xfrm rot="5400000">
                            <a:off x="5177603" y="1218346"/>
                            <a:ext cx="73490" cy="2394"/>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376" name="Straight Connector 375"/>
                          <xdr:cNvCxnSpPr/>
                        </xdr:nvCxnSpPr>
                        <xdr:spPr>
                          <a:xfrm rot="10800000">
                            <a:off x="4691888" y="1182668"/>
                            <a:ext cx="528154" cy="118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377" name="Straight Connector 376"/>
                          <xdr:cNvCxnSpPr/>
                        </xdr:nvCxnSpPr>
                        <xdr:spPr>
                          <a:xfrm rot="5400000" flipH="1" flipV="1">
                            <a:off x="4837040" y="2140766"/>
                            <a:ext cx="89882" cy="89305"/>
                          </a:xfrm>
                          <a:prstGeom prst="line">
                            <a:avLst/>
                          </a:prstGeom>
                          <a:ln>
                            <a:solidFill>
                              <a:srgbClr val="C00000"/>
                            </a:solidFill>
                            <a:prstDash val="lgDash"/>
                          </a:ln>
                        </xdr:spPr>
                        <xdr:style>
                          <a:lnRef idx="1">
                            <a:schemeClr val="accent5"/>
                          </a:lnRef>
                          <a:fillRef idx="0">
                            <a:schemeClr val="accent5"/>
                          </a:fillRef>
                          <a:effectRef idx="0">
                            <a:schemeClr val="accent5"/>
                          </a:effectRef>
                          <a:fontRef idx="minor">
                            <a:schemeClr val="tx1"/>
                          </a:fontRef>
                        </xdr:style>
                      </xdr:cxnSp>
                      <xdr:cxnSp macro="">
                        <xdr:nvCxnSpPr>
                          <xdr:cNvPr id="378" name="Straight Connector 377"/>
                          <xdr:cNvCxnSpPr/>
                        </xdr:nvCxnSpPr>
                        <xdr:spPr>
                          <a:xfrm rot="5400000">
                            <a:off x="4867810" y="2088665"/>
                            <a:ext cx="116161" cy="824"/>
                          </a:xfrm>
                          <a:prstGeom prst="line">
                            <a:avLst/>
                          </a:prstGeom>
                          <a:ln>
                            <a:solidFill>
                              <a:srgbClr val="C00000"/>
                            </a:solidFill>
                            <a:prstDash val="lgDash"/>
                          </a:ln>
                        </xdr:spPr>
                        <xdr:style>
                          <a:lnRef idx="1">
                            <a:schemeClr val="accent5"/>
                          </a:lnRef>
                          <a:fillRef idx="0">
                            <a:schemeClr val="accent5"/>
                          </a:fillRef>
                          <a:effectRef idx="0">
                            <a:schemeClr val="accent5"/>
                          </a:effectRef>
                          <a:fontRef idx="minor">
                            <a:schemeClr val="tx1"/>
                          </a:fontRef>
                        </xdr:style>
                      </xdr:cxnSp>
                      <xdr:cxnSp macro="">
                        <xdr:nvCxnSpPr>
                          <xdr:cNvPr id="379" name="Straight Connector 378"/>
                          <xdr:cNvCxnSpPr/>
                        </xdr:nvCxnSpPr>
                        <xdr:spPr>
                          <a:xfrm rot="5400000" flipH="1" flipV="1">
                            <a:off x="4927193" y="1946611"/>
                            <a:ext cx="89883" cy="88188"/>
                          </a:xfrm>
                          <a:prstGeom prst="line">
                            <a:avLst/>
                          </a:prstGeom>
                          <a:ln>
                            <a:solidFill>
                              <a:srgbClr val="C00000"/>
                            </a:solidFill>
                            <a:prstDash val="lgDash"/>
                          </a:ln>
                        </xdr:spPr>
                        <xdr:style>
                          <a:lnRef idx="1">
                            <a:schemeClr val="accent5"/>
                          </a:lnRef>
                          <a:fillRef idx="0">
                            <a:schemeClr val="accent5"/>
                          </a:fillRef>
                          <a:effectRef idx="0">
                            <a:schemeClr val="accent5"/>
                          </a:effectRef>
                          <a:fontRef idx="minor">
                            <a:schemeClr val="tx1"/>
                          </a:fontRef>
                        </xdr:style>
                      </xdr:cxnSp>
                      <xdr:cxnSp macro="">
                        <xdr:nvCxnSpPr>
                          <xdr:cNvPr id="380" name="Straight Connector 379"/>
                          <xdr:cNvCxnSpPr/>
                        </xdr:nvCxnSpPr>
                        <xdr:spPr>
                          <a:xfrm rot="5400000">
                            <a:off x="4923775" y="1866169"/>
                            <a:ext cx="177351" cy="1556"/>
                          </a:xfrm>
                          <a:prstGeom prst="line">
                            <a:avLst/>
                          </a:prstGeom>
                          <a:ln>
                            <a:solidFill>
                              <a:srgbClr val="C00000"/>
                            </a:solidFill>
                            <a:prstDash val="lgDash"/>
                          </a:ln>
                        </xdr:spPr>
                        <xdr:style>
                          <a:lnRef idx="1">
                            <a:schemeClr val="accent5"/>
                          </a:lnRef>
                          <a:fillRef idx="0">
                            <a:schemeClr val="accent5"/>
                          </a:fillRef>
                          <a:effectRef idx="0">
                            <a:schemeClr val="accent5"/>
                          </a:effectRef>
                          <a:fontRef idx="minor">
                            <a:schemeClr val="tx1"/>
                          </a:fontRef>
                        </xdr:style>
                      </xdr:cxnSp>
                      <xdr:cxnSp macro="">
                        <xdr:nvCxnSpPr>
                          <xdr:cNvPr id="381" name="Straight Connector 380"/>
                          <xdr:cNvCxnSpPr/>
                        </xdr:nvCxnSpPr>
                        <xdr:spPr>
                          <a:xfrm rot="5400000" flipH="1" flipV="1">
                            <a:off x="5010519" y="1698185"/>
                            <a:ext cx="89882" cy="87579"/>
                          </a:xfrm>
                          <a:prstGeom prst="line">
                            <a:avLst/>
                          </a:prstGeom>
                          <a:ln>
                            <a:solidFill>
                              <a:srgbClr val="C00000"/>
                            </a:solidFill>
                            <a:prstDash val="lgDash"/>
                          </a:ln>
                        </xdr:spPr>
                        <xdr:style>
                          <a:lnRef idx="1">
                            <a:schemeClr val="accent5"/>
                          </a:lnRef>
                          <a:fillRef idx="0">
                            <a:schemeClr val="accent5"/>
                          </a:fillRef>
                          <a:effectRef idx="0">
                            <a:schemeClr val="accent5"/>
                          </a:effectRef>
                          <a:fontRef idx="minor">
                            <a:schemeClr val="tx1"/>
                          </a:fontRef>
                        </xdr:style>
                      </xdr:cxnSp>
                      <xdr:cxnSp macro="">
                        <xdr:nvCxnSpPr>
                          <xdr:cNvPr id="382" name="Straight Connector 381"/>
                          <xdr:cNvCxnSpPr/>
                        </xdr:nvCxnSpPr>
                        <xdr:spPr>
                          <a:xfrm flipV="1">
                            <a:off x="5093645" y="1440489"/>
                            <a:ext cx="95529" cy="89882"/>
                          </a:xfrm>
                          <a:prstGeom prst="line">
                            <a:avLst/>
                          </a:prstGeom>
                          <a:ln>
                            <a:solidFill>
                              <a:srgbClr val="C00000"/>
                            </a:solidFill>
                            <a:prstDash val="lgDash"/>
                          </a:ln>
                        </xdr:spPr>
                        <xdr:style>
                          <a:lnRef idx="1">
                            <a:schemeClr val="accent5"/>
                          </a:lnRef>
                          <a:fillRef idx="0">
                            <a:schemeClr val="accent5"/>
                          </a:fillRef>
                          <a:effectRef idx="0">
                            <a:schemeClr val="accent5"/>
                          </a:effectRef>
                          <a:fontRef idx="minor">
                            <a:schemeClr val="tx1"/>
                          </a:fontRef>
                        </xdr:style>
                      </xdr:cxnSp>
                      <xdr:cxnSp macro="">
                        <xdr:nvCxnSpPr>
                          <xdr:cNvPr id="383" name="Straight Connector 382"/>
                          <xdr:cNvCxnSpPr/>
                        </xdr:nvCxnSpPr>
                        <xdr:spPr>
                          <a:xfrm flipV="1">
                            <a:off x="5182617" y="1249076"/>
                            <a:ext cx="33417" cy="31922"/>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384" name="Straight Connector 383"/>
                          <xdr:cNvCxnSpPr/>
                        </xdr:nvCxnSpPr>
                        <xdr:spPr>
                          <a:xfrm rot="5400000">
                            <a:off x="5008763" y="1614839"/>
                            <a:ext cx="177351" cy="1556"/>
                          </a:xfrm>
                          <a:prstGeom prst="line">
                            <a:avLst/>
                          </a:prstGeom>
                          <a:ln>
                            <a:solidFill>
                              <a:srgbClr val="C00000"/>
                            </a:solidFill>
                            <a:prstDash val="lgDash"/>
                          </a:ln>
                        </xdr:spPr>
                        <xdr:style>
                          <a:lnRef idx="1">
                            <a:schemeClr val="accent5"/>
                          </a:lnRef>
                          <a:fillRef idx="0">
                            <a:schemeClr val="accent5"/>
                          </a:fillRef>
                          <a:effectRef idx="0">
                            <a:schemeClr val="accent5"/>
                          </a:effectRef>
                          <a:fontRef idx="minor">
                            <a:schemeClr val="tx1"/>
                          </a:fontRef>
                        </xdr:style>
                      </xdr:cxnSp>
                      <xdr:cxnSp macro="">
                        <xdr:nvCxnSpPr>
                          <xdr:cNvPr id="385" name="Straight Connector 384"/>
                          <xdr:cNvCxnSpPr/>
                        </xdr:nvCxnSpPr>
                        <xdr:spPr>
                          <a:xfrm rot="5400000">
                            <a:off x="5096928" y="1356528"/>
                            <a:ext cx="177351" cy="3204"/>
                          </a:xfrm>
                          <a:prstGeom prst="line">
                            <a:avLst/>
                          </a:prstGeom>
                          <a:ln>
                            <a:solidFill>
                              <a:srgbClr val="C00000"/>
                            </a:solidFill>
                            <a:prstDash val="lgDash"/>
                          </a:ln>
                        </xdr:spPr>
                        <xdr:style>
                          <a:lnRef idx="1">
                            <a:schemeClr val="accent5"/>
                          </a:lnRef>
                          <a:fillRef idx="0">
                            <a:schemeClr val="accent5"/>
                          </a:fillRef>
                          <a:effectRef idx="0">
                            <a:schemeClr val="accent5"/>
                          </a:effectRef>
                          <a:fontRef idx="minor">
                            <a:schemeClr val="tx1"/>
                          </a:fontRef>
                        </xdr:style>
                      </xdr:cxnSp>
                      <xdr:cxnSp macro="">
                        <xdr:nvCxnSpPr>
                          <xdr:cNvPr id="386" name="Straight Connector 385"/>
                          <xdr:cNvCxnSpPr/>
                        </xdr:nvCxnSpPr>
                        <xdr:spPr>
                          <a:xfrm rot="5400000">
                            <a:off x="4712561" y="2109393"/>
                            <a:ext cx="244431" cy="436"/>
                          </a:xfrm>
                          <a:prstGeom prst="line">
                            <a:avLst/>
                          </a:prstGeom>
                          <a:ln>
                            <a:solidFill>
                              <a:srgbClr val="C00000"/>
                            </a:solidFill>
                            <a:prstDash val="lgDash"/>
                          </a:ln>
                        </xdr:spPr>
                        <xdr:style>
                          <a:lnRef idx="1">
                            <a:schemeClr val="accent5"/>
                          </a:lnRef>
                          <a:fillRef idx="0">
                            <a:schemeClr val="accent5"/>
                          </a:fillRef>
                          <a:effectRef idx="0">
                            <a:schemeClr val="accent5"/>
                          </a:effectRef>
                          <a:fontRef idx="minor">
                            <a:schemeClr val="tx1"/>
                          </a:fontRef>
                        </xdr:style>
                      </xdr:cxnSp>
                      <xdr:cxnSp macro="">
                        <xdr:nvCxnSpPr>
                          <xdr:cNvPr id="387" name="Straight Connector 386"/>
                          <xdr:cNvCxnSpPr/>
                        </xdr:nvCxnSpPr>
                        <xdr:spPr>
                          <a:xfrm rot="5400000">
                            <a:off x="4188266" y="2104540"/>
                            <a:ext cx="247870" cy="6707"/>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388" name="Straight Connector 387"/>
                          <xdr:cNvCxnSpPr/>
                        </xdr:nvCxnSpPr>
                        <xdr:spPr>
                          <a:xfrm rot="5400000" flipH="1" flipV="1">
                            <a:off x="3839298" y="1343474"/>
                            <a:ext cx="1239258" cy="496076"/>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389" name="Straight Connector 388"/>
                          <xdr:cNvCxnSpPr/>
                        </xdr:nvCxnSpPr>
                        <xdr:spPr>
                          <a:xfrm rot="5400000" flipH="1" flipV="1">
                            <a:off x="3770969" y="1325633"/>
                            <a:ext cx="1231742" cy="51652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390" name="Straight Connector 389"/>
                          <xdr:cNvCxnSpPr/>
                        </xdr:nvCxnSpPr>
                        <xdr:spPr>
                          <a:xfrm rot="10800000">
                            <a:off x="4119557" y="2204100"/>
                            <a:ext cx="89140" cy="156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391" name="Straight Connector 390"/>
                          <xdr:cNvCxnSpPr/>
                        </xdr:nvCxnSpPr>
                        <xdr:spPr>
                          <a:xfrm rot="10800000">
                            <a:off x="4641235" y="971880"/>
                            <a:ext cx="72570" cy="158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392" name="Straight Connector 391"/>
                          <xdr:cNvCxnSpPr/>
                        </xdr:nvCxnSpPr>
                        <xdr:spPr>
                          <a:xfrm rot="5400000">
                            <a:off x="4087378" y="2323260"/>
                            <a:ext cx="240695" cy="6336"/>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393" name="Straight Connector 392"/>
                          <xdr:cNvCxnSpPr/>
                        </xdr:nvCxnSpPr>
                        <xdr:spPr>
                          <a:xfrm rot="16200000" flipH="1">
                            <a:off x="4019712" y="2306232"/>
                            <a:ext cx="255299" cy="44747"/>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394" name="Straight Connector 393"/>
                          <xdr:cNvCxnSpPr/>
                        </xdr:nvCxnSpPr>
                        <xdr:spPr>
                          <a:xfrm rot="10800000">
                            <a:off x="4167924" y="2451941"/>
                            <a:ext cx="42788" cy="158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395" name="Straight Connector 394"/>
                          <xdr:cNvCxnSpPr/>
                        </xdr:nvCxnSpPr>
                        <xdr:spPr>
                          <a:xfrm rot="5400000" flipH="1" flipV="1">
                            <a:off x="4149018" y="2279531"/>
                            <a:ext cx="229108" cy="111701"/>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396" name="Straight Connector 395"/>
                          <xdr:cNvCxnSpPr/>
                        </xdr:nvCxnSpPr>
                        <xdr:spPr>
                          <a:xfrm rot="5400000">
                            <a:off x="4604487" y="1082084"/>
                            <a:ext cx="212686" cy="1588"/>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grpSp>
                    <xdr:grpSp>
                      <xdr:nvGrpSpPr>
                        <xdr:cNvPr id="493" name="Group 255"/>
                        <xdr:cNvGrpSpPr/>
                      </xdr:nvGrpSpPr>
                      <xdr:grpSpPr>
                        <a:xfrm>
                          <a:off x="9316469" y="643023"/>
                          <a:ext cx="605062" cy="1682884"/>
                          <a:chOff x="7466396" y="622342"/>
                          <a:chExt cx="604175" cy="1686880"/>
                        </a:xfrm>
                      </xdr:grpSpPr>
                      <xdr:cxnSp macro="">
                        <xdr:nvCxnSpPr>
                          <xdr:cNvPr id="494" name="Straight Connector 493"/>
                          <xdr:cNvCxnSpPr/>
                        </xdr:nvCxnSpPr>
                        <xdr:spPr>
                          <a:xfrm rot="5400000" flipH="1" flipV="1">
                            <a:off x="7104890" y="1075848"/>
                            <a:ext cx="1399194" cy="509125"/>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495" name="Straight Connector 494"/>
                          <xdr:cNvCxnSpPr/>
                        </xdr:nvCxnSpPr>
                        <xdr:spPr>
                          <a:xfrm rot="5400000" flipH="1" flipV="1">
                            <a:off x="7028007" y="1060748"/>
                            <a:ext cx="1394293" cy="517481"/>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496" name="Straight Connector 495"/>
                          <xdr:cNvCxnSpPr/>
                        </xdr:nvCxnSpPr>
                        <xdr:spPr>
                          <a:xfrm rot="10800000">
                            <a:off x="7466396" y="2021729"/>
                            <a:ext cx="90442" cy="1845"/>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497" name="Straight Connector 496"/>
                          <xdr:cNvCxnSpPr/>
                        </xdr:nvCxnSpPr>
                        <xdr:spPr>
                          <a:xfrm rot="10800000">
                            <a:off x="7983888" y="626848"/>
                            <a:ext cx="86683" cy="1327"/>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498" name="Straight Connector 497"/>
                          <xdr:cNvCxnSpPr/>
                        </xdr:nvCxnSpPr>
                        <xdr:spPr>
                          <a:xfrm rot="16200000" flipH="1">
                            <a:off x="7339901" y="2140482"/>
                            <a:ext cx="296175" cy="41306"/>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499" name="Straight Connector 498"/>
                          <xdr:cNvCxnSpPr/>
                        </xdr:nvCxnSpPr>
                        <xdr:spPr>
                          <a:xfrm rot="10800000">
                            <a:off x="7505392" y="2303776"/>
                            <a:ext cx="48574" cy="362"/>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500" name="Straight Connector 499"/>
                          <xdr:cNvCxnSpPr/>
                        </xdr:nvCxnSpPr>
                        <xdr:spPr>
                          <a:xfrm rot="5400000" flipH="1" flipV="1">
                            <a:off x="7075470" y="1321680"/>
                            <a:ext cx="1464634" cy="498587"/>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cxnSp macro="">
                        <xdr:nvCxnSpPr>
                          <xdr:cNvPr id="501" name="Straight Connector 500"/>
                          <xdr:cNvCxnSpPr/>
                        </xdr:nvCxnSpPr>
                        <xdr:spPr>
                          <a:xfrm rot="5400000">
                            <a:off x="7949121" y="735335"/>
                            <a:ext cx="220288" cy="4376"/>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grpSp>
                    <xdr:cxnSp macro="">
                      <xdr:nvCxnSpPr>
                        <xdr:cNvPr id="459" name="Straight Connector 458"/>
                        <xdr:cNvCxnSpPr/>
                      </xdr:nvCxnSpPr>
                      <xdr:spPr>
                        <a:xfrm rot="5400000">
                          <a:off x="9262881" y="2180406"/>
                          <a:ext cx="289089" cy="0"/>
                        </a:xfrm>
                        <a:prstGeom prst="line">
                          <a:avLst/>
                        </a:prstGeom>
                        <a:ln>
                          <a:solidFill>
                            <a:schemeClr val="tx1">
                              <a:lumMod val="85000"/>
                              <a:lumOff val="15000"/>
                            </a:schemeClr>
                          </a:solidFill>
                        </a:ln>
                      </xdr:spPr>
                      <xdr:style>
                        <a:lnRef idx="1">
                          <a:schemeClr val="accent5"/>
                        </a:lnRef>
                        <a:fillRef idx="0">
                          <a:schemeClr val="accent5"/>
                        </a:fillRef>
                        <a:effectRef idx="0">
                          <a:schemeClr val="accent5"/>
                        </a:effectRef>
                        <a:fontRef idx="minor">
                          <a:schemeClr val="tx1"/>
                        </a:fontRef>
                      </xdr:style>
                    </xdr:cxnSp>
                  </xdr:grpSp>
                </xdr:grpSp>
                <xdr:grpSp>
                  <xdr:nvGrpSpPr>
                    <xdr:cNvPr id="548" name="Group 547"/>
                    <xdr:cNvGrpSpPr/>
                  </xdr:nvGrpSpPr>
                  <xdr:grpSpPr>
                    <a:xfrm>
                      <a:off x="1442345" y="997253"/>
                      <a:ext cx="563773" cy="1192513"/>
                      <a:chOff x="1449190" y="1015474"/>
                      <a:chExt cx="567397" cy="1226316"/>
                    </a:xfrm>
                  </xdr:grpSpPr>
                  <xdr:cxnSp macro="">
                    <xdr:nvCxnSpPr>
                      <xdr:cNvPr id="524" name="Straight Arrow Connector 523"/>
                      <xdr:cNvCxnSpPr/>
                    </xdr:nvCxnSpPr>
                    <xdr:spPr>
                      <a:xfrm rot="5400000" flipH="1" flipV="1">
                        <a:off x="1447096" y="1737981"/>
                        <a:ext cx="612210" cy="395407"/>
                      </a:xfrm>
                      <a:prstGeom prst="straightConnector1">
                        <a:avLst/>
                      </a:prstGeom>
                      <a:ln w="6350">
                        <a:solidFill>
                          <a:schemeClr val="accent2">
                            <a:lumMod val="75000"/>
                          </a:schemeClr>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532" name="Straight Connector 531"/>
                      <xdr:cNvCxnSpPr/>
                    </xdr:nvCxnSpPr>
                    <xdr:spPr>
                      <a:xfrm>
                        <a:off x="1449190" y="2229933"/>
                        <a:ext cx="180000" cy="1588"/>
                      </a:xfrm>
                      <a:prstGeom prst="line">
                        <a:avLst/>
                      </a:prstGeom>
                      <a:ln>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34" name="Straight Connector 533"/>
                      <xdr:cNvCxnSpPr/>
                    </xdr:nvCxnSpPr>
                    <xdr:spPr>
                      <a:xfrm>
                        <a:off x="1909662" y="1015474"/>
                        <a:ext cx="106925" cy="1588"/>
                      </a:xfrm>
                      <a:prstGeom prst="line">
                        <a:avLst/>
                      </a:prstGeom>
                      <a:ln>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36" name="Straight Arrow Connector 535"/>
                      <xdr:cNvCxnSpPr/>
                    </xdr:nvCxnSpPr>
                    <xdr:spPr>
                      <a:xfrm rot="16200000" flipH="1">
                        <a:off x="1639446" y="1338556"/>
                        <a:ext cx="634398" cy="0"/>
                      </a:xfrm>
                      <a:prstGeom prst="straightConnector1">
                        <a:avLst/>
                      </a:prstGeom>
                      <a:ln w="6350">
                        <a:solidFill>
                          <a:schemeClr val="accent2">
                            <a:lumMod val="75000"/>
                          </a:schemeClr>
                        </a:solidFill>
                        <a:prstDash val="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grpSp>
                <xdr:cxnSp macro="">
                  <xdr:nvCxnSpPr>
                    <xdr:cNvPr id="539" name="Straight Connector 538"/>
                    <xdr:cNvCxnSpPr/>
                  </xdr:nvCxnSpPr>
                  <xdr:spPr>
                    <a:xfrm>
                      <a:off x="1838839" y="1608807"/>
                      <a:ext cx="138176" cy="0"/>
                    </a:xfrm>
                    <a:prstGeom prst="line">
                      <a:avLst/>
                    </a:prstGeom>
                    <a:ln>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grpSp>
                  <xdr:nvGrpSpPr>
                    <xdr:cNvPr id="549" name="Group 548"/>
                    <xdr:cNvGrpSpPr/>
                  </xdr:nvGrpSpPr>
                  <xdr:grpSpPr>
                    <a:xfrm>
                      <a:off x="2765000" y="993784"/>
                      <a:ext cx="557318" cy="1183641"/>
                      <a:chOff x="1460666" y="1067117"/>
                      <a:chExt cx="564370" cy="1217094"/>
                    </a:xfrm>
                  </xdr:grpSpPr>
                  <xdr:cxnSp macro="">
                    <xdr:nvCxnSpPr>
                      <xdr:cNvPr id="550" name="Straight Arrow Connector 549"/>
                      <xdr:cNvCxnSpPr/>
                    </xdr:nvCxnSpPr>
                    <xdr:spPr>
                      <a:xfrm rot="5400000" flipH="1" flipV="1">
                        <a:off x="1453101" y="1772116"/>
                        <a:ext cx="635459" cy="371708"/>
                      </a:xfrm>
                      <a:prstGeom prst="straightConnector1">
                        <a:avLst/>
                      </a:prstGeom>
                      <a:ln w="6350">
                        <a:solidFill>
                          <a:schemeClr val="accent2">
                            <a:lumMod val="75000"/>
                          </a:schemeClr>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551" name="Straight Connector 550"/>
                      <xdr:cNvCxnSpPr/>
                    </xdr:nvCxnSpPr>
                    <xdr:spPr>
                      <a:xfrm>
                        <a:off x="1460666" y="2282623"/>
                        <a:ext cx="180000" cy="1588"/>
                      </a:xfrm>
                      <a:prstGeom prst="line">
                        <a:avLst/>
                      </a:prstGeom>
                      <a:ln>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52" name="Straight Connector 551"/>
                      <xdr:cNvCxnSpPr/>
                    </xdr:nvCxnSpPr>
                    <xdr:spPr>
                      <a:xfrm>
                        <a:off x="1909663" y="1067117"/>
                        <a:ext cx="115373" cy="0"/>
                      </a:xfrm>
                      <a:prstGeom prst="line">
                        <a:avLst/>
                      </a:prstGeom>
                      <a:ln>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53" name="Straight Arrow Connector 552"/>
                      <xdr:cNvCxnSpPr/>
                    </xdr:nvCxnSpPr>
                    <xdr:spPr>
                      <a:xfrm rot="5400000">
                        <a:off x="1673913" y="1354758"/>
                        <a:ext cx="573796" cy="5738"/>
                      </a:xfrm>
                      <a:prstGeom prst="straightConnector1">
                        <a:avLst/>
                      </a:prstGeom>
                      <a:ln w="6350">
                        <a:solidFill>
                          <a:schemeClr val="accent2">
                            <a:lumMod val="75000"/>
                          </a:schemeClr>
                        </a:solidFill>
                        <a:prstDash val="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grpSp>
                <xdr:cxnSp macro="">
                  <xdr:nvCxnSpPr>
                    <xdr:cNvPr id="555" name="Straight Connector 554"/>
                    <xdr:cNvCxnSpPr/>
                  </xdr:nvCxnSpPr>
                  <xdr:spPr>
                    <a:xfrm>
                      <a:off x="3164739" y="1560320"/>
                      <a:ext cx="134854" cy="0"/>
                    </a:xfrm>
                    <a:prstGeom prst="line">
                      <a:avLst/>
                    </a:prstGeom>
                    <a:ln>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72" name="Straight Arrow Connector 571"/>
                  <xdr:cNvCxnSpPr/>
                </xdr:nvCxnSpPr>
                <xdr:spPr>
                  <a:xfrm>
                    <a:off x="3605461" y="2572258"/>
                    <a:ext cx="549951" cy="4219"/>
                  </a:xfrm>
                  <a:prstGeom prst="straightConnector1">
                    <a:avLst/>
                  </a:prstGeom>
                  <a:ln w="6350">
                    <a:solidFill>
                      <a:schemeClr val="accent2">
                        <a:lumMod val="75000"/>
                      </a:schemeClr>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574" name="Straight Arrow Connector 573"/>
                  <xdr:cNvCxnSpPr/>
                </xdr:nvCxnSpPr>
                <xdr:spPr>
                  <a:xfrm>
                    <a:off x="4951131" y="2581399"/>
                    <a:ext cx="533856" cy="1588"/>
                  </a:xfrm>
                  <a:prstGeom prst="straightConnector1">
                    <a:avLst/>
                  </a:prstGeom>
                  <a:ln w="6350">
                    <a:solidFill>
                      <a:schemeClr val="accent2">
                        <a:lumMod val="75000"/>
                      </a:schemeClr>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576" name="Straight Arrow Connector 575"/>
                  <xdr:cNvCxnSpPr/>
                </xdr:nvCxnSpPr>
                <xdr:spPr>
                  <a:xfrm>
                    <a:off x="6217418" y="2595824"/>
                    <a:ext cx="531720" cy="7629"/>
                  </a:xfrm>
                  <a:prstGeom prst="straightConnector1">
                    <a:avLst/>
                  </a:prstGeom>
                  <a:ln w="6350">
                    <a:solidFill>
                      <a:schemeClr val="accent2">
                        <a:lumMod val="75000"/>
                      </a:schemeClr>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578" name="Straight Arrow Connector 577"/>
                  <xdr:cNvCxnSpPr/>
                </xdr:nvCxnSpPr>
                <xdr:spPr>
                  <a:xfrm>
                    <a:off x="7431503" y="2583568"/>
                    <a:ext cx="526738" cy="0"/>
                  </a:xfrm>
                  <a:prstGeom prst="straightConnector1">
                    <a:avLst/>
                  </a:prstGeom>
                  <a:ln w="6350">
                    <a:solidFill>
                      <a:schemeClr val="accent2">
                        <a:lumMod val="75000"/>
                      </a:schemeClr>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580" name="Straight Connector 579"/>
                  <xdr:cNvCxnSpPr/>
                </xdr:nvCxnSpPr>
                <xdr:spPr>
                  <a:xfrm rot="5400000">
                    <a:off x="6667501" y="2438979"/>
                    <a:ext cx="261673" cy="115137"/>
                  </a:xfrm>
                  <a:prstGeom prst="line">
                    <a:avLst/>
                  </a:prstGeom>
                  <a:ln>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88" name="Straight Connector 587"/>
                  <xdr:cNvCxnSpPr/>
                </xdr:nvCxnSpPr>
                <xdr:spPr>
                  <a:xfrm rot="5400000">
                    <a:off x="7883139" y="2391175"/>
                    <a:ext cx="272145" cy="152412"/>
                  </a:xfrm>
                  <a:prstGeom prst="line">
                    <a:avLst/>
                  </a:prstGeom>
                  <a:ln>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17" name="TextBox 616"/>
                <xdr:cNvSpPr txBox="1"/>
              </xdr:nvSpPr>
              <xdr:spPr>
                <a:xfrm rot="17921456">
                  <a:off x="1238578" y="1814431"/>
                  <a:ext cx="606396" cy="26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00" b="1"/>
                    <a:t>span,L</a:t>
                  </a:r>
                  <a:endParaRPr lang="th-TH" sz="1000" b="1"/>
                </a:p>
              </xdr:txBody>
            </xdr:sp>
            <xdr:sp macro="" textlink="">
              <xdr:nvSpPr>
                <xdr:cNvPr id="618" name="TextBox 617"/>
                <xdr:cNvSpPr txBox="1"/>
              </xdr:nvSpPr>
              <xdr:spPr>
                <a:xfrm rot="17924754">
                  <a:off x="2585111" y="1754604"/>
                  <a:ext cx="609067" cy="290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1000" b="1"/>
                    <a:t>span,L</a:t>
                  </a:r>
                  <a:endParaRPr lang="th-TH" sz="1000" b="1"/>
                </a:p>
              </xdr:txBody>
            </xdr:sp>
            <xdr:sp macro="" textlink="">
              <xdr:nvSpPr>
                <xdr:cNvPr id="619" name="TextBox 618"/>
                <xdr:cNvSpPr txBox="1"/>
              </xdr:nvSpPr>
              <xdr:spPr>
                <a:xfrm>
                  <a:off x="3188290" y="2520495"/>
                  <a:ext cx="510357"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900" b="1"/>
                    <a:t>span,L</a:t>
                  </a:r>
                  <a:endParaRPr lang="th-TH" sz="900" b="1"/>
                </a:p>
              </xdr:txBody>
            </xdr:sp>
            <xdr:sp macro="" textlink="">
              <xdr:nvSpPr>
                <xdr:cNvPr id="632" name="TextBox 631"/>
                <xdr:cNvSpPr txBox="1"/>
              </xdr:nvSpPr>
              <xdr:spPr>
                <a:xfrm>
                  <a:off x="4529439" y="2522358"/>
                  <a:ext cx="510357"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900" b="1"/>
                    <a:t>span,L</a:t>
                  </a:r>
                  <a:endParaRPr lang="th-TH" sz="900" b="1"/>
                </a:p>
              </xdr:txBody>
            </xdr:sp>
            <xdr:sp macro="" textlink="">
              <xdr:nvSpPr>
                <xdr:cNvPr id="633" name="TextBox 632"/>
                <xdr:cNvSpPr txBox="1"/>
              </xdr:nvSpPr>
              <xdr:spPr>
                <a:xfrm>
                  <a:off x="5788553" y="2520495"/>
                  <a:ext cx="510357"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900" b="1">
                      <a:cs typeface="+mj-cs"/>
                    </a:rPr>
                    <a:t>span,L</a:t>
                  </a:r>
                  <a:endParaRPr lang="th-TH" sz="900" b="1">
                    <a:cs typeface="+mj-cs"/>
                  </a:endParaRPr>
                </a:p>
              </xdr:txBody>
            </xdr:sp>
            <xdr:sp macro="" textlink="">
              <xdr:nvSpPr>
                <xdr:cNvPr id="638" name="TextBox 637"/>
                <xdr:cNvSpPr txBox="1"/>
              </xdr:nvSpPr>
              <xdr:spPr>
                <a:xfrm>
                  <a:off x="7026254" y="2548192"/>
                  <a:ext cx="510357" cy="1813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lang="en-US" sz="900" b="1"/>
                    <a:t>span,L</a:t>
                  </a:r>
                  <a:endParaRPr lang="th-TH" sz="900" b="1"/>
                </a:p>
              </xdr:txBody>
            </xdr:sp>
            <xdr:sp macro="" textlink="">
              <xdr:nvSpPr>
                <xdr:cNvPr id="641" name="TextBox 640"/>
                <xdr:cNvSpPr txBox="1"/>
              </xdr:nvSpPr>
              <xdr:spPr>
                <a:xfrm>
                  <a:off x="1603504" y="1164193"/>
                  <a:ext cx="216987" cy="263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cs typeface="+mn-cs"/>
                    </a:rPr>
                    <a:t>h</a:t>
                  </a:r>
                  <a:endParaRPr lang="th-TH" sz="1100" b="1">
                    <a:cs typeface="+mn-cs"/>
                  </a:endParaRPr>
                </a:p>
              </xdr:txBody>
            </xdr:sp>
            <xdr:sp macro="" textlink="">
              <xdr:nvSpPr>
                <xdr:cNvPr id="643" name="TextBox 642"/>
                <xdr:cNvSpPr txBox="1"/>
              </xdr:nvSpPr>
              <xdr:spPr>
                <a:xfrm>
                  <a:off x="2914575" y="1158648"/>
                  <a:ext cx="216987" cy="263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cs typeface="+mn-cs"/>
                    </a:rPr>
                    <a:t>h</a:t>
                  </a:r>
                  <a:endParaRPr lang="th-TH" sz="1100" b="1">
                    <a:cs typeface="+mn-cs"/>
                  </a:endParaRPr>
                </a:p>
              </xdr:txBody>
            </xdr:sp>
          </xdr:grpSp>
          <xdr:cxnSp macro="">
            <xdr:nvCxnSpPr>
              <xdr:cNvPr id="772" name="Straight Arrow Connector 771"/>
              <xdr:cNvCxnSpPr/>
            </xdr:nvCxnSpPr>
            <xdr:spPr>
              <a:xfrm rot="5400000" flipH="1" flipV="1">
                <a:off x="7325945" y="1498920"/>
                <a:ext cx="713367" cy="308347"/>
              </a:xfrm>
              <a:prstGeom prst="straightConnector1">
                <a:avLst/>
              </a:prstGeom>
              <a:ln w="6350">
                <a:solidFill>
                  <a:schemeClr val="accent2">
                    <a:lumMod val="75000"/>
                  </a:schemeClr>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778" name="Straight Connector 777"/>
              <xdr:cNvCxnSpPr/>
            </xdr:nvCxnSpPr>
            <xdr:spPr>
              <a:xfrm>
                <a:off x="7444787" y="2010743"/>
                <a:ext cx="184797" cy="1633"/>
              </a:xfrm>
              <a:prstGeom prst="line">
                <a:avLst/>
              </a:prstGeom>
              <a:ln>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79" name="Straight Connector 778"/>
              <xdr:cNvCxnSpPr/>
            </xdr:nvCxnSpPr>
            <xdr:spPr>
              <a:xfrm>
                <a:off x="7763615" y="1292706"/>
                <a:ext cx="179180" cy="1633"/>
              </a:xfrm>
              <a:prstGeom prst="line">
                <a:avLst/>
              </a:prstGeom>
              <a:ln>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grpSp>
        <xdr:cxnSp macro="">
          <xdr:nvCxnSpPr>
            <xdr:cNvPr id="785" name="Straight Connector 784"/>
            <xdr:cNvCxnSpPr/>
          </xdr:nvCxnSpPr>
          <xdr:spPr>
            <a:xfrm>
              <a:off x="6144929" y="2022193"/>
              <a:ext cx="185081" cy="1651"/>
            </a:xfrm>
            <a:prstGeom prst="line">
              <a:avLst/>
            </a:prstGeom>
            <a:ln>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86" name="Straight Connector 785"/>
            <xdr:cNvCxnSpPr/>
          </xdr:nvCxnSpPr>
          <xdr:spPr>
            <a:xfrm>
              <a:off x="6442845" y="1306735"/>
              <a:ext cx="179456" cy="1651"/>
            </a:xfrm>
            <a:prstGeom prst="line">
              <a:avLst/>
            </a:prstGeom>
            <a:ln>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91" name="Straight Arrow Connector 790"/>
            <xdr:cNvCxnSpPr/>
          </xdr:nvCxnSpPr>
          <xdr:spPr>
            <a:xfrm rot="16200000" flipV="1">
              <a:off x="3743303" y="960718"/>
              <a:ext cx="625695" cy="4"/>
            </a:xfrm>
            <a:prstGeom prst="straightConnector1">
              <a:avLst/>
            </a:prstGeom>
            <a:ln w="6350">
              <a:solidFill>
                <a:schemeClr val="accent2">
                  <a:lumMod val="75000"/>
                </a:schemeClr>
              </a:solidFill>
              <a:prstDash val="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794" name="Straight Arrow Connector 793"/>
            <xdr:cNvCxnSpPr/>
          </xdr:nvCxnSpPr>
          <xdr:spPr>
            <a:xfrm rot="5400000" flipH="1" flipV="1">
              <a:off x="5036117" y="957135"/>
              <a:ext cx="630000" cy="0"/>
            </a:xfrm>
            <a:prstGeom prst="straightConnector1">
              <a:avLst/>
            </a:prstGeom>
            <a:ln w="6350">
              <a:solidFill>
                <a:schemeClr val="accent2">
                  <a:lumMod val="75000"/>
                </a:schemeClr>
              </a:solidFill>
              <a:prstDash val="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795" name="Straight Arrow Connector 794"/>
            <xdr:cNvCxnSpPr/>
          </xdr:nvCxnSpPr>
          <xdr:spPr>
            <a:xfrm rot="5400000" flipH="1" flipV="1">
              <a:off x="6239408" y="963203"/>
              <a:ext cx="663539" cy="0"/>
            </a:xfrm>
            <a:prstGeom prst="straightConnector1">
              <a:avLst/>
            </a:prstGeom>
            <a:ln w="6350">
              <a:solidFill>
                <a:schemeClr val="accent2">
                  <a:lumMod val="75000"/>
                </a:schemeClr>
              </a:solidFill>
              <a:prstDash val="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796" name="Straight Arrow Connector 795"/>
            <xdr:cNvCxnSpPr/>
          </xdr:nvCxnSpPr>
          <xdr:spPr>
            <a:xfrm rot="5400000" flipH="1" flipV="1">
              <a:off x="7484335" y="968554"/>
              <a:ext cx="631433" cy="0"/>
            </a:xfrm>
            <a:prstGeom prst="straightConnector1">
              <a:avLst/>
            </a:prstGeom>
            <a:ln w="6350">
              <a:solidFill>
                <a:schemeClr val="accent2">
                  <a:lumMod val="75000"/>
                </a:schemeClr>
              </a:solidFill>
              <a:prstDash val="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799" name="Straight Arrow Connector 798"/>
            <xdr:cNvCxnSpPr/>
          </xdr:nvCxnSpPr>
          <xdr:spPr>
            <a:xfrm rot="5400000" flipH="1" flipV="1">
              <a:off x="6041419" y="1503668"/>
              <a:ext cx="727750" cy="310364"/>
            </a:xfrm>
            <a:prstGeom prst="straightConnector1">
              <a:avLst/>
            </a:prstGeom>
            <a:ln w="6350">
              <a:solidFill>
                <a:schemeClr val="accent2">
                  <a:lumMod val="75000"/>
                </a:schemeClr>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806" name="Straight Connector 805"/>
            <xdr:cNvCxnSpPr/>
          </xdr:nvCxnSpPr>
          <xdr:spPr>
            <a:xfrm>
              <a:off x="4912333" y="2053236"/>
              <a:ext cx="185081" cy="1651"/>
            </a:xfrm>
            <a:prstGeom prst="line">
              <a:avLst/>
            </a:prstGeom>
            <a:ln>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07" name="Straight Connector 806"/>
            <xdr:cNvCxnSpPr/>
          </xdr:nvCxnSpPr>
          <xdr:spPr>
            <a:xfrm>
              <a:off x="5220951" y="1294970"/>
              <a:ext cx="179456" cy="1651"/>
            </a:xfrm>
            <a:prstGeom prst="line">
              <a:avLst/>
            </a:prstGeom>
            <a:ln>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08" name="Straight Connector 807"/>
            <xdr:cNvCxnSpPr/>
          </xdr:nvCxnSpPr>
          <xdr:spPr>
            <a:xfrm>
              <a:off x="3638770" y="2031832"/>
              <a:ext cx="185081" cy="1651"/>
            </a:xfrm>
            <a:prstGeom prst="line">
              <a:avLst/>
            </a:prstGeom>
            <a:ln>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09" name="Straight Connector 808"/>
            <xdr:cNvCxnSpPr/>
          </xdr:nvCxnSpPr>
          <xdr:spPr>
            <a:xfrm>
              <a:off x="3936685" y="1284269"/>
              <a:ext cx="179456" cy="0"/>
            </a:xfrm>
            <a:prstGeom prst="line">
              <a:avLst/>
            </a:prstGeom>
            <a:ln>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10" name="Straight Arrow Connector 809"/>
            <xdr:cNvCxnSpPr/>
          </xdr:nvCxnSpPr>
          <xdr:spPr>
            <a:xfrm rot="5400000" flipH="1" flipV="1">
              <a:off x="4794608" y="1519717"/>
              <a:ext cx="770558" cy="321068"/>
            </a:xfrm>
            <a:prstGeom prst="straightConnector1">
              <a:avLst/>
            </a:prstGeom>
            <a:ln w="6350">
              <a:solidFill>
                <a:schemeClr val="accent2">
                  <a:lumMod val="75000"/>
                </a:schemeClr>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813" name="Straight Arrow Connector 812"/>
            <xdr:cNvCxnSpPr/>
          </xdr:nvCxnSpPr>
          <xdr:spPr>
            <a:xfrm rot="5400000" flipH="1" flipV="1">
              <a:off x="3521037" y="1509016"/>
              <a:ext cx="749158" cy="299666"/>
            </a:xfrm>
            <a:prstGeom prst="straightConnector1">
              <a:avLst/>
            </a:prstGeom>
            <a:ln w="6350">
              <a:solidFill>
                <a:schemeClr val="accent2">
                  <a:lumMod val="75000"/>
                </a:schemeClr>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815" name="Straight Connector 814"/>
            <xdr:cNvCxnSpPr/>
          </xdr:nvCxnSpPr>
          <xdr:spPr>
            <a:xfrm>
              <a:off x="3981233" y="631428"/>
              <a:ext cx="128429" cy="5"/>
            </a:xfrm>
            <a:prstGeom prst="line">
              <a:avLst/>
            </a:prstGeom>
            <a:ln>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16" name="Straight Connector 815"/>
            <xdr:cNvCxnSpPr/>
          </xdr:nvCxnSpPr>
          <xdr:spPr>
            <a:xfrm>
              <a:off x="5297611" y="620731"/>
              <a:ext cx="115349" cy="0"/>
            </a:xfrm>
            <a:prstGeom prst="line">
              <a:avLst/>
            </a:prstGeom>
            <a:ln>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17" name="Straight Connector 816"/>
            <xdr:cNvCxnSpPr/>
          </xdr:nvCxnSpPr>
          <xdr:spPr>
            <a:xfrm>
              <a:off x="6528372" y="631433"/>
              <a:ext cx="115349" cy="0"/>
            </a:xfrm>
            <a:prstGeom prst="line">
              <a:avLst/>
            </a:prstGeom>
            <a:ln>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18" name="Straight Connector 817"/>
            <xdr:cNvCxnSpPr/>
          </xdr:nvCxnSpPr>
          <xdr:spPr>
            <a:xfrm>
              <a:off x="7769827" y="610024"/>
              <a:ext cx="115349" cy="0"/>
            </a:xfrm>
            <a:prstGeom prst="line">
              <a:avLst/>
            </a:prstGeom>
            <a:ln>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826" name="TextBox 825"/>
            <xdr:cNvSpPr txBox="1"/>
          </xdr:nvSpPr>
          <xdr:spPr>
            <a:xfrm rot="6660000" flipH="1" flipV="1">
              <a:off x="3660169" y="1487612"/>
              <a:ext cx="246151" cy="214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latin typeface="Times New Roman" pitchFamily="18" charset="0"/>
                  <a:cs typeface="Times New Roman" pitchFamily="18" charset="0"/>
                </a:rPr>
                <a:t>L</a:t>
              </a:r>
              <a:endParaRPr lang="th-TH" sz="1100" b="1">
                <a:latin typeface="Times New Roman" pitchFamily="18" charset="0"/>
              </a:endParaRPr>
            </a:p>
          </xdr:txBody>
        </xdr:sp>
        <xdr:sp macro="" textlink="">
          <xdr:nvSpPr>
            <xdr:cNvPr id="827" name="TextBox 826"/>
            <xdr:cNvSpPr txBox="1"/>
          </xdr:nvSpPr>
          <xdr:spPr>
            <a:xfrm rot="6660000" flipH="1" flipV="1">
              <a:off x="4939088" y="1525067"/>
              <a:ext cx="246151" cy="214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latin typeface="Times New Roman" pitchFamily="18" charset="0"/>
                  <a:cs typeface="Times New Roman" pitchFamily="18" charset="0"/>
                </a:rPr>
                <a:t>L</a:t>
              </a:r>
              <a:endParaRPr lang="th-TH" sz="1100" b="1">
                <a:latin typeface="Times New Roman" pitchFamily="18" charset="0"/>
              </a:endParaRPr>
            </a:p>
          </xdr:txBody>
        </xdr:sp>
        <xdr:sp macro="" textlink="">
          <xdr:nvSpPr>
            <xdr:cNvPr id="828" name="TextBox 827"/>
            <xdr:cNvSpPr txBox="1"/>
          </xdr:nvSpPr>
          <xdr:spPr>
            <a:xfrm rot="6660000" flipH="1" flipV="1">
              <a:off x="6169840" y="1514365"/>
              <a:ext cx="246151" cy="214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latin typeface="Times New Roman" pitchFamily="18" charset="0"/>
                  <a:cs typeface="Times New Roman" pitchFamily="18" charset="0"/>
                </a:rPr>
                <a:t>L</a:t>
              </a:r>
              <a:endParaRPr lang="th-TH" sz="1100" b="1">
                <a:latin typeface="Times New Roman" pitchFamily="18" charset="0"/>
              </a:endParaRPr>
            </a:p>
          </xdr:txBody>
        </xdr:sp>
        <xdr:sp macro="" textlink="">
          <xdr:nvSpPr>
            <xdr:cNvPr id="829" name="TextBox 828"/>
            <xdr:cNvSpPr txBox="1"/>
          </xdr:nvSpPr>
          <xdr:spPr>
            <a:xfrm rot="6660000" flipH="1" flipV="1">
              <a:off x="7443416" y="1514365"/>
              <a:ext cx="246151" cy="214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latin typeface="Times New Roman" pitchFamily="18" charset="0"/>
                  <a:cs typeface="Times New Roman" pitchFamily="18" charset="0"/>
                </a:rPr>
                <a:t>L</a:t>
              </a:r>
              <a:endParaRPr lang="th-TH" sz="1100" b="1">
                <a:latin typeface="Times New Roman" pitchFamily="18" charset="0"/>
              </a:endParaRPr>
            </a:p>
          </xdr:txBody>
        </xdr:sp>
      </xdr:grpSp>
      <xdr:sp macro="" textlink="">
        <xdr:nvSpPr>
          <xdr:cNvPr id="344" name="TextBox 343"/>
          <xdr:cNvSpPr txBox="1"/>
        </xdr:nvSpPr>
        <xdr:spPr>
          <a:xfrm>
            <a:off x="6006789" y="1117213"/>
            <a:ext cx="365997" cy="251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cs typeface="+mn-cs"/>
              </a:rPr>
              <a:t>h</a:t>
            </a:r>
            <a:endParaRPr lang="th-TH" sz="1100" b="1">
              <a:cs typeface="+mn-cs"/>
            </a:endParaRPr>
          </a:p>
        </xdr:txBody>
      </xdr:sp>
      <xdr:sp macro="" textlink="">
        <xdr:nvSpPr>
          <xdr:cNvPr id="345" name="TextBox 344"/>
          <xdr:cNvSpPr txBox="1"/>
        </xdr:nvSpPr>
        <xdr:spPr>
          <a:xfrm>
            <a:off x="7724544" y="1117213"/>
            <a:ext cx="216153" cy="251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cs typeface="+mn-cs"/>
              </a:rPr>
              <a:t>h</a:t>
            </a:r>
            <a:endParaRPr lang="th-TH" sz="1100" b="1">
              <a:cs typeface="+mn-cs"/>
            </a:endParaRPr>
          </a:p>
        </xdr:txBody>
      </xdr:sp>
      <xdr:sp macro="" textlink="">
        <xdr:nvSpPr>
          <xdr:cNvPr id="346" name="TextBox 345"/>
          <xdr:cNvSpPr txBox="1"/>
        </xdr:nvSpPr>
        <xdr:spPr>
          <a:xfrm>
            <a:off x="9210675" y="1117213"/>
            <a:ext cx="216153" cy="251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cs typeface="+mn-cs"/>
              </a:rPr>
              <a:t>h</a:t>
            </a:r>
            <a:endParaRPr lang="th-TH" sz="1100" b="1">
              <a:cs typeface="+mn-cs"/>
            </a:endParaRPr>
          </a:p>
        </xdr:txBody>
      </xdr:sp>
    </xdr:grpSp>
    <xdr:clientData/>
  </xdr:twoCellAnchor>
  <xdr:twoCellAnchor>
    <xdr:from>
      <xdr:col>18</xdr:col>
      <xdr:colOff>209088</xdr:colOff>
      <xdr:row>5</xdr:row>
      <xdr:rowOff>0</xdr:rowOff>
    </xdr:from>
    <xdr:to>
      <xdr:col>18</xdr:col>
      <xdr:colOff>425241</xdr:colOff>
      <xdr:row>6</xdr:row>
      <xdr:rowOff>56757</xdr:rowOff>
    </xdr:to>
    <xdr:sp macro="" textlink="">
      <xdr:nvSpPr>
        <xdr:cNvPr id="347" name="TextBox 346"/>
        <xdr:cNvSpPr txBox="1"/>
      </xdr:nvSpPr>
      <xdr:spPr>
        <a:xfrm>
          <a:off x="7747777" y="801494"/>
          <a:ext cx="216153" cy="242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cs typeface="+mn-cs"/>
            </a:rPr>
            <a:t>h</a:t>
          </a:r>
          <a:endParaRPr lang="th-TH" sz="1100" b="1">
            <a:cs typeface="+mn-cs"/>
          </a:endParaRPr>
        </a:p>
      </xdr:txBody>
    </xdr:sp>
    <xdr:clientData/>
  </xdr:twoCellAnchor>
  <xdr:twoCellAnchor>
    <xdr:from>
      <xdr:col>29</xdr:col>
      <xdr:colOff>144393</xdr:colOff>
      <xdr:row>46</xdr:row>
      <xdr:rowOff>228063</xdr:rowOff>
    </xdr:from>
    <xdr:to>
      <xdr:col>43</xdr:col>
      <xdr:colOff>346385</xdr:colOff>
      <xdr:row>64</xdr:row>
      <xdr:rowOff>151282</xdr:rowOff>
    </xdr:to>
    <xdr:grpSp>
      <xdr:nvGrpSpPr>
        <xdr:cNvPr id="450" name="Group 449"/>
        <xdr:cNvGrpSpPr/>
      </xdr:nvGrpSpPr>
      <xdr:grpSpPr>
        <a:xfrm>
          <a:off x="16184493" y="11029413"/>
          <a:ext cx="6431342" cy="4380919"/>
          <a:chOff x="7077408" y="11353546"/>
          <a:chExt cx="6465006" cy="4248237"/>
        </a:xfrm>
      </xdr:grpSpPr>
      <xdr:grpSp>
        <xdr:nvGrpSpPr>
          <xdr:cNvPr id="470" name="Group 469"/>
          <xdr:cNvGrpSpPr/>
        </xdr:nvGrpSpPr>
        <xdr:grpSpPr>
          <a:xfrm>
            <a:off x="7088701" y="11353546"/>
            <a:ext cx="6453713" cy="4248237"/>
            <a:chOff x="17094868" y="11296315"/>
            <a:chExt cx="6603534" cy="4320001"/>
          </a:xfrm>
        </xdr:grpSpPr>
        <xdr:grpSp>
          <xdr:nvGrpSpPr>
            <xdr:cNvPr id="476" name="Group 475"/>
            <xdr:cNvGrpSpPr/>
          </xdr:nvGrpSpPr>
          <xdr:grpSpPr>
            <a:xfrm>
              <a:off x="17094868" y="11296316"/>
              <a:ext cx="3599999" cy="4320000"/>
              <a:chOff x="7137400" y="11493500"/>
              <a:chExt cx="3598082" cy="4320000"/>
            </a:xfrm>
          </xdr:grpSpPr>
          <xdr:grpSp>
            <xdr:nvGrpSpPr>
              <xdr:cNvPr id="401" name="Group 465"/>
              <xdr:cNvGrpSpPr/>
            </xdr:nvGrpSpPr>
            <xdr:grpSpPr>
              <a:xfrm>
                <a:off x="7137400" y="11493500"/>
                <a:ext cx="3598082" cy="4320000"/>
                <a:chOff x="14473235" y="5044998"/>
                <a:chExt cx="3598082" cy="4320000"/>
              </a:xfrm>
            </xdr:grpSpPr>
            <xdr:grpSp>
              <xdr:nvGrpSpPr>
                <xdr:cNvPr id="405" name="Group 460"/>
                <xdr:cNvGrpSpPr/>
              </xdr:nvGrpSpPr>
              <xdr:grpSpPr>
                <a:xfrm>
                  <a:off x="14473235" y="5044998"/>
                  <a:ext cx="3598082" cy="4320000"/>
                  <a:chOff x="14473235" y="5044998"/>
                  <a:chExt cx="3598082" cy="4320000"/>
                </a:xfrm>
                <a:noFill/>
              </xdr:grpSpPr>
              <xdr:grpSp>
                <xdr:nvGrpSpPr>
                  <xdr:cNvPr id="420" name="Group 448"/>
                  <xdr:cNvGrpSpPr/>
                </xdr:nvGrpSpPr>
                <xdr:grpSpPr>
                  <a:xfrm>
                    <a:off x="14473235" y="5044998"/>
                    <a:ext cx="3598082" cy="4320000"/>
                    <a:chOff x="14473235" y="5044998"/>
                    <a:chExt cx="3598082" cy="4320000"/>
                  </a:xfrm>
                  <a:grpFill/>
                </xdr:grpSpPr>
                <xdr:grpSp>
                  <xdr:nvGrpSpPr>
                    <xdr:cNvPr id="434" name="Group 428"/>
                    <xdr:cNvGrpSpPr/>
                  </xdr:nvGrpSpPr>
                  <xdr:grpSpPr>
                    <a:xfrm>
                      <a:off x="14473235" y="5044998"/>
                      <a:ext cx="3598082" cy="4320000"/>
                      <a:chOff x="14511335" y="5057698"/>
                      <a:chExt cx="3598082" cy="4320000"/>
                    </a:xfrm>
                    <a:grpFill/>
                  </xdr:grpSpPr>
                  <xdr:grpSp>
                    <xdr:nvGrpSpPr>
                      <xdr:cNvPr id="438" name="Group 418"/>
                      <xdr:cNvGrpSpPr/>
                    </xdr:nvGrpSpPr>
                    <xdr:grpSpPr>
                      <a:xfrm>
                        <a:off x="14511335" y="5057698"/>
                        <a:ext cx="3598082" cy="4320000"/>
                        <a:chOff x="14511331" y="5057698"/>
                        <a:chExt cx="3598082" cy="4320000"/>
                      </a:xfrm>
                      <a:grpFill/>
                    </xdr:grpSpPr>
                    <xdr:grpSp>
                      <xdr:nvGrpSpPr>
                        <xdr:cNvPr id="440" name="Group 406"/>
                        <xdr:cNvGrpSpPr/>
                      </xdr:nvGrpSpPr>
                      <xdr:grpSpPr>
                        <a:xfrm>
                          <a:off x="14511331" y="5057698"/>
                          <a:ext cx="3598082" cy="4320000"/>
                          <a:chOff x="14479741" y="4930698"/>
                          <a:chExt cx="3600004" cy="4320000"/>
                        </a:xfrm>
                        <a:grpFill/>
                      </xdr:grpSpPr>
                      <xdr:graphicFrame macro="">
                        <xdr:nvGraphicFramePr>
                          <xdr:cNvPr id="474" name="Chart 473"/>
                          <xdr:cNvGraphicFramePr/>
                        </xdr:nvGraphicFramePr>
                        <xdr:xfrm>
                          <a:off x="14479743" y="4930698"/>
                          <a:ext cx="3600002" cy="4320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73" name="Chart 472"/>
                          <xdr:cNvGraphicFramePr/>
                        </xdr:nvGraphicFramePr>
                        <xdr:xfrm>
                          <a:off x="14479741" y="4930698"/>
                          <a:ext cx="3600003" cy="4320000"/>
                        </xdr:xfrm>
                        <a:graphic>
                          <a:graphicData uri="http://schemas.openxmlformats.org/drawingml/2006/chart">
                            <c:chart xmlns:c="http://schemas.openxmlformats.org/drawingml/2006/chart" xmlns:r="http://schemas.openxmlformats.org/officeDocument/2006/relationships" r:id="rId2"/>
                          </a:graphicData>
                        </a:graphic>
                      </xdr:graphicFrame>
                    </xdr:grpSp>
                    <xdr:sp macro="" textlink="$BG$21">
                      <xdr:nvSpPr>
                        <xdr:cNvPr id="441" name="Rectangle 440"/>
                        <xdr:cNvSpPr>
                          <a:spLocks noChangeAspect="1"/>
                        </xdr:cNvSpPr>
                      </xdr:nvSpPr>
                      <xdr:spPr>
                        <a:xfrm>
                          <a:off x="14871695" y="7569200"/>
                          <a:ext cx="684000" cy="32400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2B8D9BD1-A2E5-4ACA-BB78-9F8324A67D98}" type="TxLink">
                            <a:rPr lang="th-TH" sz="1100">
                              <a:solidFill>
                                <a:schemeClr val="tx1"/>
                              </a:solidFill>
                            </a:rPr>
                            <a:pPr algn="l"/>
                            <a:t> </a:t>
                          </a:fld>
                          <a:endParaRPr lang="th-TH" sz="1100">
                            <a:solidFill>
                              <a:schemeClr val="tx1"/>
                            </a:solidFill>
                          </a:endParaRPr>
                        </a:p>
                      </xdr:txBody>
                    </xdr:sp>
                    <xdr:sp macro="" textlink="$BG$22">
                      <xdr:nvSpPr>
                        <xdr:cNvPr id="442" name="Rectangle 441"/>
                        <xdr:cNvSpPr>
                          <a:spLocks/>
                        </xdr:cNvSpPr>
                      </xdr:nvSpPr>
                      <xdr:spPr>
                        <a:xfrm>
                          <a:off x="14858992" y="7302500"/>
                          <a:ext cx="540000" cy="28800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1CA65C53-C4E8-43BB-B192-061344645BBB}" type="TxLink">
                            <a:rPr lang="th-TH" sz="1100">
                              <a:solidFill>
                                <a:schemeClr val="tx1"/>
                              </a:solidFill>
                            </a:rPr>
                            <a:pPr algn="l"/>
                            <a:t> </a:t>
                          </a:fld>
                          <a:endParaRPr lang="th-TH" sz="1100">
                            <a:solidFill>
                              <a:schemeClr val="tx1"/>
                            </a:solidFill>
                          </a:endParaRPr>
                        </a:p>
                      </xdr:txBody>
                    </xdr:sp>
                    <xdr:sp macro="" textlink="$BG$24">
                      <xdr:nvSpPr>
                        <xdr:cNvPr id="443" name="Rectangle 442"/>
                        <xdr:cNvSpPr>
                          <a:spLocks/>
                        </xdr:cNvSpPr>
                      </xdr:nvSpPr>
                      <xdr:spPr>
                        <a:xfrm>
                          <a:off x="14858992" y="6705600"/>
                          <a:ext cx="642306" cy="36000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C36A5D45-9051-4690-BEE5-2DEDF506B188}" type="TxLink">
                            <a:rPr lang="th-TH" sz="1100">
                              <a:solidFill>
                                <a:schemeClr val="tx1"/>
                              </a:solidFill>
                            </a:rPr>
                            <a:pPr algn="l"/>
                            <a:t>30 cm.</a:t>
                          </a:fld>
                          <a:endParaRPr lang="th-TH" sz="1100">
                            <a:solidFill>
                              <a:schemeClr val="tx1"/>
                            </a:solidFill>
                          </a:endParaRPr>
                        </a:p>
                      </xdr:txBody>
                    </xdr:sp>
                    <xdr:sp macro="" textlink="BG$25">
                      <xdr:nvSpPr>
                        <xdr:cNvPr id="444" name="Rectangle 443"/>
                        <xdr:cNvSpPr>
                          <a:spLocks/>
                        </xdr:cNvSpPr>
                      </xdr:nvSpPr>
                      <xdr:spPr>
                        <a:xfrm>
                          <a:off x="14858992" y="6426200"/>
                          <a:ext cx="540000" cy="36000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85443049-1E72-46D0-A0C0-C4AED2A30D0D}" type="TxLink">
                            <a:rPr lang="th-TH" sz="1100">
                              <a:solidFill>
                                <a:schemeClr val="tx1"/>
                              </a:solidFill>
                            </a:rPr>
                            <a:pPr algn="l"/>
                            <a:t> </a:t>
                          </a:fld>
                          <a:endParaRPr lang="th-TH" sz="1100">
                            <a:solidFill>
                              <a:schemeClr val="tx1"/>
                            </a:solidFill>
                          </a:endParaRPr>
                        </a:p>
                      </xdr:txBody>
                    </xdr:sp>
                    <xdr:sp macro="" textlink="$BG$26">
                      <xdr:nvSpPr>
                        <xdr:cNvPr id="445" name="Rectangle 444"/>
                        <xdr:cNvSpPr>
                          <a:spLocks noChangeAspect="1"/>
                        </xdr:cNvSpPr>
                      </xdr:nvSpPr>
                      <xdr:spPr>
                        <a:xfrm>
                          <a:off x="14846292" y="6146800"/>
                          <a:ext cx="540000" cy="36000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6AA60EFD-FCCE-4556-88D8-B070C237C126}" type="TxLink">
                            <a:rPr lang="th-TH" sz="1100">
                              <a:solidFill>
                                <a:schemeClr val="tx1"/>
                              </a:solidFill>
                            </a:rPr>
                            <a:pPr algn="l"/>
                            <a:t> </a:t>
                          </a:fld>
                          <a:endParaRPr lang="th-TH" sz="1100">
                            <a:solidFill>
                              <a:schemeClr val="tx1"/>
                            </a:solidFill>
                          </a:endParaRPr>
                        </a:p>
                      </xdr:txBody>
                    </xdr:sp>
                    <xdr:sp macro="" textlink="BG$27">
                      <xdr:nvSpPr>
                        <xdr:cNvPr id="448" name="Rectangle 447"/>
                        <xdr:cNvSpPr>
                          <a:spLocks noChangeAspect="1"/>
                        </xdr:cNvSpPr>
                      </xdr:nvSpPr>
                      <xdr:spPr>
                        <a:xfrm>
                          <a:off x="14858992" y="5867400"/>
                          <a:ext cx="745849" cy="36000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DB016F63-C768-4AAA-BE37-DC5CF15955F2}" type="TxLink">
                            <a:rPr lang="th-TH" sz="1100">
                              <a:solidFill>
                                <a:schemeClr val="tx1"/>
                              </a:solidFill>
                            </a:rPr>
                            <a:pPr algn="l"/>
                            <a:t> </a:t>
                          </a:fld>
                          <a:endParaRPr lang="th-TH" sz="1100">
                            <a:solidFill>
                              <a:schemeClr val="tx1"/>
                            </a:solidFill>
                          </a:endParaRPr>
                        </a:p>
                      </xdr:txBody>
                    </xdr:sp>
                    <xdr:sp macro="" textlink="$BG$28">
                      <xdr:nvSpPr>
                        <xdr:cNvPr id="464" name="Rectangle 463"/>
                        <xdr:cNvSpPr>
                          <a:spLocks noChangeAspect="1"/>
                        </xdr:cNvSpPr>
                      </xdr:nvSpPr>
                      <xdr:spPr>
                        <a:xfrm>
                          <a:off x="14846292" y="5575298"/>
                          <a:ext cx="744777" cy="36000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707F75DB-0B79-45F6-8E68-C51ACEC3D093}" type="TxLink">
                            <a:rPr lang="th-TH" sz="1100">
                              <a:solidFill>
                                <a:schemeClr val="tx1"/>
                              </a:solidFill>
                            </a:rPr>
                            <a:pPr algn="l"/>
                            <a:t> </a:t>
                          </a:fld>
                          <a:endParaRPr lang="th-TH" sz="1100">
                            <a:solidFill>
                              <a:schemeClr val="tx1"/>
                            </a:solidFill>
                          </a:endParaRPr>
                        </a:p>
                      </xdr:txBody>
                    </xdr:sp>
                    <xdr:sp macro="" textlink="BG$29">
                      <xdr:nvSpPr>
                        <xdr:cNvPr id="471" name="Rectangle 470"/>
                        <xdr:cNvSpPr>
                          <a:spLocks noChangeAspect="1"/>
                        </xdr:cNvSpPr>
                      </xdr:nvSpPr>
                      <xdr:spPr>
                        <a:xfrm>
                          <a:off x="14790133" y="5382182"/>
                          <a:ext cx="814711" cy="21844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fld id="{D6F95598-9311-432A-BF21-3A2CC13A3056}" type="TxLink">
                            <a:rPr lang="th-TH" sz="1100">
                              <a:solidFill>
                                <a:schemeClr val="tx1"/>
                              </a:solidFill>
                            </a:rPr>
                            <a:pPr algn="r"/>
                            <a:t> </a:t>
                          </a:fld>
                          <a:endParaRPr lang="th-TH" sz="1100">
                            <a:solidFill>
                              <a:schemeClr val="tx1"/>
                            </a:solidFill>
                          </a:endParaRPr>
                        </a:p>
                      </xdr:txBody>
                    </xdr:sp>
                    <xdr:sp macro="" textlink="$BG23">
                      <xdr:nvSpPr>
                        <xdr:cNvPr id="472" name="Rectangle 471"/>
                        <xdr:cNvSpPr>
                          <a:spLocks noChangeAspect="1"/>
                        </xdr:cNvSpPr>
                      </xdr:nvSpPr>
                      <xdr:spPr>
                        <a:xfrm>
                          <a:off x="14858998" y="6997700"/>
                          <a:ext cx="626676" cy="36000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82698CC5-07AA-45D7-B3A1-71F2BB68FFAD}" type="TxLink">
                            <a:rPr lang="th-TH" sz="1100">
                              <a:solidFill>
                                <a:schemeClr val="tx1"/>
                              </a:solidFill>
                            </a:rPr>
                            <a:pPr algn="l"/>
                            <a:t> </a:t>
                          </a:fld>
                          <a:endParaRPr lang="th-TH" sz="1100">
                            <a:solidFill>
                              <a:schemeClr val="tx1"/>
                            </a:solidFill>
                          </a:endParaRPr>
                        </a:p>
                      </xdr:txBody>
                    </xdr:sp>
                  </xdr:grpSp>
                  <xdr:sp macro="" textlink="BG$30">
                    <xdr:nvSpPr>
                      <xdr:cNvPr id="439" name="Rectangle 438"/>
                      <xdr:cNvSpPr>
                        <a:spLocks noChangeAspect="1"/>
                      </xdr:cNvSpPr>
                    </xdr:nvSpPr>
                    <xdr:spPr>
                      <a:xfrm>
                        <a:off x="14914088" y="5067301"/>
                        <a:ext cx="732072" cy="4039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1CEDB4D7-790E-4E10-90DF-B7E7E0B9EDA5}" type="TxLink">
                          <a:rPr lang="th-TH" sz="1100">
                            <a:solidFill>
                              <a:schemeClr val="tx1"/>
                            </a:solidFill>
                          </a:rPr>
                          <a:pPr algn="l"/>
                          <a:t> </a:t>
                        </a:fld>
                        <a:endParaRPr lang="th-TH" sz="1100">
                          <a:solidFill>
                            <a:schemeClr val="tx1"/>
                          </a:solidFill>
                        </a:endParaRPr>
                      </a:p>
                    </xdr:txBody>
                  </xdr:sp>
                </xdr:grpSp>
                <xdr:sp macro="" textlink="$BH$21">
                  <xdr:nvSpPr>
                    <xdr:cNvPr id="435" name="Rectangle 434"/>
                    <xdr:cNvSpPr/>
                  </xdr:nvSpPr>
                  <xdr:spPr>
                    <a:xfrm>
                      <a:off x="16306800" y="8255000"/>
                      <a:ext cx="279400" cy="58420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b"/>
                    <a:lstStyle/>
                    <a:p>
                      <a:pPr algn="ctr"/>
                      <a:fld id="{532E6AB1-C58A-475D-AD09-E6E5ACEC5353}" type="TxLink">
                        <a:rPr lang="th-TH" sz="1100">
                          <a:solidFill>
                            <a:schemeClr val="tx1"/>
                          </a:solidFill>
                        </a:rPr>
                        <a:pPr algn="ctr"/>
                        <a:t> </a:t>
                      </a:fld>
                      <a:endParaRPr lang="th-TH" sz="1100">
                        <a:solidFill>
                          <a:schemeClr val="tx1"/>
                        </a:solidFill>
                      </a:endParaRPr>
                    </a:p>
                  </xdr:txBody>
                </xdr:sp>
                <xdr:sp macro="" textlink="BH$22">
                  <xdr:nvSpPr>
                    <xdr:cNvPr id="436" name="Rectangle 435"/>
                    <xdr:cNvSpPr/>
                  </xdr:nvSpPr>
                  <xdr:spPr>
                    <a:xfrm>
                      <a:off x="16319500" y="7899400"/>
                      <a:ext cx="279400" cy="58420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fld id="{D31AF34B-09EF-4008-BA1E-9CED0BBE7475}" type="TxLink">
                        <a:rPr lang="th-TH" sz="1100">
                          <a:solidFill>
                            <a:schemeClr val="tx1"/>
                          </a:solidFill>
                        </a:rPr>
                        <a:pPr algn="ctr"/>
                        <a:t> </a:t>
                      </a:fld>
                      <a:endParaRPr lang="th-TH" sz="1100">
                        <a:solidFill>
                          <a:schemeClr val="tx1"/>
                        </a:solidFill>
                      </a:endParaRPr>
                    </a:p>
                  </xdr:txBody>
                </xdr:sp>
                <xdr:sp macro="" textlink="BH$23">
                  <xdr:nvSpPr>
                    <xdr:cNvPr id="437" name="Rectangle 436"/>
                    <xdr:cNvSpPr/>
                  </xdr:nvSpPr>
                  <xdr:spPr>
                    <a:xfrm>
                      <a:off x="16370300" y="7315200"/>
                      <a:ext cx="279400" cy="58420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t"/>
                    <a:lstStyle/>
                    <a:p>
                      <a:pPr algn="ctr"/>
                      <a:fld id="{5F02A58A-A408-467B-BE77-055477683362}" type="TxLink">
                        <a:rPr lang="th-TH" sz="1100">
                          <a:solidFill>
                            <a:schemeClr val="tx1"/>
                          </a:solidFill>
                        </a:rPr>
                        <a:pPr algn="ctr"/>
                        <a:t> </a:t>
                      </a:fld>
                      <a:endParaRPr lang="th-TH" sz="1100">
                        <a:solidFill>
                          <a:schemeClr val="tx1"/>
                        </a:solidFill>
                      </a:endParaRPr>
                    </a:p>
                  </xdr:txBody>
                </xdr:sp>
              </xdr:grpSp>
              <xdr:sp macro="" textlink="BF$21">
                <xdr:nvSpPr>
                  <xdr:cNvPr id="421" name="Rectangle 420"/>
                  <xdr:cNvSpPr/>
                </xdr:nvSpPr>
                <xdr:spPr>
                  <a:xfrm>
                    <a:off x="15011400" y="7505700"/>
                    <a:ext cx="812800" cy="24130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2E631730-D7F8-4283-BEE4-D29DF04AAF05}" type="TxLink">
                      <a:rPr lang="th-TH" sz="1100">
                        <a:solidFill>
                          <a:schemeClr val="tx1"/>
                        </a:solidFill>
                      </a:rPr>
                      <a:pPr algn="ctr"/>
                      <a:t> </a:t>
                    </a:fld>
                    <a:endParaRPr lang="th-TH" sz="1100">
                      <a:solidFill>
                        <a:schemeClr val="tx1"/>
                      </a:solidFill>
                    </a:endParaRPr>
                  </a:p>
                </xdr:txBody>
              </xdr:sp>
              <xdr:sp macro="" textlink="BF$22">
                <xdr:nvSpPr>
                  <xdr:cNvPr id="422" name="Rectangle 421"/>
                  <xdr:cNvSpPr/>
                </xdr:nvSpPr>
                <xdr:spPr>
                  <a:xfrm>
                    <a:off x="15011400" y="7264400"/>
                    <a:ext cx="812800" cy="24130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fld id="{D59673C6-8F45-4193-A457-1135D2EC4852}" type="TxLink">
                      <a:rPr lang="th-TH" sz="1100">
                        <a:solidFill>
                          <a:schemeClr val="tx1"/>
                        </a:solidFill>
                      </a:rPr>
                      <a:pPr algn="ctr"/>
                      <a:t> </a:t>
                    </a:fld>
                    <a:endParaRPr lang="th-TH" sz="1100">
                      <a:solidFill>
                        <a:schemeClr val="tx1"/>
                      </a:solidFill>
                    </a:endParaRPr>
                  </a:p>
                </xdr:txBody>
              </xdr:sp>
              <xdr:sp macro="" textlink="BF$23">
                <xdr:nvSpPr>
                  <xdr:cNvPr id="423" name="Rectangle 422"/>
                  <xdr:cNvSpPr/>
                </xdr:nvSpPr>
                <xdr:spPr>
                  <a:xfrm>
                    <a:off x="15011400" y="7010400"/>
                    <a:ext cx="812800" cy="24130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E379BD76-9CC7-4660-A7C2-C3EBAE1D3AF7}" type="TxLink">
                      <a:rPr lang="th-TH" sz="1100">
                        <a:solidFill>
                          <a:schemeClr val="tx1"/>
                        </a:solidFill>
                      </a:rPr>
                      <a:pPr algn="ctr"/>
                      <a:t> </a:t>
                    </a:fld>
                    <a:endParaRPr lang="th-TH" sz="1100">
                      <a:solidFill>
                        <a:schemeClr val="tx1"/>
                      </a:solidFill>
                    </a:endParaRPr>
                  </a:p>
                </xdr:txBody>
              </xdr:sp>
              <xdr:sp macro="" textlink="BF$24">
                <xdr:nvSpPr>
                  <xdr:cNvPr id="425" name="Rectangle 424"/>
                  <xdr:cNvSpPr/>
                </xdr:nvSpPr>
                <xdr:spPr>
                  <a:xfrm>
                    <a:off x="15011400" y="6769100"/>
                    <a:ext cx="812800" cy="24130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BEEBE98E-8204-4A14-A5B2-F9815B3B9652}" type="TxLink">
                      <a:rPr lang="th-TH" sz="1100">
                        <a:solidFill>
                          <a:schemeClr val="tx1"/>
                        </a:solidFill>
                      </a:rPr>
                      <a:pPr algn="ctr"/>
                      <a:t> </a:t>
                    </a:fld>
                    <a:endParaRPr lang="th-TH" sz="1100">
                      <a:solidFill>
                        <a:schemeClr val="tx1"/>
                      </a:solidFill>
                    </a:endParaRPr>
                  </a:p>
                </xdr:txBody>
              </xdr:sp>
              <xdr:sp macro="" textlink="BF$25">
                <xdr:nvSpPr>
                  <xdr:cNvPr id="426" name="Rectangle 425"/>
                  <xdr:cNvSpPr/>
                </xdr:nvSpPr>
                <xdr:spPr>
                  <a:xfrm>
                    <a:off x="15011400" y="6502400"/>
                    <a:ext cx="812800" cy="24130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17CB9517-55F1-4A41-809D-87510961AF6A}" type="TxLink">
                      <a:rPr lang="th-TH" sz="1100">
                        <a:solidFill>
                          <a:schemeClr val="tx1"/>
                        </a:solidFill>
                      </a:rPr>
                      <a:pPr algn="ctr"/>
                      <a:t> </a:t>
                    </a:fld>
                    <a:endParaRPr lang="th-TH" sz="1100">
                      <a:solidFill>
                        <a:schemeClr val="tx1"/>
                      </a:solidFill>
                    </a:endParaRPr>
                  </a:p>
                </xdr:txBody>
              </xdr:sp>
              <xdr:sp macro="" textlink="BF$26">
                <xdr:nvSpPr>
                  <xdr:cNvPr id="427" name="Rectangle 426"/>
                  <xdr:cNvSpPr/>
                </xdr:nvSpPr>
                <xdr:spPr>
                  <a:xfrm>
                    <a:off x="15011400" y="6235700"/>
                    <a:ext cx="812800" cy="24130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011F9FE5-3638-447D-A131-22D493837B04}" type="TxLink">
                      <a:rPr lang="th-TH" sz="1100">
                        <a:solidFill>
                          <a:schemeClr val="tx1"/>
                        </a:solidFill>
                      </a:rPr>
                      <a:pPr algn="ctr"/>
                      <a:t> </a:t>
                    </a:fld>
                    <a:endParaRPr lang="th-TH" sz="1100">
                      <a:solidFill>
                        <a:schemeClr val="tx1"/>
                      </a:solidFill>
                    </a:endParaRPr>
                  </a:p>
                </xdr:txBody>
              </xdr:sp>
              <xdr:sp macro="" textlink="BF$30">
                <xdr:nvSpPr>
                  <xdr:cNvPr id="428" name="Rectangle 427"/>
                  <xdr:cNvSpPr/>
                </xdr:nvSpPr>
                <xdr:spPr>
                  <a:xfrm>
                    <a:off x="15011400" y="5156200"/>
                    <a:ext cx="812800" cy="24130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4CCDD60-E183-484E-B5BB-05AE7553046F}" type="TxLink">
                      <a:rPr lang="th-TH" sz="1100">
                        <a:solidFill>
                          <a:schemeClr val="tx1"/>
                        </a:solidFill>
                      </a:rPr>
                      <a:pPr algn="ctr"/>
                      <a:t> </a:t>
                    </a:fld>
                    <a:endParaRPr lang="th-TH" sz="1100">
                      <a:solidFill>
                        <a:schemeClr val="tx1"/>
                      </a:solidFill>
                    </a:endParaRPr>
                  </a:p>
                </xdr:txBody>
              </xdr:sp>
              <xdr:sp macro="" textlink="BF$27">
                <xdr:nvSpPr>
                  <xdr:cNvPr id="431" name="Rectangle 430"/>
                  <xdr:cNvSpPr/>
                </xdr:nvSpPr>
                <xdr:spPr>
                  <a:xfrm>
                    <a:off x="15011400" y="5956300"/>
                    <a:ext cx="812800" cy="24130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FEBCA226-B956-4BF5-A816-E1C8FB027FF9}" type="TxLink">
                      <a:rPr lang="th-TH" sz="1100">
                        <a:solidFill>
                          <a:schemeClr val="tx1"/>
                        </a:solidFill>
                      </a:rPr>
                      <a:pPr algn="ctr"/>
                      <a:t> </a:t>
                    </a:fld>
                    <a:endParaRPr lang="th-TH" sz="1100">
                      <a:solidFill>
                        <a:schemeClr val="tx1"/>
                      </a:solidFill>
                    </a:endParaRPr>
                  </a:p>
                </xdr:txBody>
              </xdr:sp>
              <xdr:sp macro="" textlink="BF$28">
                <xdr:nvSpPr>
                  <xdr:cNvPr id="432" name="Rectangle 431"/>
                  <xdr:cNvSpPr/>
                </xdr:nvSpPr>
                <xdr:spPr>
                  <a:xfrm>
                    <a:off x="15011400" y="5689600"/>
                    <a:ext cx="812800" cy="24130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B2CE6539-7993-40BC-8793-80DFDB6E60E3}" type="TxLink">
                      <a:rPr lang="th-TH" sz="1100">
                        <a:solidFill>
                          <a:schemeClr val="tx1"/>
                        </a:solidFill>
                      </a:rPr>
                      <a:pPr algn="ctr"/>
                      <a:t> </a:t>
                    </a:fld>
                    <a:endParaRPr lang="th-TH" sz="1100">
                      <a:solidFill>
                        <a:schemeClr val="tx1"/>
                      </a:solidFill>
                    </a:endParaRPr>
                  </a:p>
                </xdr:txBody>
              </xdr:sp>
              <xdr:sp macro="" textlink="BF$29">
                <xdr:nvSpPr>
                  <xdr:cNvPr id="433" name="Rectangle 432"/>
                  <xdr:cNvSpPr/>
                </xdr:nvSpPr>
                <xdr:spPr>
                  <a:xfrm>
                    <a:off x="15011400" y="5422900"/>
                    <a:ext cx="812800" cy="24130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693730D1-C58B-4C2C-AEA7-55D27EE3558C}" type="TxLink">
                      <a:rPr lang="th-TH" sz="1100">
                        <a:solidFill>
                          <a:schemeClr val="tx1"/>
                        </a:solidFill>
                      </a:rPr>
                      <a:pPr algn="ctr"/>
                      <a:t> </a:t>
                    </a:fld>
                    <a:endParaRPr lang="th-TH" sz="1100">
                      <a:solidFill>
                        <a:schemeClr val="tx1"/>
                      </a:solidFill>
                    </a:endParaRPr>
                  </a:p>
                </xdr:txBody>
              </xdr:sp>
            </xdr:grpSp>
            <xdr:sp macro="" textlink="$BI$21">
              <xdr:nvSpPr>
                <xdr:cNvPr id="408" name="Rectangle 407"/>
                <xdr:cNvSpPr/>
              </xdr:nvSpPr>
              <xdr:spPr>
                <a:xfrm>
                  <a:off x="15913100" y="8280400"/>
                  <a:ext cx="279400" cy="584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b"/>
                <a:lstStyle/>
                <a:p>
                  <a:pPr algn="ctr"/>
                  <a:fld id="{0B177206-D306-495B-B99D-877450A9EC9E}" type="TxLink">
                    <a:rPr lang="th-TH" sz="1100">
                      <a:solidFill>
                        <a:schemeClr val="tx1"/>
                      </a:solidFill>
                    </a:rPr>
                    <a:pPr algn="ctr"/>
                    <a:t> </a:t>
                  </a:fld>
                  <a:endParaRPr lang="th-TH" sz="1100">
                    <a:solidFill>
                      <a:schemeClr val="tx1"/>
                    </a:solidFill>
                  </a:endParaRPr>
                </a:p>
              </xdr:txBody>
            </xdr:sp>
            <xdr:sp macro="" textlink="$BI$22">
              <xdr:nvSpPr>
                <xdr:cNvPr id="409" name="Rectangle 408"/>
                <xdr:cNvSpPr/>
              </xdr:nvSpPr>
              <xdr:spPr>
                <a:xfrm>
                  <a:off x="15940669" y="7797800"/>
                  <a:ext cx="279400" cy="68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b"/>
                <a:lstStyle/>
                <a:p>
                  <a:pPr algn="ctr"/>
                  <a:fld id="{8DBE22DD-B1FB-4267-9D3F-C5CEB48234A0}" type="TxLink">
                    <a:rPr lang="th-TH" sz="1100">
                      <a:solidFill>
                        <a:schemeClr val="tx1"/>
                      </a:solidFill>
                    </a:rPr>
                    <a:pPr algn="ctr"/>
                    <a:t>60 cm.</a:t>
                  </a:fld>
                  <a:endParaRPr lang="th-TH" sz="1100">
                    <a:solidFill>
                      <a:schemeClr val="tx1"/>
                    </a:solidFill>
                  </a:endParaRPr>
                </a:p>
              </xdr:txBody>
            </xdr:sp>
            <xdr:sp macro="" textlink="$BI$23">
              <xdr:nvSpPr>
                <xdr:cNvPr id="418" name="Rectangle 417"/>
                <xdr:cNvSpPr/>
              </xdr:nvSpPr>
              <xdr:spPr>
                <a:xfrm>
                  <a:off x="15963900" y="7277100"/>
                  <a:ext cx="279400" cy="584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fld id="{40B362A5-B5EB-4B79-B4CB-D36B19FCF077}" type="TxLink">
                    <a:rPr lang="th-TH" sz="1100">
                      <a:solidFill>
                        <a:schemeClr val="tx1"/>
                      </a:solidFill>
                    </a:rPr>
                    <a:pPr algn="ctr"/>
                    <a:t> </a:t>
                  </a:fld>
                  <a:endParaRPr lang="th-TH" sz="1100">
                    <a:solidFill>
                      <a:schemeClr val="tx1"/>
                    </a:solidFill>
                  </a:endParaRPr>
                </a:p>
              </xdr:txBody>
            </xdr:sp>
          </xdr:grpSp>
          <xdr:sp macro="" textlink="BJ$21">
            <xdr:nvSpPr>
              <xdr:cNvPr id="402" name="Rectangle 401"/>
              <xdr:cNvSpPr/>
            </xdr:nvSpPr>
            <xdr:spPr>
              <a:xfrm>
                <a:off x="9390065" y="14703502"/>
                <a:ext cx="279400" cy="584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fld id="{761566BF-5C34-42A2-851F-D3DF621E73EB}" type="TxLink">
                  <a:rPr lang="th-TH" sz="1100">
                    <a:solidFill>
                      <a:schemeClr val="tx1"/>
                    </a:solidFill>
                  </a:rPr>
                  <a:pPr algn="ctr"/>
                  <a:t> </a:t>
                </a:fld>
                <a:endParaRPr lang="th-TH" sz="1100">
                  <a:solidFill>
                    <a:schemeClr val="tx1"/>
                  </a:solidFill>
                </a:endParaRPr>
              </a:p>
            </xdr:txBody>
          </xdr:sp>
          <xdr:sp macro="" textlink="BJ$22">
            <xdr:nvSpPr>
              <xdr:cNvPr id="403" name="Rectangle 402"/>
              <xdr:cNvSpPr/>
            </xdr:nvSpPr>
            <xdr:spPr>
              <a:xfrm>
                <a:off x="9393240" y="14236777"/>
                <a:ext cx="279400" cy="584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fld id="{DBA6F244-BACA-44FB-A6BB-BF57C81282D2}" type="TxLink">
                  <a:rPr lang="th-TH" sz="1100">
                    <a:solidFill>
                      <a:schemeClr val="tx1"/>
                    </a:solidFill>
                  </a:rPr>
                  <a:pPr algn="ctr"/>
                  <a:t> </a:t>
                </a:fld>
                <a:endParaRPr lang="th-TH" sz="1100">
                  <a:solidFill>
                    <a:schemeClr val="tx1"/>
                  </a:solidFill>
                </a:endParaRPr>
              </a:p>
            </xdr:txBody>
          </xdr:sp>
          <xdr:sp macro="" textlink="BJ$23">
            <xdr:nvSpPr>
              <xdr:cNvPr id="404" name="Rectangle 403"/>
              <xdr:cNvSpPr/>
            </xdr:nvSpPr>
            <xdr:spPr>
              <a:xfrm>
                <a:off x="9402765" y="13814502"/>
                <a:ext cx="279400" cy="584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fld id="{4374C417-1617-4551-AB77-A73F5CCF8A60}" type="TxLink">
                  <a:rPr lang="th-TH" sz="1100">
                    <a:solidFill>
                      <a:schemeClr val="tx1"/>
                    </a:solidFill>
                  </a:rPr>
                  <a:pPr algn="ctr"/>
                  <a:t> </a:t>
                </a:fld>
                <a:endParaRPr lang="th-TH" sz="1100">
                  <a:solidFill>
                    <a:schemeClr val="tx1"/>
                  </a:solidFill>
                </a:endParaRPr>
              </a:p>
            </xdr:txBody>
          </xdr:sp>
        </xdr:grpSp>
        <xdr:grpSp>
          <xdr:nvGrpSpPr>
            <xdr:cNvPr id="469" name="Group 468"/>
            <xdr:cNvGrpSpPr/>
          </xdr:nvGrpSpPr>
          <xdr:grpSpPr>
            <a:xfrm>
              <a:off x="20681250" y="11296315"/>
              <a:ext cx="3017152" cy="4318549"/>
              <a:chOff x="17345964" y="15653945"/>
              <a:chExt cx="2589700" cy="3994753"/>
            </a:xfrm>
          </xdr:grpSpPr>
          <xdr:sp macro="" textlink="">
            <xdr:nvSpPr>
              <xdr:cNvPr id="397" name="TextBox 396"/>
              <xdr:cNvSpPr txBox="1"/>
            </xdr:nvSpPr>
            <xdr:spPr>
              <a:xfrm>
                <a:off x="17345964" y="15653945"/>
                <a:ext cx="2519105" cy="3994753"/>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th-TH" sz="1100"/>
              </a:p>
            </xdr:txBody>
          </xdr:sp>
          <xdr:sp macro="" textlink="$BF$32">
            <xdr:nvSpPr>
              <xdr:cNvPr id="398" name="Rectangle 397"/>
              <xdr:cNvSpPr/>
            </xdr:nvSpPr>
            <xdr:spPr>
              <a:xfrm>
                <a:off x="18279999" y="18950354"/>
                <a:ext cx="435806" cy="2412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E2BEDD81-93FC-432E-A826-3D68709504DF}" type="TxLink">
                  <a:rPr lang="th-TH" sz="1200" b="1">
                    <a:solidFill>
                      <a:schemeClr val="tx1"/>
                    </a:solidFill>
                  </a:rPr>
                  <a:pPr algn="ctr"/>
                  <a:t>DB</a:t>
                </a:fld>
                <a:endParaRPr lang="th-TH" sz="1200" b="1">
                  <a:solidFill>
                    <a:schemeClr val="tx1"/>
                  </a:solidFill>
                </a:endParaRPr>
              </a:p>
            </xdr:txBody>
          </xdr:sp>
          <xdr:sp macro="" textlink="$BG$32">
            <xdr:nvSpPr>
              <xdr:cNvPr id="399" name="Rectangle 398"/>
              <xdr:cNvSpPr/>
            </xdr:nvSpPr>
            <xdr:spPr>
              <a:xfrm>
                <a:off x="18531984" y="18958931"/>
                <a:ext cx="70121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BFDE87A8-6FA5-40E9-98B4-C56AB2BDD596}" type="TxLink">
                  <a:rPr lang="th-TH" sz="1100" b="0">
                    <a:solidFill>
                      <a:schemeClr val="tx1"/>
                    </a:solidFill>
                  </a:rPr>
                  <a:pPr algn="ctr"/>
                  <a:t>ø  12 mm.</a:t>
                </a:fld>
                <a:endParaRPr lang="th-TH" sz="1100" b="0">
                  <a:solidFill>
                    <a:schemeClr val="tx1"/>
                  </a:solidFill>
                </a:endParaRPr>
              </a:p>
            </xdr:txBody>
          </xdr:sp>
          <xdr:sp macro="" textlink="$BH$32">
            <xdr:nvSpPr>
              <xdr:cNvPr id="400" name="Rectangle 399"/>
              <xdr:cNvSpPr/>
            </xdr:nvSpPr>
            <xdr:spPr>
              <a:xfrm>
                <a:off x="18933032" y="18958958"/>
                <a:ext cx="1002632"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EF0EA3C7-C2D1-46EA-923F-DA9A7FE73193}" type="TxLink">
                  <a:rPr lang="th-TH" sz="1100">
                    <a:solidFill>
                      <a:schemeClr val="tx1"/>
                    </a:solidFill>
                  </a:rPr>
                  <a:pPr algn="ctr"/>
                  <a:t>@9.0 cm.</a:t>
                </a:fld>
                <a:endParaRPr lang="th-TH" sz="1100">
                  <a:solidFill>
                    <a:schemeClr val="tx1"/>
                  </a:solidFill>
                </a:endParaRPr>
              </a:p>
            </xdr:txBody>
          </xdr:sp>
          <xdr:sp macro="" textlink="">
            <xdr:nvSpPr>
              <xdr:cNvPr id="406" name="Rectangle 405"/>
              <xdr:cNvSpPr/>
            </xdr:nvSpPr>
            <xdr:spPr>
              <a:xfrm>
                <a:off x="17711393" y="18590034"/>
                <a:ext cx="718553" cy="28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lang="en-US" sz="1400" b="1">
                    <a:solidFill>
                      <a:srgbClr val="FF0000"/>
                    </a:solidFill>
                  </a:rPr>
                  <a:t>Strirup</a:t>
                </a:r>
                <a:endParaRPr lang="th-TH" sz="1400" b="1">
                  <a:solidFill>
                    <a:srgbClr val="FF0000"/>
                  </a:solidFill>
                </a:endParaRPr>
              </a:p>
            </xdr:txBody>
          </xdr:sp>
          <xdr:sp macro="" textlink="$BF$34">
            <xdr:nvSpPr>
              <xdr:cNvPr id="407" name="Rectangle 406"/>
              <xdr:cNvSpPr/>
            </xdr:nvSpPr>
            <xdr:spPr>
              <a:xfrm>
                <a:off x="17690288" y="17938321"/>
                <a:ext cx="718553" cy="28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C0560F31-0314-4E82-8253-36F938FFFBD0}" type="TxLink">
                  <a:rPr lang="th-TH" sz="1400" b="1">
                    <a:solidFill>
                      <a:srgbClr val="FF0000"/>
                    </a:solidFill>
                  </a:rPr>
                  <a:pPr algn="l"/>
                  <a:t>Under</a:t>
                </a:fld>
                <a:endParaRPr lang="th-TH" sz="1400" b="1">
                  <a:solidFill>
                    <a:srgbClr val="FF0000"/>
                  </a:solidFill>
                </a:endParaRPr>
              </a:p>
            </xdr:txBody>
          </xdr:sp>
          <xdr:sp macro="" textlink="$BG$34">
            <xdr:nvSpPr>
              <xdr:cNvPr id="410" name="Rectangle 409"/>
              <xdr:cNvSpPr/>
            </xdr:nvSpPr>
            <xdr:spPr>
              <a:xfrm>
                <a:off x="18411195" y="18252632"/>
                <a:ext cx="300790" cy="2840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21FEAC0B-C944-423F-9822-EBE12C9BD3DF}" type="TxLink">
                  <a:rPr lang="th-TH" sz="1100">
                    <a:solidFill>
                      <a:schemeClr val="tx1"/>
                    </a:solidFill>
                  </a:rPr>
                  <a:pPr algn="ctr"/>
                  <a:t>5</a:t>
                </a:fld>
                <a:endParaRPr lang="th-TH" sz="1100">
                  <a:solidFill>
                    <a:schemeClr val="tx1"/>
                  </a:solidFill>
                </a:endParaRPr>
              </a:p>
            </xdr:txBody>
          </xdr:sp>
          <xdr:sp macro="" textlink="$BH$34">
            <xdr:nvSpPr>
              <xdr:cNvPr id="411" name="Rectangle 410"/>
              <xdr:cNvSpPr/>
            </xdr:nvSpPr>
            <xdr:spPr>
              <a:xfrm>
                <a:off x="18684612" y="18245104"/>
                <a:ext cx="391528" cy="28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2DE0A66E-8FD8-47C5-A706-16AEEA15ED1C}" type="TxLink">
                  <a:rPr lang="th-TH" sz="1200" b="1">
                    <a:solidFill>
                      <a:schemeClr val="bg2">
                        <a:lumMod val="10000"/>
                      </a:schemeClr>
                    </a:solidFill>
                  </a:rPr>
                  <a:pPr algn="ctr"/>
                  <a:t>DB</a:t>
                </a:fld>
                <a:endParaRPr lang="th-TH" sz="1200" b="1">
                  <a:solidFill>
                    <a:schemeClr val="bg2">
                      <a:lumMod val="10000"/>
                    </a:schemeClr>
                  </a:solidFill>
                </a:endParaRPr>
              </a:p>
            </xdr:txBody>
          </xdr:sp>
          <xdr:sp macro="" textlink="$BI$34">
            <xdr:nvSpPr>
              <xdr:cNvPr id="412" name="Rectangle 411"/>
              <xdr:cNvSpPr/>
            </xdr:nvSpPr>
            <xdr:spPr>
              <a:xfrm>
                <a:off x="19090603" y="18285986"/>
                <a:ext cx="778211" cy="3007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fld id="{B62C7B70-AC76-4935-891B-46F9BAB6EBE8}" type="TxLink">
                  <a:rPr lang="th-TH" sz="1000">
                    <a:solidFill>
                      <a:schemeClr val="tx1"/>
                    </a:solidFill>
                  </a:rPr>
                  <a:pPr algn="l"/>
                  <a:t>ø  20 mm.</a:t>
                </a:fld>
                <a:endParaRPr lang="th-TH" sz="1000">
                  <a:solidFill>
                    <a:schemeClr val="tx1"/>
                  </a:solidFill>
                </a:endParaRPr>
              </a:p>
            </xdr:txBody>
          </xdr:sp>
          <xdr:sp macro="" textlink="$BF$36">
            <xdr:nvSpPr>
              <xdr:cNvPr id="413" name="Rectangle 412"/>
              <xdr:cNvSpPr/>
            </xdr:nvSpPr>
            <xdr:spPr>
              <a:xfrm>
                <a:off x="17688523" y="17034511"/>
                <a:ext cx="718553" cy="28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365B3782-2254-4162-9968-5274578FD380}" type="TxLink">
                  <a:rPr lang="th-TH" sz="1400" b="1">
                    <a:solidFill>
                      <a:srgbClr val="FF0000"/>
                    </a:solidFill>
                  </a:rPr>
                  <a:pPr algn="l"/>
                  <a:t>Middle</a:t>
                </a:fld>
                <a:endParaRPr lang="th-TH" sz="1400" b="1">
                  <a:solidFill>
                    <a:srgbClr val="FF0000"/>
                  </a:solidFill>
                </a:endParaRPr>
              </a:p>
            </xdr:txBody>
          </xdr:sp>
          <xdr:sp macro="" textlink="$BG$36">
            <xdr:nvSpPr>
              <xdr:cNvPr id="414" name="Rectangle 413"/>
              <xdr:cNvSpPr/>
            </xdr:nvSpPr>
            <xdr:spPr>
              <a:xfrm>
                <a:off x="18331445" y="17328816"/>
                <a:ext cx="300790" cy="2840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1B3707E-3994-491C-8008-2FF2EC1BF68D}" type="TxLink">
                  <a:rPr lang="th-TH" sz="1100">
                    <a:solidFill>
                      <a:schemeClr val="tx1"/>
                    </a:solidFill>
                  </a:rPr>
                  <a:pPr algn="ctr"/>
                  <a:t>4</a:t>
                </a:fld>
                <a:endParaRPr lang="th-TH" sz="1100">
                  <a:solidFill>
                    <a:schemeClr val="tx1"/>
                  </a:solidFill>
                </a:endParaRPr>
              </a:p>
            </xdr:txBody>
          </xdr:sp>
          <xdr:sp macro="" textlink="$BI$36">
            <xdr:nvSpPr>
              <xdr:cNvPr id="415" name="Rectangle 414"/>
              <xdr:cNvSpPr/>
            </xdr:nvSpPr>
            <xdr:spPr>
              <a:xfrm>
                <a:off x="18665656" y="17307003"/>
                <a:ext cx="401053" cy="28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87143FAC-7149-4999-B779-C0CD09637A97}" type="TxLink">
                  <a:rPr lang="th-TH" sz="1200" b="1">
                    <a:solidFill>
                      <a:schemeClr val="tx1"/>
                    </a:solidFill>
                  </a:rPr>
                  <a:pPr algn="ctr"/>
                  <a:t>DB</a:t>
                </a:fld>
                <a:endParaRPr lang="th-TH" sz="1200" b="1">
                  <a:solidFill>
                    <a:schemeClr val="tx1"/>
                  </a:solidFill>
                </a:endParaRPr>
              </a:p>
            </xdr:txBody>
          </xdr:sp>
          <xdr:sp macro="" textlink="$BH$36">
            <xdr:nvSpPr>
              <xdr:cNvPr id="416" name="Rectangle 415"/>
              <xdr:cNvSpPr/>
            </xdr:nvSpPr>
            <xdr:spPr>
              <a:xfrm>
                <a:off x="19073894" y="17344302"/>
                <a:ext cx="778211" cy="3007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fld id="{6C69E236-9162-4A19-B34F-BA9EC570DFAB}" type="TxLink">
                  <a:rPr lang="th-TH" sz="1000">
                    <a:solidFill>
                      <a:schemeClr val="tx1"/>
                    </a:solidFill>
                  </a:rPr>
                  <a:pPr algn="l"/>
                  <a:t>ø  16 mm.</a:t>
                </a:fld>
                <a:endParaRPr lang="th-TH" sz="1000">
                  <a:solidFill>
                    <a:schemeClr val="tx1"/>
                  </a:solidFill>
                </a:endParaRPr>
              </a:p>
            </xdr:txBody>
          </xdr:sp>
          <xdr:sp macro="" textlink="$BF$38">
            <xdr:nvSpPr>
              <xdr:cNvPr id="417" name="Rectangle 416"/>
              <xdr:cNvSpPr/>
            </xdr:nvSpPr>
            <xdr:spPr>
              <a:xfrm>
                <a:off x="17712333" y="16066745"/>
                <a:ext cx="1187897" cy="3676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56673C94-E9E1-4D40-8348-84A1B6B2013F}" type="TxLink">
                  <a:rPr lang="th-TH" sz="1400" b="1">
                    <a:solidFill>
                      <a:srgbClr val="FF0000"/>
                    </a:solidFill>
                  </a:rPr>
                  <a:pPr algn="l"/>
                  <a:t>Top</a:t>
                </a:fld>
                <a:endParaRPr lang="th-TH" sz="1400" b="1">
                  <a:solidFill>
                    <a:srgbClr val="FF0000"/>
                  </a:solidFill>
                </a:endParaRPr>
              </a:p>
            </xdr:txBody>
          </xdr:sp>
          <xdr:sp macro="" textlink="$BG$38">
            <xdr:nvSpPr>
              <xdr:cNvPr id="419" name="Rectangle 418"/>
              <xdr:cNvSpPr/>
            </xdr:nvSpPr>
            <xdr:spPr>
              <a:xfrm>
                <a:off x="18408924" y="16416983"/>
                <a:ext cx="300790" cy="2840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2C64E9AF-B6FA-4AA7-B420-41FE5FEC99F2}" type="TxLink">
                  <a:rPr lang="th-TH" sz="1100">
                    <a:solidFill>
                      <a:schemeClr val="tx1"/>
                    </a:solidFill>
                  </a:rPr>
                  <a:pPr algn="ctr"/>
                  <a:t>5</a:t>
                </a:fld>
                <a:endParaRPr lang="th-TH" sz="1100">
                  <a:solidFill>
                    <a:schemeClr val="tx1"/>
                  </a:solidFill>
                </a:endParaRPr>
              </a:p>
            </xdr:txBody>
          </xdr:sp>
          <xdr:sp macro="" textlink="$BH$38">
            <xdr:nvSpPr>
              <xdr:cNvPr id="424" name="Rectangle 423"/>
              <xdr:cNvSpPr/>
            </xdr:nvSpPr>
            <xdr:spPr>
              <a:xfrm>
                <a:off x="18682037" y="16393061"/>
                <a:ext cx="401053" cy="28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894BCF9A-78DB-4B3E-B3BE-15FBA45A4B85}" type="TxLink">
                  <a:rPr lang="th-TH" sz="1200" b="1">
                    <a:solidFill>
                      <a:schemeClr val="tx1"/>
                    </a:solidFill>
                  </a:rPr>
                  <a:pPr algn="ctr"/>
                  <a:t>DB</a:t>
                </a:fld>
                <a:endParaRPr lang="th-TH" sz="1200" b="1">
                  <a:solidFill>
                    <a:schemeClr val="tx1"/>
                  </a:solidFill>
                </a:endParaRPr>
              </a:p>
            </xdr:txBody>
          </xdr:sp>
          <xdr:sp macro="" textlink="$BI$38">
            <xdr:nvSpPr>
              <xdr:cNvPr id="429" name="Rectangle 428"/>
              <xdr:cNvSpPr/>
            </xdr:nvSpPr>
            <xdr:spPr>
              <a:xfrm>
                <a:off x="19057181" y="16425331"/>
                <a:ext cx="778211" cy="3007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fld id="{672881D2-A150-4364-BAC1-5FAFD129C84C}" type="TxLink">
                  <a:rPr lang="th-TH" sz="1000">
                    <a:solidFill>
                      <a:schemeClr val="tx1"/>
                    </a:solidFill>
                  </a:rPr>
                  <a:pPr algn="l"/>
                  <a:t>ø  16 mm.</a:t>
                </a:fld>
                <a:endParaRPr lang="th-TH" sz="1000">
                  <a:solidFill>
                    <a:schemeClr val="tx1"/>
                  </a:solidFill>
                </a:endParaRPr>
              </a:p>
            </xdr:txBody>
          </xdr:sp>
        </xdr:grpSp>
      </xdr:grpSp>
      <xdr:sp macro="" textlink="">
        <xdr:nvSpPr>
          <xdr:cNvPr id="446" name="TextBox 445"/>
          <xdr:cNvSpPr txBox="1"/>
        </xdr:nvSpPr>
        <xdr:spPr>
          <a:xfrm>
            <a:off x="7077408" y="11366678"/>
            <a:ext cx="6398625" cy="4228495"/>
          </a:xfrm>
          <a:prstGeom prst="rect">
            <a:avLst/>
          </a:prstGeom>
          <a:noFill/>
          <a:ln w="38100" cmpd="sng">
            <a:solidFill>
              <a:schemeClr val="accent5">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th-TH" sz="1100"/>
          </a:p>
        </xdr:txBody>
      </xdr:sp>
    </xdr:grpSp>
    <xdr:clientData/>
  </xdr:twoCellAnchor>
  <xdr:twoCellAnchor>
    <xdr:from>
      <xdr:col>2</xdr:col>
      <xdr:colOff>753157</xdr:colOff>
      <xdr:row>67</xdr:row>
      <xdr:rowOff>32009</xdr:rowOff>
    </xdr:from>
    <xdr:to>
      <xdr:col>2</xdr:col>
      <xdr:colOff>1450919</xdr:colOff>
      <xdr:row>67</xdr:row>
      <xdr:rowOff>231369</xdr:rowOff>
    </xdr:to>
    <xdr:sp macro="" textlink="">
      <xdr:nvSpPr>
        <xdr:cNvPr id="940" name="Pentagon 939">
          <a:hlinkClick xmlns:r="http://schemas.openxmlformats.org/officeDocument/2006/relationships" r:id="rId3"/>
        </xdr:cNvPr>
        <xdr:cNvSpPr/>
      </xdr:nvSpPr>
      <xdr:spPr>
        <a:xfrm>
          <a:off x="1757992" y="16172174"/>
          <a:ext cx="697762" cy="199360"/>
        </a:xfrm>
        <a:prstGeom prst="homePlate">
          <a:avLst/>
        </a:prstGeom>
        <a:ln>
          <a:solidFill>
            <a:schemeClr val="bg2">
              <a:lumMod val="90000"/>
            </a:schemeClr>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click 1</a:t>
          </a:r>
          <a:endParaRPr lang="th-TH" sz="1100"/>
        </a:p>
      </xdr:txBody>
    </xdr:sp>
    <xdr:clientData/>
  </xdr:twoCellAnchor>
  <xdr:twoCellAnchor>
    <xdr:from>
      <xdr:col>2</xdr:col>
      <xdr:colOff>753157</xdr:colOff>
      <xdr:row>71</xdr:row>
      <xdr:rowOff>43085</xdr:rowOff>
    </xdr:from>
    <xdr:to>
      <xdr:col>2</xdr:col>
      <xdr:colOff>1450919</xdr:colOff>
      <xdr:row>71</xdr:row>
      <xdr:rowOff>242445</xdr:rowOff>
    </xdr:to>
    <xdr:sp macro="" textlink="">
      <xdr:nvSpPr>
        <xdr:cNvPr id="953" name="Pentagon 952">
          <a:hlinkClick xmlns:r="http://schemas.openxmlformats.org/officeDocument/2006/relationships" r:id="rId4"/>
        </xdr:cNvPr>
        <xdr:cNvSpPr/>
      </xdr:nvSpPr>
      <xdr:spPr>
        <a:xfrm>
          <a:off x="1757992" y="17188085"/>
          <a:ext cx="697762" cy="199360"/>
        </a:xfrm>
        <a:prstGeom prst="homePlate">
          <a:avLst/>
        </a:prstGeom>
        <a:ln>
          <a:solidFill>
            <a:schemeClr val="bg2">
              <a:lumMod val="75000"/>
            </a:schemeClr>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click 5</a:t>
          </a:r>
          <a:endParaRPr lang="th-TH" sz="1100"/>
        </a:p>
      </xdr:txBody>
    </xdr:sp>
    <xdr:clientData/>
  </xdr:twoCellAnchor>
  <xdr:twoCellAnchor>
    <xdr:from>
      <xdr:col>2</xdr:col>
      <xdr:colOff>33227</xdr:colOff>
      <xdr:row>66</xdr:row>
      <xdr:rowOff>11075</xdr:rowOff>
    </xdr:from>
    <xdr:to>
      <xdr:col>2</xdr:col>
      <xdr:colOff>1484128</xdr:colOff>
      <xdr:row>67</xdr:row>
      <xdr:rowOff>0</xdr:rowOff>
    </xdr:to>
    <xdr:sp macro="" textlink="">
      <xdr:nvSpPr>
        <xdr:cNvPr id="957" name="Rounded Rectangle 956"/>
        <xdr:cNvSpPr/>
      </xdr:nvSpPr>
      <xdr:spPr>
        <a:xfrm>
          <a:off x="1041105" y="15494738"/>
          <a:ext cx="1450901" cy="232588"/>
        </a:xfrm>
        <a:prstGeom prst="roundRect">
          <a:avLst/>
        </a:prstGeom>
        <a:ln>
          <a:solidFill>
            <a:schemeClr val="tx1"/>
          </a:solidFill>
        </a:ln>
        <a:effectLst>
          <a:outerShdw blurRad="50800" dist="38100" dir="5400000" algn="t" rotWithShape="0">
            <a:prstClr val="black">
              <a:alpha val="40000"/>
            </a:prst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cross section develop</a:t>
          </a:r>
          <a:endParaRPr lang="th-TH" sz="1100"/>
        </a:p>
      </xdr:txBody>
    </xdr:sp>
    <xdr:clientData/>
  </xdr:twoCellAnchor>
  <xdr:twoCellAnchor>
    <xdr:from>
      <xdr:col>2</xdr:col>
      <xdr:colOff>753157</xdr:colOff>
      <xdr:row>68</xdr:row>
      <xdr:rowOff>32009</xdr:rowOff>
    </xdr:from>
    <xdr:to>
      <xdr:col>2</xdr:col>
      <xdr:colOff>1450919</xdr:colOff>
      <xdr:row>68</xdr:row>
      <xdr:rowOff>231369</xdr:rowOff>
    </xdr:to>
    <xdr:sp macro="" textlink="">
      <xdr:nvSpPr>
        <xdr:cNvPr id="958" name="Pentagon 957">
          <a:hlinkClick xmlns:r="http://schemas.openxmlformats.org/officeDocument/2006/relationships" r:id="rId5"/>
        </xdr:cNvPr>
        <xdr:cNvSpPr/>
      </xdr:nvSpPr>
      <xdr:spPr>
        <a:xfrm>
          <a:off x="1757992" y="16423383"/>
          <a:ext cx="697762" cy="199360"/>
        </a:xfrm>
        <a:prstGeom prst="homePlate">
          <a:avLst/>
        </a:prstGeom>
        <a:ln>
          <a:solidFill>
            <a:schemeClr val="bg2">
              <a:lumMod val="75000"/>
            </a:schemeClr>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click 2</a:t>
          </a:r>
          <a:endParaRPr lang="th-TH" sz="1100"/>
        </a:p>
      </xdr:txBody>
    </xdr:sp>
    <xdr:clientData/>
  </xdr:twoCellAnchor>
  <xdr:twoCellAnchor>
    <xdr:from>
      <xdr:col>2</xdr:col>
      <xdr:colOff>753157</xdr:colOff>
      <xdr:row>69</xdr:row>
      <xdr:rowOff>32009</xdr:rowOff>
    </xdr:from>
    <xdr:to>
      <xdr:col>2</xdr:col>
      <xdr:colOff>1450919</xdr:colOff>
      <xdr:row>69</xdr:row>
      <xdr:rowOff>231369</xdr:rowOff>
    </xdr:to>
    <xdr:sp macro="" textlink="">
      <xdr:nvSpPr>
        <xdr:cNvPr id="959" name="Pentagon 958">
          <a:hlinkClick xmlns:r="http://schemas.openxmlformats.org/officeDocument/2006/relationships" r:id="rId6"/>
        </xdr:cNvPr>
        <xdr:cNvSpPr/>
      </xdr:nvSpPr>
      <xdr:spPr>
        <a:xfrm>
          <a:off x="1757992" y="16674591"/>
          <a:ext cx="697762" cy="199360"/>
        </a:xfrm>
        <a:prstGeom prst="homePlate">
          <a:avLst/>
        </a:prstGeom>
        <a:ln>
          <a:solidFill>
            <a:schemeClr val="bg2">
              <a:lumMod val="75000"/>
            </a:schemeClr>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click 3</a:t>
          </a:r>
          <a:endParaRPr lang="th-TH" sz="1100"/>
        </a:p>
      </xdr:txBody>
    </xdr:sp>
    <xdr:clientData/>
  </xdr:twoCellAnchor>
  <xdr:twoCellAnchor>
    <xdr:from>
      <xdr:col>2</xdr:col>
      <xdr:colOff>753157</xdr:colOff>
      <xdr:row>70</xdr:row>
      <xdr:rowOff>32009</xdr:rowOff>
    </xdr:from>
    <xdr:to>
      <xdr:col>2</xdr:col>
      <xdr:colOff>1450919</xdr:colOff>
      <xdr:row>70</xdr:row>
      <xdr:rowOff>231369</xdr:rowOff>
    </xdr:to>
    <xdr:sp macro="" textlink="">
      <xdr:nvSpPr>
        <xdr:cNvPr id="965" name="Pentagon 964">
          <a:hlinkClick xmlns:r="http://schemas.openxmlformats.org/officeDocument/2006/relationships" r:id="rId7"/>
        </xdr:cNvPr>
        <xdr:cNvSpPr/>
      </xdr:nvSpPr>
      <xdr:spPr>
        <a:xfrm>
          <a:off x="1757992" y="16925800"/>
          <a:ext cx="697762" cy="199360"/>
        </a:xfrm>
        <a:prstGeom prst="homePlate">
          <a:avLst/>
        </a:prstGeom>
        <a:ln>
          <a:solidFill>
            <a:schemeClr val="bg2">
              <a:lumMod val="75000"/>
            </a:schemeClr>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click 4</a:t>
          </a:r>
          <a:endParaRPr lang="th-TH" sz="1100"/>
        </a:p>
      </xdr:txBody>
    </xdr:sp>
    <xdr:clientData/>
  </xdr:twoCellAnchor>
  <xdr:twoCellAnchor>
    <xdr:from>
      <xdr:col>2</xdr:col>
      <xdr:colOff>753157</xdr:colOff>
      <xdr:row>72</xdr:row>
      <xdr:rowOff>32009</xdr:rowOff>
    </xdr:from>
    <xdr:to>
      <xdr:col>2</xdr:col>
      <xdr:colOff>1450919</xdr:colOff>
      <xdr:row>72</xdr:row>
      <xdr:rowOff>231369</xdr:rowOff>
    </xdr:to>
    <xdr:sp macro="" textlink="">
      <xdr:nvSpPr>
        <xdr:cNvPr id="967" name="Pentagon 966">
          <a:hlinkClick xmlns:r="http://schemas.openxmlformats.org/officeDocument/2006/relationships" r:id="rId8"/>
        </xdr:cNvPr>
        <xdr:cNvSpPr/>
      </xdr:nvSpPr>
      <xdr:spPr>
        <a:xfrm>
          <a:off x="1757992" y="17428218"/>
          <a:ext cx="697762" cy="199360"/>
        </a:xfrm>
        <a:prstGeom prst="homePlate">
          <a:avLst/>
        </a:prstGeom>
        <a:ln>
          <a:solidFill>
            <a:schemeClr val="bg2">
              <a:lumMod val="75000"/>
            </a:schemeClr>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click 6</a:t>
          </a:r>
          <a:endParaRPr lang="th-TH" sz="1100"/>
        </a:p>
      </xdr:txBody>
    </xdr:sp>
    <xdr:clientData/>
  </xdr:twoCellAnchor>
  <xdr:twoCellAnchor editAs="oneCell">
    <xdr:from>
      <xdr:col>2</xdr:col>
      <xdr:colOff>26825</xdr:colOff>
      <xdr:row>0</xdr:row>
      <xdr:rowOff>19050</xdr:rowOff>
    </xdr:from>
    <xdr:to>
      <xdr:col>2</xdr:col>
      <xdr:colOff>756430</xdr:colOff>
      <xdr:row>1</xdr:row>
      <xdr:rowOff>269925</xdr:rowOff>
    </xdr:to>
    <xdr:pic>
      <xdr:nvPicPr>
        <xdr:cNvPr id="447" name="Picture 446" descr="SAU_LOGO2.jpg"/>
        <xdr:cNvPicPr>
          <a:picLocks noChangeAspect="1"/>
        </xdr:cNvPicPr>
      </xdr:nvPicPr>
      <xdr:blipFill>
        <a:blip xmlns:r="http://schemas.openxmlformats.org/officeDocument/2006/relationships" r:embed="rId9"/>
        <a:stretch>
          <a:fillRect/>
        </a:stretch>
      </xdr:blipFill>
      <xdr:spPr>
        <a:xfrm>
          <a:off x="884075" y="19050"/>
          <a:ext cx="729605" cy="565200"/>
        </a:xfrm>
        <a:prstGeom prst="rect">
          <a:avLst/>
        </a:prstGeom>
        <a:ln w="19050" cap="sq">
          <a:solidFill>
            <a:srgbClr val="002060"/>
          </a:solidFill>
          <a:prstDash val="solid"/>
          <a:miter lim="800000"/>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61</xdr:col>
      <xdr:colOff>619177</xdr:colOff>
      <xdr:row>104</xdr:row>
      <xdr:rowOff>26932</xdr:rowOff>
    </xdr:from>
    <xdr:to>
      <xdr:col>66</xdr:col>
      <xdr:colOff>599077</xdr:colOff>
      <xdr:row>110</xdr:row>
      <xdr:rowOff>94344</xdr:rowOff>
    </xdr:to>
    <xdr:grpSp>
      <xdr:nvGrpSpPr>
        <xdr:cNvPr id="481" name="Group 480"/>
        <xdr:cNvGrpSpPr/>
      </xdr:nvGrpSpPr>
      <xdr:grpSpPr>
        <a:xfrm>
          <a:off x="34079708" y="19509887"/>
          <a:ext cx="0" cy="1180723"/>
          <a:chOff x="5302465" y="14146111"/>
          <a:chExt cx="3409641" cy="1137026"/>
        </a:xfrm>
      </xdr:grpSpPr>
      <xdr:cxnSp macro="">
        <xdr:nvCxnSpPr>
          <xdr:cNvPr id="485" name="Straight Connector 484"/>
          <xdr:cNvCxnSpPr/>
        </xdr:nvCxnSpPr>
        <xdr:spPr>
          <a:xfrm>
            <a:off x="5970707" y="14597714"/>
            <a:ext cx="1798642" cy="1547"/>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487" name="Straight Connector 486"/>
          <xdr:cNvCxnSpPr/>
        </xdr:nvCxnSpPr>
        <xdr:spPr>
          <a:xfrm>
            <a:off x="5969967" y="14792026"/>
            <a:ext cx="1798642" cy="1547"/>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488" name="Straight Connector 487"/>
          <xdr:cNvCxnSpPr/>
        </xdr:nvCxnSpPr>
        <xdr:spPr>
          <a:xfrm>
            <a:off x="5969966" y="14316453"/>
            <a:ext cx="1798642" cy="1547"/>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00" name="Straight Connector 499"/>
          <xdr:cNvCxnSpPr/>
        </xdr:nvCxnSpPr>
        <xdr:spPr>
          <a:xfrm>
            <a:off x="5606993" y="14229015"/>
            <a:ext cx="356968"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01" name="Straight Connector 500"/>
          <xdr:cNvCxnSpPr/>
        </xdr:nvCxnSpPr>
        <xdr:spPr>
          <a:xfrm>
            <a:off x="5608197" y="14935193"/>
            <a:ext cx="357586"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02" name="Straight Connector 501"/>
          <xdr:cNvCxnSpPr/>
        </xdr:nvCxnSpPr>
        <xdr:spPr>
          <a:xfrm flipV="1">
            <a:off x="7765154" y="14226714"/>
            <a:ext cx="357583"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03" name="Straight Connector 502"/>
          <xdr:cNvCxnSpPr/>
        </xdr:nvCxnSpPr>
        <xdr:spPr>
          <a:xfrm>
            <a:off x="7767059" y="14933740"/>
            <a:ext cx="357583"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04" name="Straight Connector 503"/>
          <xdr:cNvCxnSpPr/>
        </xdr:nvCxnSpPr>
        <xdr:spPr>
          <a:xfrm rot="16200000" flipH="1">
            <a:off x="5610295" y="14585315"/>
            <a:ext cx="70544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05" name="Straight Connector 504"/>
          <xdr:cNvCxnSpPr/>
        </xdr:nvCxnSpPr>
        <xdr:spPr>
          <a:xfrm rot="5400000">
            <a:off x="5253460" y="14581906"/>
            <a:ext cx="70544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06" name="Straight Connector 505"/>
          <xdr:cNvCxnSpPr/>
        </xdr:nvCxnSpPr>
        <xdr:spPr>
          <a:xfrm rot="5400000">
            <a:off x="7415981" y="14575453"/>
            <a:ext cx="70544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07" name="Straight Connector 506"/>
          <xdr:cNvCxnSpPr/>
        </xdr:nvCxnSpPr>
        <xdr:spPr>
          <a:xfrm rot="5400000">
            <a:off x="7773566" y="14579437"/>
            <a:ext cx="70544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08" name="Straight Connector 507"/>
          <xdr:cNvCxnSpPr/>
        </xdr:nvCxnSpPr>
        <xdr:spPr>
          <a:xfrm>
            <a:off x="5669402" y="14297632"/>
            <a:ext cx="251486" cy="1547"/>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09" name="Straight Connector 508"/>
          <xdr:cNvCxnSpPr/>
        </xdr:nvCxnSpPr>
        <xdr:spPr>
          <a:xfrm>
            <a:off x="5664230" y="14880434"/>
            <a:ext cx="251486" cy="1547"/>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11" name="Straight Connector 510"/>
          <xdr:cNvCxnSpPr/>
        </xdr:nvCxnSpPr>
        <xdr:spPr>
          <a:xfrm>
            <a:off x="7828688" y="14291856"/>
            <a:ext cx="248294" cy="1547"/>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13" name="Straight Connector 512"/>
          <xdr:cNvCxnSpPr/>
        </xdr:nvCxnSpPr>
        <xdr:spPr>
          <a:xfrm>
            <a:off x="7827721" y="14878882"/>
            <a:ext cx="248294" cy="1547"/>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15" name="Straight Connector 514"/>
          <xdr:cNvCxnSpPr/>
        </xdr:nvCxnSpPr>
        <xdr:spPr>
          <a:xfrm rot="5400000">
            <a:off x="5383492" y="14592713"/>
            <a:ext cx="581103"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16" name="Straight Connector 515"/>
          <xdr:cNvCxnSpPr/>
        </xdr:nvCxnSpPr>
        <xdr:spPr>
          <a:xfrm rot="16200000" flipH="1">
            <a:off x="5624367" y="14590827"/>
            <a:ext cx="581103"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17" name="Straight Connector 516"/>
          <xdr:cNvCxnSpPr/>
        </xdr:nvCxnSpPr>
        <xdr:spPr>
          <a:xfrm rot="5400000">
            <a:off x="7543213" y="14587143"/>
            <a:ext cx="581103"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19" name="Straight Connector 518"/>
          <xdr:cNvCxnSpPr/>
        </xdr:nvCxnSpPr>
        <xdr:spPr>
          <a:xfrm rot="5400000">
            <a:off x="7787323" y="14583960"/>
            <a:ext cx="581103" cy="0"/>
          </a:xfrm>
          <a:prstGeom prst="line">
            <a:avLst/>
          </a:prstGeom>
        </xdr:spPr>
        <xdr:style>
          <a:lnRef idx="1">
            <a:schemeClr val="accent1"/>
          </a:lnRef>
          <a:fillRef idx="0">
            <a:schemeClr val="accent1"/>
          </a:fillRef>
          <a:effectRef idx="0">
            <a:schemeClr val="accent1"/>
          </a:effectRef>
          <a:fontRef idx="minor">
            <a:schemeClr val="tx1"/>
          </a:fontRef>
        </xdr:style>
      </xdr:cxnSp>
      <xdr:graphicFrame macro="">
        <xdr:nvGraphicFramePr>
          <xdr:cNvPr id="521" name="Chart 520"/>
          <xdr:cNvGraphicFramePr/>
        </xdr:nvGraphicFramePr>
        <xdr:xfrm>
          <a:off x="5302465" y="14146111"/>
          <a:ext cx="3409641" cy="1137026"/>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61</xdr:col>
      <xdr:colOff>590697</xdr:colOff>
      <xdr:row>111</xdr:row>
      <xdr:rowOff>28275</xdr:rowOff>
    </xdr:from>
    <xdr:to>
      <xdr:col>66</xdr:col>
      <xdr:colOff>581278</xdr:colOff>
      <xdr:row>117</xdr:row>
      <xdr:rowOff>65994</xdr:rowOff>
    </xdr:to>
    <xdr:grpSp>
      <xdr:nvGrpSpPr>
        <xdr:cNvPr id="587" name="Group 586"/>
        <xdr:cNvGrpSpPr/>
      </xdr:nvGrpSpPr>
      <xdr:grpSpPr>
        <a:xfrm>
          <a:off x="34079708" y="20810093"/>
          <a:ext cx="0" cy="1151031"/>
          <a:chOff x="6239847" y="20323239"/>
          <a:chExt cx="3441397" cy="1175422"/>
        </a:xfrm>
      </xdr:grpSpPr>
      <xdr:cxnSp macro="">
        <xdr:nvCxnSpPr>
          <xdr:cNvPr id="524" name="Straight Connector 523"/>
          <xdr:cNvCxnSpPr/>
        </xdr:nvCxnSpPr>
        <xdr:spPr>
          <a:xfrm>
            <a:off x="6914313" y="20790092"/>
            <a:ext cx="1815394" cy="1599"/>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27" name="Straight Connector 526"/>
          <xdr:cNvCxnSpPr/>
        </xdr:nvCxnSpPr>
        <xdr:spPr>
          <a:xfrm>
            <a:off x="6913566" y="20990966"/>
            <a:ext cx="1815394" cy="1599"/>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28" name="Straight Connector 527"/>
          <xdr:cNvCxnSpPr/>
        </xdr:nvCxnSpPr>
        <xdr:spPr>
          <a:xfrm>
            <a:off x="6913565" y="20499333"/>
            <a:ext cx="1815394" cy="1599"/>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29" name="Straight Connector 528"/>
          <xdr:cNvCxnSpPr/>
        </xdr:nvCxnSpPr>
        <xdr:spPr>
          <a:xfrm>
            <a:off x="6547211" y="20408943"/>
            <a:ext cx="360293"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35" name="Straight Connector 534"/>
          <xdr:cNvCxnSpPr/>
        </xdr:nvCxnSpPr>
        <xdr:spPr>
          <a:xfrm>
            <a:off x="6548426" y="21138967"/>
            <a:ext cx="360916"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36" name="Straight Connector 535"/>
          <xdr:cNvCxnSpPr/>
        </xdr:nvCxnSpPr>
        <xdr:spPr>
          <a:xfrm flipV="1">
            <a:off x="8725472" y="20406564"/>
            <a:ext cx="360913"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43" name="Straight Connector 542"/>
          <xdr:cNvCxnSpPr/>
        </xdr:nvCxnSpPr>
        <xdr:spPr>
          <a:xfrm>
            <a:off x="8727395" y="21137465"/>
            <a:ext cx="360913"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44" name="Straight Connector 543"/>
          <xdr:cNvCxnSpPr/>
        </xdr:nvCxnSpPr>
        <xdr:spPr>
          <a:xfrm rot="16200000" flipH="1">
            <a:off x="6541918" y="20777274"/>
            <a:ext cx="729262"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46" name="Straight Connector 545"/>
          <xdr:cNvCxnSpPr/>
        </xdr:nvCxnSpPr>
        <xdr:spPr>
          <a:xfrm rot="5400000">
            <a:off x="6181760" y="20773750"/>
            <a:ext cx="729262"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47" name="Straight Connector 546"/>
          <xdr:cNvCxnSpPr/>
        </xdr:nvCxnSpPr>
        <xdr:spPr>
          <a:xfrm rot="5400000">
            <a:off x="8364422" y="20767079"/>
            <a:ext cx="729262"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48" name="Straight Connector 547"/>
          <xdr:cNvCxnSpPr/>
        </xdr:nvCxnSpPr>
        <xdr:spPr>
          <a:xfrm rot="5400000">
            <a:off x="8725337" y="20771198"/>
            <a:ext cx="729262"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49" name="Straight Connector 548"/>
          <xdr:cNvCxnSpPr/>
        </xdr:nvCxnSpPr>
        <xdr:spPr>
          <a:xfrm>
            <a:off x="6610202" y="20479877"/>
            <a:ext cx="253828" cy="1599"/>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50" name="Straight Connector 549"/>
          <xdr:cNvCxnSpPr/>
        </xdr:nvCxnSpPr>
        <xdr:spPr>
          <a:xfrm>
            <a:off x="6604981" y="21082359"/>
            <a:ext cx="253828" cy="1599"/>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52" name="Straight Connector 551"/>
          <xdr:cNvCxnSpPr/>
        </xdr:nvCxnSpPr>
        <xdr:spPr>
          <a:xfrm>
            <a:off x="8789598" y="20473906"/>
            <a:ext cx="250607" cy="1599"/>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53" name="Straight Connector 552"/>
          <xdr:cNvCxnSpPr/>
        </xdr:nvCxnSpPr>
        <xdr:spPr>
          <a:xfrm>
            <a:off x="8788622" y="21080755"/>
            <a:ext cx="250607" cy="1599"/>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54" name="Straight Connector 553"/>
          <xdr:cNvCxnSpPr/>
        </xdr:nvCxnSpPr>
        <xdr:spPr>
          <a:xfrm rot="5400000">
            <a:off x="6314523" y="20784922"/>
            <a:ext cx="600726"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55" name="Straight Connector 554"/>
          <xdr:cNvCxnSpPr/>
        </xdr:nvCxnSpPr>
        <xdr:spPr>
          <a:xfrm rot="16200000" flipH="1">
            <a:off x="6557642" y="20782973"/>
            <a:ext cx="600726"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56" name="Straight Connector 555"/>
          <xdr:cNvCxnSpPr/>
        </xdr:nvCxnSpPr>
        <xdr:spPr>
          <a:xfrm rot="5400000">
            <a:off x="8494359" y="20779164"/>
            <a:ext cx="600726"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69" name="Straight Connector 568"/>
          <xdr:cNvCxnSpPr/>
        </xdr:nvCxnSpPr>
        <xdr:spPr>
          <a:xfrm rot="5400000">
            <a:off x="8740742" y="20775874"/>
            <a:ext cx="600726" cy="0"/>
          </a:xfrm>
          <a:prstGeom prst="line">
            <a:avLst/>
          </a:prstGeom>
        </xdr:spPr>
        <xdr:style>
          <a:lnRef idx="1">
            <a:schemeClr val="accent1"/>
          </a:lnRef>
          <a:fillRef idx="0">
            <a:schemeClr val="accent1"/>
          </a:fillRef>
          <a:effectRef idx="0">
            <a:schemeClr val="accent1"/>
          </a:effectRef>
          <a:fontRef idx="minor">
            <a:schemeClr val="tx1"/>
          </a:fontRef>
        </xdr:style>
      </xdr:cxnSp>
      <xdr:graphicFrame macro="">
        <xdr:nvGraphicFramePr>
          <xdr:cNvPr id="570" name="Chart 569"/>
          <xdr:cNvGraphicFramePr/>
        </xdr:nvGraphicFramePr>
        <xdr:xfrm>
          <a:off x="6239847" y="20323239"/>
          <a:ext cx="3441397" cy="1175422"/>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3</xdr:col>
      <xdr:colOff>143780</xdr:colOff>
      <xdr:row>8</xdr:row>
      <xdr:rowOff>175713</xdr:rowOff>
    </xdr:from>
    <xdr:to>
      <xdr:col>15</xdr:col>
      <xdr:colOff>114824</xdr:colOff>
      <xdr:row>33</xdr:row>
      <xdr:rowOff>26334</xdr:rowOff>
    </xdr:to>
    <xdr:grpSp>
      <xdr:nvGrpSpPr>
        <xdr:cNvPr id="843" name="Group 842"/>
        <xdr:cNvGrpSpPr/>
      </xdr:nvGrpSpPr>
      <xdr:grpSpPr>
        <a:xfrm>
          <a:off x="1689163" y="1711376"/>
          <a:ext cx="5365304" cy="4467330"/>
          <a:chOff x="1174193" y="1010210"/>
          <a:chExt cx="5440822" cy="4232121"/>
        </a:xfrm>
      </xdr:grpSpPr>
      <xdr:grpSp>
        <xdr:nvGrpSpPr>
          <xdr:cNvPr id="153" name="Group 152"/>
          <xdr:cNvGrpSpPr/>
        </xdr:nvGrpSpPr>
        <xdr:grpSpPr>
          <a:xfrm>
            <a:off x="1174193" y="1010210"/>
            <a:ext cx="5440822" cy="4232121"/>
            <a:chOff x="1373463" y="1061641"/>
            <a:chExt cx="5434017" cy="3960000"/>
          </a:xfrm>
        </xdr:grpSpPr>
        <xdr:sp macro="" textlink="">
          <xdr:nvSpPr>
            <xdr:cNvPr id="186" name="Freeform 185"/>
            <xdr:cNvSpPr/>
          </xdr:nvSpPr>
          <xdr:spPr>
            <a:xfrm>
              <a:off x="2552959" y="2023759"/>
              <a:ext cx="122194" cy="46157"/>
            </a:xfrm>
            <a:custGeom>
              <a:avLst/>
              <a:gdLst>
                <a:gd name="connsiteX0" fmla="*/ 95026 w 95026"/>
                <a:gd name="connsiteY0" fmla="*/ 5590 h 46955"/>
                <a:gd name="connsiteX1" fmla="*/ 14533 w 95026"/>
                <a:gd name="connsiteY1" fmla="*/ 5590 h 46955"/>
                <a:gd name="connsiteX2" fmla="*/ 7825 w 95026"/>
                <a:gd name="connsiteY2" fmla="*/ 39129 h 46955"/>
                <a:gd name="connsiteX3" fmla="*/ 41364 w 95026"/>
                <a:gd name="connsiteY3" fmla="*/ 45837 h 46955"/>
                <a:gd name="connsiteX0" fmla="*/ 96890 w 121487"/>
                <a:gd name="connsiteY0" fmla="*/ 5687 h 47052"/>
                <a:gd name="connsiteX1" fmla="*/ 108072 w 121487"/>
                <a:gd name="connsiteY1" fmla="*/ 5105 h 47052"/>
                <a:gd name="connsiteX2" fmla="*/ 16397 w 121487"/>
                <a:gd name="connsiteY2" fmla="*/ 5687 h 47052"/>
                <a:gd name="connsiteX3" fmla="*/ 9689 w 121487"/>
                <a:gd name="connsiteY3" fmla="*/ 39226 h 47052"/>
                <a:gd name="connsiteX4" fmla="*/ 43228 w 121487"/>
                <a:gd name="connsiteY4" fmla="*/ 45934 h 4705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1487" h="47052">
                  <a:moveTo>
                    <a:pt x="96890" y="5687"/>
                  </a:moveTo>
                  <a:cubicBezTo>
                    <a:pt x="96470" y="5590"/>
                    <a:pt x="121487" y="5105"/>
                    <a:pt x="108072" y="5105"/>
                  </a:cubicBezTo>
                  <a:cubicBezTo>
                    <a:pt x="94657" y="5105"/>
                    <a:pt x="32794" y="0"/>
                    <a:pt x="16397" y="5687"/>
                  </a:cubicBezTo>
                  <a:cubicBezTo>
                    <a:pt x="0" y="11374"/>
                    <a:pt x="5217" y="32518"/>
                    <a:pt x="9689" y="39226"/>
                  </a:cubicBezTo>
                  <a:cubicBezTo>
                    <a:pt x="14161" y="45934"/>
                    <a:pt x="33166" y="47052"/>
                    <a:pt x="43228" y="45934"/>
                  </a:cubicBezTo>
                </a:path>
              </a:pathLst>
            </a:custGeom>
          </xdr:spPr>
          <xdr:style>
            <a:lnRef idx="1">
              <a:schemeClr val="accent2"/>
            </a:lnRef>
            <a:fillRef idx="0">
              <a:schemeClr val="accent2"/>
            </a:fillRef>
            <a:effectRef idx="0">
              <a:schemeClr val="accent2"/>
            </a:effectRef>
            <a:fontRef idx="minor">
              <a:schemeClr val="tx1"/>
            </a:fontRef>
          </xdr:style>
          <xdr:txBody>
            <a:bodyPr vertOverflow="clip" rtlCol="0" anchor="ctr"/>
            <a:lstStyle/>
            <a:p>
              <a:pPr algn="ctr"/>
              <a:endParaRPr lang="th-TH" sz="1100"/>
            </a:p>
          </xdr:txBody>
        </xdr:sp>
        <xdr:cxnSp macro="">
          <xdr:nvCxnSpPr>
            <xdr:cNvPr id="4" name="Straight Connector 3"/>
            <xdr:cNvCxnSpPr/>
          </xdr:nvCxnSpPr>
          <xdr:spPr>
            <a:xfrm>
              <a:off x="1787259" y="1974038"/>
              <a:ext cx="1138605" cy="0"/>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xdr:cNvCxnSpPr/>
          </xdr:nvCxnSpPr>
          <xdr:spPr>
            <a:xfrm rot="5400000">
              <a:off x="2756737" y="2142031"/>
              <a:ext cx="338255" cy="1573"/>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xdr:cNvCxnSpPr/>
          </xdr:nvCxnSpPr>
          <xdr:spPr>
            <a:xfrm>
              <a:off x="2925865" y="2312993"/>
              <a:ext cx="434604" cy="1439"/>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xdr:cNvCxnSpPr/>
          </xdr:nvCxnSpPr>
          <xdr:spPr>
            <a:xfrm rot="5400000">
              <a:off x="3208345" y="2462456"/>
              <a:ext cx="297563" cy="1573"/>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xdr:cNvCxnSpPr/>
          </xdr:nvCxnSpPr>
          <xdr:spPr>
            <a:xfrm rot="5400000">
              <a:off x="3647666" y="2753671"/>
              <a:ext cx="288689" cy="1573"/>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7" name="Straight Connector 16"/>
            <xdr:cNvCxnSpPr/>
          </xdr:nvCxnSpPr>
          <xdr:spPr>
            <a:xfrm rot="5400000">
              <a:off x="4073035" y="3046221"/>
              <a:ext cx="296867" cy="1573"/>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xdr:cNvCxnSpPr/>
          </xdr:nvCxnSpPr>
          <xdr:spPr>
            <a:xfrm rot="16200000" flipH="1">
              <a:off x="4693394" y="4235868"/>
              <a:ext cx="466806" cy="0"/>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xdr:cNvCxnSpPr/>
          </xdr:nvCxnSpPr>
          <xdr:spPr>
            <a:xfrm rot="5400000">
              <a:off x="5060750" y="4257615"/>
              <a:ext cx="444722" cy="0"/>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xdr:cNvCxnSpPr/>
          </xdr:nvCxnSpPr>
          <xdr:spPr>
            <a:xfrm rot="5400000">
              <a:off x="4506023" y="3350460"/>
              <a:ext cx="299022" cy="1573"/>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Straight Connector 20"/>
            <xdr:cNvCxnSpPr/>
          </xdr:nvCxnSpPr>
          <xdr:spPr>
            <a:xfrm rot="5400000">
              <a:off x="4935015" y="3671108"/>
              <a:ext cx="324484" cy="1573"/>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xdr:cNvCxnSpPr/>
          </xdr:nvCxnSpPr>
          <xdr:spPr>
            <a:xfrm>
              <a:off x="3356341" y="2610576"/>
              <a:ext cx="434606" cy="1439"/>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xdr:cNvCxnSpPr/>
          </xdr:nvCxnSpPr>
          <xdr:spPr>
            <a:xfrm>
              <a:off x="3791931" y="2895311"/>
              <a:ext cx="430549" cy="1439"/>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4" name="Straight Connector 23"/>
            <xdr:cNvCxnSpPr/>
          </xdr:nvCxnSpPr>
          <xdr:spPr>
            <a:xfrm>
              <a:off x="4220682" y="3197781"/>
              <a:ext cx="434606" cy="1439"/>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5" name="Straight Connector 24"/>
            <xdr:cNvCxnSpPr/>
          </xdr:nvCxnSpPr>
          <xdr:spPr>
            <a:xfrm>
              <a:off x="4656587" y="3502397"/>
              <a:ext cx="444580" cy="1439"/>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7" name="Straight Connector 26"/>
            <xdr:cNvCxnSpPr/>
          </xdr:nvCxnSpPr>
          <xdr:spPr>
            <a:xfrm>
              <a:off x="5101576" y="3830125"/>
              <a:ext cx="908942" cy="1439"/>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1" name="Straight Connector 30"/>
            <xdr:cNvCxnSpPr/>
          </xdr:nvCxnSpPr>
          <xdr:spPr>
            <a:xfrm rot="10800000" flipV="1">
              <a:off x="5282808" y="4036833"/>
              <a:ext cx="730771" cy="0"/>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3" name="Straight Connector 32"/>
            <xdr:cNvCxnSpPr/>
          </xdr:nvCxnSpPr>
          <xdr:spPr>
            <a:xfrm rot="10800000">
              <a:off x="2716279" y="2490344"/>
              <a:ext cx="2217197" cy="1511417"/>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4" name="Straight Connector 33"/>
            <xdr:cNvCxnSpPr/>
          </xdr:nvCxnSpPr>
          <xdr:spPr>
            <a:xfrm rot="5400000">
              <a:off x="2540169" y="2660062"/>
              <a:ext cx="336288" cy="0"/>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0" name="Straight Connector 39"/>
            <xdr:cNvCxnSpPr/>
          </xdr:nvCxnSpPr>
          <xdr:spPr>
            <a:xfrm rot="16200000" flipH="1">
              <a:off x="2037596" y="2512045"/>
              <a:ext cx="652974" cy="0"/>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6" name="Straight Connector 45"/>
            <xdr:cNvCxnSpPr/>
          </xdr:nvCxnSpPr>
          <xdr:spPr>
            <a:xfrm>
              <a:off x="1788425" y="2186423"/>
              <a:ext cx="582163" cy="1439"/>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2" name="Straight Connector 61"/>
            <xdr:cNvCxnSpPr/>
          </xdr:nvCxnSpPr>
          <xdr:spPr>
            <a:xfrm>
              <a:off x="2366343" y="2831405"/>
              <a:ext cx="348955" cy="1439"/>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5" name="Straight Connector 64"/>
            <xdr:cNvCxnSpPr/>
          </xdr:nvCxnSpPr>
          <xdr:spPr>
            <a:xfrm>
              <a:off x="4926994" y="4479973"/>
              <a:ext cx="355812" cy="1439"/>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1" name="Straight Connector 70"/>
            <xdr:cNvCxnSpPr/>
          </xdr:nvCxnSpPr>
          <xdr:spPr>
            <a:xfrm>
              <a:off x="2558047" y="2304361"/>
              <a:ext cx="2454919" cy="1676004"/>
            </a:xfrm>
            <a:prstGeom prst="line">
              <a:avLst/>
            </a:prstGeom>
          </xdr:spPr>
          <xdr:style>
            <a:lnRef idx="1">
              <a:schemeClr val="accent2"/>
            </a:lnRef>
            <a:fillRef idx="0">
              <a:schemeClr val="accent2"/>
            </a:fillRef>
            <a:effectRef idx="0">
              <a:schemeClr val="accent2"/>
            </a:effectRef>
            <a:fontRef idx="minor">
              <a:schemeClr val="tx1"/>
            </a:fontRef>
          </xdr:style>
        </xdr:cxnSp>
        <xdr:cxnSp macro="">
          <xdr:nvCxnSpPr>
            <xdr:cNvPr id="78" name="Straight Connector 77"/>
            <xdr:cNvCxnSpPr/>
          </xdr:nvCxnSpPr>
          <xdr:spPr>
            <a:xfrm>
              <a:off x="5008520" y="3982792"/>
              <a:ext cx="956882" cy="1439"/>
            </a:xfrm>
            <a:prstGeom prst="line">
              <a:avLst/>
            </a:prstGeom>
          </xdr:spPr>
          <xdr:style>
            <a:lnRef idx="1">
              <a:schemeClr val="accent2"/>
            </a:lnRef>
            <a:fillRef idx="0">
              <a:schemeClr val="accent2"/>
            </a:fillRef>
            <a:effectRef idx="0">
              <a:schemeClr val="accent2"/>
            </a:effectRef>
            <a:fontRef idx="minor">
              <a:schemeClr val="tx1"/>
            </a:fontRef>
          </xdr:style>
        </xdr:cxnSp>
        <xdr:cxnSp macro="">
          <xdr:nvCxnSpPr>
            <xdr:cNvPr id="87" name="Straight Connector 86"/>
            <xdr:cNvCxnSpPr/>
          </xdr:nvCxnSpPr>
          <xdr:spPr>
            <a:xfrm rot="5400000" flipH="1" flipV="1">
              <a:off x="2143723" y="2393068"/>
              <a:ext cx="603090" cy="784"/>
            </a:xfrm>
            <a:prstGeom prst="line">
              <a:avLst/>
            </a:prstGeom>
          </xdr:spPr>
          <xdr:style>
            <a:lnRef idx="1">
              <a:schemeClr val="accent2"/>
            </a:lnRef>
            <a:fillRef idx="0">
              <a:schemeClr val="accent2"/>
            </a:fillRef>
            <a:effectRef idx="0">
              <a:schemeClr val="accent2"/>
            </a:effectRef>
            <a:fontRef idx="minor">
              <a:schemeClr val="tx1"/>
            </a:fontRef>
          </xdr:style>
        </xdr:cxnSp>
        <xdr:cxnSp macro="">
          <xdr:nvCxnSpPr>
            <xdr:cNvPr id="89" name="Straight Connector 88"/>
            <xdr:cNvCxnSpPr/>
          </xdr:nvCxnSpPr>
          <xdr:spPr>
            <a:xfrm>
              <a:off x="2445274" y="2087744"/>
              <a:ext cx="714199" cy="475964"/>
            </a:xfrm>
            <a:prstGeom prst="line">
              <a:avLst/>
            </a:prstGeom>
          </xdr:spPr>
          <xdr:style>
            <a:lnRef idx="1">
              <a:schemeClr val="accent2"/>
            </a:lnRef>
            <a:fillRef idx="0">
              <a:schemeClr val="accent2"/>
            </a:fillRef>
            <a:effectRef idx="0">
              <a:schemeClr val="accent2"/>
            </a:effectRef>
            <a:fontRef idx="minor">
              <a:schemeClr val="tx1"/>
            </a:fontRef>
          </xdr:style>
        </xdr:cxnSp>
        <xdr:cxnSp macro="">
          <xdr:nvCxnSpPr>
            <xdr:cNvPr id="93" name="Straight Connector 92"/>
            <xdr:cNvCxnSpPr/>
          </xdr:nvCxnSpPr>
          <xdr:spPr>
            <a:xfrm rot="16200000" flipH="1">
              <a:off x="3101296" y="2619574"/>
              <a:ext cx="210220" cy="91771"/>
            </a:xfrm>
            <a:prstGeom prst="line">
              <a:avLst/>
            </a:prstGeom>
          </xdr:spPr>
          <xdr:style>
            <a:lnRef idx="1">
              <a:schemeClr val="accent2"/>
            </a:lnRef>
            <a:fillRef idx="0">
              <a:schemeClr val="accent2"/>
            </a:fillRef>
            <a:effectRef idx="0">
              <a:schemeClr val="accent2"/>
            </a:effectRef>
            <a:fontRef idx="minor">
              <a:schemeClr val="tx1"/>
            </a:fontRef>
          </xdr:style>
        </xdr:cxnSp>
        <xdr:cxnSp macro="">
          <xdr:nvCxnSpPr>
            <xdr:cNvPr id="95" name="Straight Connector 94"/>
            <xdr:cNvCxnSpPr/>
          </xdr:nvCxnSpPr>
          <xdr:spPr>
            <a:xfrm rot="5400000" flipH="1" flipV="1">
              <a:off x="5015757" y="4170877"/>
              <a:ext cx="401341" cy="1573"/>
            </a:xfrm>
            <a:prstGeom prst="line">
              <a:avLst/>
            </a:prstGeom>
          </xdr:spPr>
          <xdr:style>
            <a:lnRef idx="1">
              <a:schemeClr val="accent2"/>
            </a:lnRef>
            <a:fillRef idx="0">
              <a:schemeClr val="accent2"/>
            </a:fillRef>
            <a:effectRef idx="0">
              <a:schemeClr val="accent2"/>
            </a:effectRef>
            <a:fontRef idx="minor">
              <a:schemeClr val="tx1"/>
            </a:fontRef>
          </xdr:style>
        </xdr:cxnSp>
        <xdr:cxnSp macro="">
          <xdr:nvCxnSpPr>
            <xdr:cNvPr id="97" name="Straight Connector 96"/>
            <xdr:cNvCxnSpPr/>
          </xdr:nvCxnSpPr>
          <xdr:spPr>
            <a:xfrm>
              <a:off x="2633134" y="2027117"/>
              <a:ext cx="245212" cy="1439"/>
            </a:xfrm>
            <a:prstGeom prst="line">
              <a:avLst/>
            </a:prstGeom>
          </xdr:spPr>
          <xdr:style>
            <a:lnRef idx="1">
              <a:schemeClr val="accent2"/>
            </a:lnRef>
            <a:fillRef idx="0">
              <a:schemeClr val="accent2"/>
            </a:fillRef>
            <a:effectRef idx="0">
              <a:schemeClr val="accent2"/>
            </a:effectRef>
            <a:fontRef idx="minor">
              <a:schemeClr val="tx1"/>
            </a:fontRef>
          </xdr:style>
        </xdr:cxnSp>
        <xdr:cxnSp macro="">
          <xdr:nvCxnSpPr>
            <xdr:cNvPr id="99" name="Straight Connector 98"/>
            <xdr:cNvCxnSpPr/>
          </xdr:nvCxnSpPr>
          <xdr:spPr>
            <a:xfrm rot="5400000">
              <a:off x="2714831" y="2189813"/>
              <a:ext cx="317960" cy="1573"/>
            </a:xfrm>
            <a:prstGeom prst="line">
              <a:avLst/>
            </a:prstGeom>
          </xdr:spPr>
          <xdr:style>
            <a:lnRef idx="1">
              <a:schemeClr val="accent2"/>
            </a:lnRef>
            <a:fillRef idx="0">
              <a:schemeClr val="accent2"/>
            </a:fillRef>
            <a:effectRef idx="0">
              <a:schemeClr val="accent2"/>
            </a:effectRef>
            <a:fontRef idx="minor">
              <a:schemeClr val="tx1"/>
            </a:fontRef>
          </xdr:style>
        </xdr:cxnSp>
        <xdr:cxnSp macro="">
          <xdr:nvCxnSpPr>
            <xdr:cNvPr id="101" name="Straight Connector 100"/>
            <xdr:cNvCxnSpPr/>
          </xdr:nvCxnSpPr>
          <xdr:spPr>
            <a:xfrm>
              <a:off x="2869277" y="2354657"/>
              <a:ext cx="434604" cy="1439"/>
            </a:xfrm>
            <a:prstGeom prst="line">
              <a:avLst/>
            </a:prstGeom>
          </xdr:spPr>
          <xdr:style>
            <a:lnRef idx="1">
              <a:schemeClr val="accent2"/>
            </a:lnRef>
            <a:fillRef idx="0">
              <a:schemeClr val="accent2"/>
            </a:fillRef>
            <a:effectRef idx="0">
              <a:schemeClr val="accent2"/>
            </a:effectRef>
            <a:fontRef idx="minor">
              <a:schemeClr val="tx1"/>
            </a:fontRef>
          </xdr:style>
        </xdr:cxnSp>
        <xdr:cxnSp macro="">
          <xdr:nvCxnSpPr>
            <xdr:cNvPr id="103" name="Straight Connector 102"/>
            <xdr:cNvCxnSpPr/>
          </xdr:nvCxnSpPr>
          <xdr:spPr>
            <a:xfrm rot="5400000">
              <a:off x="3155836" y="2508008"/>
              <a:ext cx="299273" cy="1573"/>
            </a:xfrm>
            <a:prstGeom prst="line">
              <a:avLst/>
            </a:prstGeom>
          </xdr:spPr>
          <xdr:style>
            <a:lnRef idx="1">
              <a:schemeClr val="accent2"/>
            </a:lnRef>
            <a:fillRef idx="0">
              <a:schemeClr val="accent2"/>
            </a:fillRef>
            <a:effectRef idx="0">
              <a:schemeClr val="accent2"/>
            </a:effectRef>
            <a:fontRef idx="minor">
              <a:schemeClr val="tx1"/>
            </a:fontRef>
          </xdr:style>
        </xdr:cxnSp>
        <xdr:cxnSp macro="">
          <xdr:nvCxnSpPr>
            <xdr:cNvPr id="105" name="Straight Connector 104"/>
            <xdr:cNvCxnSpPr/>
          </xdr:nvCxnSpPr>
          <xdr:spPr>
            <a:xfrm>
              <a:off x="3301706" y="2661452"/>
              <a:ext cx="434606" cy="1439"/>
            </a:xfrm>
            <a:prstGeom prst="line">
              <a:avLst/>
            </a:prstGeom>
          </xdr:spPr>
          <xdr:style>
            <a:lnRef idx="1">
              <a:schemeClr val="accent2"/>
            </a:lnRef>
            <a:fillRef idx="0">
              <a:schemeClr val="accent2"/>
            </a:fillRef>
            <a:effectRef idx="0">
              <a:schemeClr val="accent2"/>
            </a:effectRef>
            <a:fontRef idx="minor">
              <a:schemeClr val="tx1"/>
            </a:fontRef>
          </xdr:style>
        </xdr:cxnSp>
        <xdr:cxnSp macro="">
          <xdr:nvCxnSpPr>
            <xdr:cNvPr id="107" name="Straight Connector 106"/>
            <xdr:cNvCxnSpPr/>
          </xdr:nvCxnSpPr>
          <xdr:spPr>
            <a:xfrm rot="16200000" flipH="1">
              <a:off x="3587146" y="2809154"/>
              <a:ext cx="298386" cy="0"/>
            </a:xfrm>
            <a:prstGeom prst="line">
              <a:avLst/>
            </a:prstGeom>
          </xdr:spPr>
          <xdr:style>
            <a:lnRef idx="1">
              <a:schemeClr val="accent2"/>
            </a:lnRef>
            <a:fillRef idx="0">
              <a:schemeClr val="accent2"/>
            </a:fillRef>
            <a:effectRef idx="0">
              <a:schemeClr val="accent2"/>
            </a:effectRef>
            <a:fontRef idx="minor">
              <a:schemeClr val="tx1"/>
            </a:fontRef>
          </xdr:style>
        </xdr:cxnSp>
        <xdr:cxnSp macro="">
          <xdr:nvCxnSpPr>
            <xdr:cNvPr id="110" name="Straight Connector 109"/>
            <xdr:cNvCxnSpPr/>
          </xdr:nvCxnSpPr>
          <xdr:spPr>
            <a:xfrm>
              <a:off x="3736337" y="2958065"/>
              <a:ext cx="427747" cy="1439"/>
            </a:xfrm>
            <a:prstGeom prst="line">
              <a:avLst/>
            </a:prstGeom>
          </xdr:spPr>
          <xdr:style>
            <a:lnRef idx="1">
              <a:schemeClr val="accent2"/>
            </a:lnRef>
            <a:fillRef idx="0">
              <a:schemeClr val="accent2"/>
            </a:fillRef>
            <a:effectRef idx="0">
              <a:schemeClr val="accent2"/>
            </a:effectRef>
            <a:fontRef idx="minor">
              <a:schemeClr val="tx1"/>
            </a:fontRef>
          </xdr:style>
        </xdr:cxnSp>
        <xdr:cxnSp macro="">
          <xdr:nvCxnSpPr>
            <xdr:cNvPr id="112" name="Straight Connector 111"/>
            <xdr:cNvCxnSpPr/>
          </xdr:nvCxnSpPr>
          <xdr:spPr>
            <a:xfrm rot="5400000">
              <a:off x="4018447" y="3101005"/>
              <a:ext cx="290934" cy="1573"/>
            </a:xfrm>
            <a:prstGeom prst="line">
              <a:avLst/>
            </a:prstGeom>
          </xdr:spPr>
          <xdr:style>
            <a:lnRef idx="1">
              <a:schemeClr val="accent2"/>
            </a:lnRef>
            <a:fillRef idx="0">
              <a:schemeClr val="accent2"/>
            </a:fillRef>
            <a:effectRef idx="0">
              <a:schemeClr val="accent2"/>
            </a:effectRef>
            <a:fontRef idx="minor">
              <a:schemeClr val="tx1"/>
            </a:fontRef>
          </xdr:style>
        </xdr:cxnSp>
        <xdr:cxnSp macro="">
          <xdr:nvCxnSpPr>
            <xdr:cNvPr id="114" name="Straight Connector 113"/>
            <xdr:cNvCxnSpPr/>
          </xdr:nvCxnSpPr>
          <xdr:spPr>
            <a:xfrm>
              <a:off x="4165276" y="3243050"/>
              <a:ext cx="434606" cy="1439"/>
            </a:xfrm>
            <a:prstGeom prst="line">
              <a:avLst/>
            </a:prstGeom>
          </xdr:spPr>
          <xdr:style>
            <a:lnRef idx="1">
              <a:schemeClr val="accent2"/>
            </a:lnRef>
            <a:fillRef idx="0">
              <a:schemeClr val="accent2"/>
            </a:fillRef>
            <a:effectRef idx="0">
              <a:schemeClr val="accent2"/>
            </a:effectRef>
            <a:fontRef idx="minor">
              <a:schemeClr val="tx1"/>
            </a:fontRef>
          </xdr:style>
        </xdr:cxnSp>
        <xdr:cxnSp macro="">
          <xdr:nvCxnSpPr>
            <xdr:cNvPr id="116" name="Straight Connector 115"/>
            <xdr:cNvCxnSpPr/>
          </xdr:nvCxnSpPr>
          <xdr:spPr>
            <a:xfrm rot="5400000">
              <a:off x="4446987" y="3396687"/>
              <a:ext cx="299106" cy="1573"/>
            </a:xfrm>
            <a:prstGeom prst="line">
              <a:avLst/>
            </a:prstGeom>
          </xdr:spPr>
          <xdr:style>
            <a:lnRef idx="1">
              <a:schemeClr val="accent2"/>
            </a:lnRef>
            <a:fillRef idx="0">
              <a:schemeClr val="accent2"/>
            </a:fillRef>
            <a:effectRef idx="0">
              <a:schemeClr val="accent2"/>
            </a:effectRef>
            <a:fontRef idx="minor">
              <a:schemeClr val="tx1"/>
            </a:fontRef>
          </xdr:style>
        </xdr:cxnSp>
        <xdr:cxnSp macro="">
          <xdr:nvCxnSpPr>
            <xdr:cNvPr id="118" name="Straight Connector 117"/>
            <xdr:cNvCxnSpPr/>
          </xdr:nvCxnSpPr>
          <xdr:spPr>
            <a:xfrm>
              <a:off x="4595374" y="3544398"/>
              <a:ext cx="438755" cy="1439"/>
            </a:xfrm>
            <a:prstGeom prst="line">
              <a:avLst/>
            </a:prstGeom>
          </xdr:spPr>
          <xdr:style>
            <a:lnRef idx="1">
              <a:schemeClr val="accent2"/>
            </a:lnRef>
            <a:fillRef idx="0">
              <a:schemeClr val="accent2"/>
            </a:fillRef>
            <a:effectRef idx="0">
              <a:schemeClr val="accent2"/>
            </a:effectRef>
            <a:fontRef idx="minor">
              <a:schemeClr val="tx1"/>
            </a:fontRef>
          </xdr:style>
        </xdr:cxnSp>
        <xdr:cxnSp macro="">
          <xdr:nvCxnSpPr>
            <xdr:cNvPr id="120" name="Straight Connector 119"/>
            <xdr:cNvCxnSpPr/>
          </xdr:nvCxnSpPr>
          <xdr:spPr>
            <a:xfrm rot="5400000">
              <a:off x="4911605" y="3663178"/>
              <a:ext cx="243603" cy="1573"/>
            </a:xfrm>
            <a:prstGeom prst="line">
              <a:avLst/>
            </a:prstGeom>
          </xdr:spPr>
          <xdr:style>
            <a:lnRef idx="1">
              <a:schemeClr val="accent2"/>
            </a:lnRef>
            <a:fillRef idx="0">
              <a:schemeClr val="accent2"/>
            </a:fillRef>
            <a:effectRef idx="0">
              <a:schemeClr val="accent2"/>
            </a:effectRef>
            <a:fontRef idx="minor">
              <a:schemeClr val="tx1"/>
            </a:fontRef>
          </xdr:style>
        </xdr:cxnSp>
        <xdr:cxnSp macro="">
          <xdr:nvCxnSpPr>
            <xdr:cNvPr id="121" name="Straight Connector 120"/>
            <xdr:cNvCxnSpPr/>
          </xdr:nvCxnSpPr>
          <xdr:spPr>
            <a:xfrm>
              <a:off x="4502592" y="3494768"/>
              <a:ext cx="714199" cy="484139"/>
            </a:xfrm>
            <a:prstGeom prst="line">
              <a:avLst/>
            </a:prstGeom>
          </xdr:spPr>
          <xdr:style>
            <a:lnRef idx="1">
              <a:schemeClr val="accent2"/>
            </a:lnRef>
            <a:fillRef idx="0">
              <a:schemeClr val="accent2"/>
            </a:fillRef>
            <a:effectRef idx="0">
              <a:schemeClr val="accent2"/>
            </a:effectRef>
            <a:fontRef idx="minor">
              <a:schemeClr val="tx1"/>
            </a:fontRef>
          </xdr:style>
        </xdr:cxnSp>
        <xdr:cxnSp macro="">
          <xdr:nvCxnSpPr>
            <xdr:cNvPr id="123" name="Straight Connector 122"/>
            <xdr:cNvCxnSpPr/>
          </xdr:nvCxnSpPr>
          <xdr:spPr>
            <a:xfrm rot="10800000">
              <a:off x="4246606" y="3456677"/>
              <a:ext cx="261503" cy="43156"/>
            </a:xfrm>
            <a:prstGeom prst="line">
              <a:avLst/>
            </a:prstGeom>
          </xdr:spPr>
          <xdr:style>
            <a:lnRef idx="1">
              <a:schemeClr val="accent2"/>
            </a:lnRef>
            <a:fillRef idx="0">
              <a:schemeClr val="accent2"/>
            </a:fillRef>
            <a:effectRef idx="0">
              <a:schemeClr val="accent2"/>
            </a:effectRef>
            <a:fontRef idx="minor">
              <a:schemeClr val="tx1"/>
            </a:fontRef>
          </xdr:style>
        </xdr:cxnSp>
        <xdr:sp macro="" textlink="">
          <xdr:nvSpPr>
            <xdr:cNvPr id="129" name="Freeform 128"/>
            <xdr:cNvSpPr/>
          </xdr:nvSpPr>
          <xdr:spPr>
            <a:xfrm>
              <a:off x="5170638" y="4352785"/>
              <a:ext cx="45268" cy="65235"/>
            </a:xfrm>
            <a:custGeom>
              <a:avLst/>
              <a:gdLst>
                <a:gd name="connsiteX0" fmla="*/ 77787 w 79375"/>
                <a:gd name="connsiteY0" fmla="*/ 19050 h 84138"/>
                <a:gd name="connsiteX1" fmla="*/ 68262 w 79375"/>
                <a:gd name="connsiteY1" fmla="*/ 76200 h 84138"/>
                <a:gd name="connsiteX2" fmla="*/ 11112 w 79375"/>
                <a:gd name="connsiteY2" fmla="*/ 66675 h 84138"/>
                <a:gd name="connsiteX3" fmla="*/ 1587 w 79375"/>
                <a:gd name="connsiteY3" fmla="*/ 0 h 84138"/>
              </a:gdLst>
              <a:ahLst/>
              <a:cxnLst>
                <a:cxn ang="0">
                  <a:pos x="connsiteX0" y="connsiteY0"/>
                </a:cxn>
                <a:cxn ang="0">
                  <a:pos x="connsiteX1" y="connsiteY1"/>
                </a:cxn>
                <a:cxn ang="0">
                  <a:pos x="connsiteX2" y="connsiteY2"/>
                </a:cxn>
                <a:cxn ang="0">
                  <a:pos x="connsiteX3" y="connsiteY3"/>
                </a:cxn>
              </a:cxnLst>
              <a:rect l="l" t="t" r="r" b="b"/>
              <a:pathLst>
                <a:path w="79375" h="84138">
                  <a:moveTo>
                    <a:pt x="77787" y="19050"/>
                  </a:moveTo>
                  <a:cubicBezTo>
                    <a:pt x="78581" y="43656"/>
                    <a:pt x="79375" y="68263"/>
                    <a:pt x="68262" y="76200"/>
                  </a:cubicBezTo>
                  <a:cubicBezTo>
                    <a:pt x="57150" y="84138"/>
                    <a:pt x="22224" y="79375"/>
                    <a:pt x="11112" y="66675"/>
                  </a:cubicBezTo>
                  <a:cubicBezTo>
                    <a:pt x="0" y="53975"/>
                    <a:pt x="12699" y="30162"/>
                    <a:pt x="1587" y="0"/>
                  </a:cubicBezTo>
                </a:path>
              </a:pathLst>
            </a:custGeom>
          </xdr:spPr>
          <xdr:style>
            <a:lnRef idx="1">
              <a:schemeClr val="accent2"/>
            </a:lnRef>
            <a:fillRef idx="0">
              <a:schemeClr val="accent2"/>
            </a:fillRef>
            <a:effectRef idx="0">
              <a:schemeClr val="accent2"/>
            </a:effectRef>
            <a:fontRef idx="minor">
              <a:schemeClr val="tx1"/>
            </a:fontRef>
          </xdr:style>
          <xdr:txBody>
            <a:bodyPr vertOverflow="clip" rtlCol="0" anchor="ctr"/>
            <a:lstStyle/>
            <a:p>
              <a:pPr algn="ctr"/>
              <a:endParaRPr lang="th-TH" sz="1100"/>
            </a:p>
          </xdr:txBody>
        </xdr:sp>
        <xdr:sp macro="" textlink="">
          <xdr:nvSpPr>
            <xdr:cNvPr id="131" name="Freeform 130"/>
            <xdr:cNvSpPr/>
          </xdr:nvSpPr>
          <xdr:spPr>
            <a:xfrm flipH="1">
              <a:off x="2440689" y="2687941"/>
              <a:ext cx="45268" cy="97660"/>
            </a:xfrm>
            <a:custGeom>
              <a:avLst/>
              <a:gdLst>
                <a:gd name="connsiteX0" fmla="*/ 77787 w 79375"/>
                <a:gd name="connsiteY0" fmla="*/ 19050 h 84138"/>
                <a:gd name="connsiteX1" fmla="*/ 68262 w 79375"/>
                <a:gd name="connsiteY1" fmla="*/ 76200 h 84138"/>
                <a:gd name="connsiteX2" fmla="*/ 11112 w 79375"/>
                <a:gd name="connsiteY2" fmla="*/ 66675 h 84138"/>
                <a:gd name="connsiteX3" fmla="*/ 1587 w 79375"/>
                <a:gd name="connsiteY3" fmla="*/ 0 h 84138"/>
                <a:gd name="connsiteX0" fmla="*/ 71057 w 78253"/>
                <a:gd name="connsiteY0" fmla="*/ 0 h 111912"/>
                <a:gd name="connsiteX1" fmla="*/ 68262 w 78253"/>
                <a:gd name="connsiteY1" fmla="*/ 97285 h 111912"/>
                <a:gd name="connsiteX2" fmla="*/ 11112 w 78253"/>
                <a:gd name="connsiteY2" fmla="*/ 87760 h 111912"/>
                <a:gd name="connsiteX3" fmla="*/ 1587 w 78253"/>
                <a:gd name="connsiteY3" fmla="*/ 21085 h 111912"/>
                <a:gd name="connsiteX0" fmla="*/ 82932 w 90128"/>
                <a:gd name="connsiteY0" fmla="*/ 0 h 111912"/>
                <a:gd name="connsiteX1" fmla="*/ 80137 w 90128"/>
                <a:gd name="connsiteY1" fmla="*/ 97285 h 111912"/>
                <a:gd name="connsiteX2" fmla="*/ 22987 w 90128"/>
                <a:gd name="connsiteY2" fmla="*/ 87760 h 111912"/>
                <a:gd name="connsiteX3" fmla="*/ 0 w 90128"/>
                <a:gd name="connsiteY3" fmla="*/ 25544 h 111912"/>
                <a:gd name="connsiteX0" fmla="*/ 69937 w 77133"/>
                <a:gd name="connsiteY0" fmla="*/ 0 h 111912"/>
                <a:gd name="connsiteX1" fmla="*/ 67142 w 77133"/>
                <a:gd name="connsiteY1" fmla="*/ 97285 h 111912"/>
                <a:gd name="connsiteX2" fmla="*/ 9992 w 77133"/>
                <a:gd name="connsiteY2" fmla="*/ 87760 h 111912"/>
                <a:gd name="connsiteX3" fmla="*/ 7198 w 77133"/>
                <a:gd name="connsiteY3" fmla="*/ 25544 h 111912"/>
              </a:gdLst>
              <a:ahLst/>
              <a:cxnLst>
                <a:cxn ang="0">
                  <a:pos x="connsiteX0" y="connsiteY0"/>
                </a:cxn>
                <a:cxn ang="0">
                  <a:pos x="connsiteX1" y="connsiteY1"/>
                </a:cxn>
                <a:cxn ang="0">
                  <a:pos x="connsiteX2" y="connsiteY2"/>
                </a:cxn>
                <a:cxn ang="0">
                  <a:pos x="connsiteX3" y="connsiteY3"/>
                </a:cxn>
              </a:cxnLst>
              <a:rect l="l" t="t" r="r" b="b"/>
              <a:pathLst>
                <a:path w="77133" h="111912">
                  <a:moveTo>
                    <a:pt x="69937" y="0"/>
                  </a:moveTo>
                  <a:cubicBezTo>
                    <a:pt x="70731" y="24606"/>
                    <a:pt x="77133" y="82658"/>
                    <a:pt x="67142" y="97285"/>
                  </a:cubicBezTo>
                  <a:cubicBezTo>
                    <a:pt x="57151" y="111912"/>
                    <a:pt x="19983" y="99717"/>
                    <a:pt x="9992" y="87760"/>
                  </a:cubicBezTo>
                  <a:cubicBezTo>
                    <a:pt x="1" y="75803"/>
                    <a:pt x="18310" y="55706"/>
                    <a:pt x="7198" y="25544"/>
                  </a:cubicBezTo>
                </a:path>
              </a:pathLst>
            </a:custGeom>
          </xdr:spPr>
          <xdr:style>
            <a:lnRef idx="1">
              <a:schemeClr val="accent2"/>
            </a:lnRef>
            <a:fillRef idx="0">
              <a:schemeClr val="accent2"/>
            </a:fillRef>
            <a:effectRef idx="0">
              <a:schemeClr val="accent2"/>
            </a:effectRef>
            <a:fontRef idx="minor">
              <a:schemeClr val="tx1"/>
            </a:fontRef>
          </xdr:style>
          <xdr:txBody>
            <a:bodyPr vertOverflow="clip" rtlCol="0" anchor="ctr"/>
            <a:lstStyle/>
            <a:p>
              <a:pPr algn="ctr"/>
              <a:endParaRPr lang="th-TH" sz="1100"/>
            </a:p>
          </xdr:txBody>
        </xdr:sp>
        <xdr:sp macro="" textlink="">
          <xdr:nvSpPr>
            <xdr:cNvPr id="142" name="Flowchart: Connector 141"/>
            <xdr:cNvSpPr/>
          </xdr:nvSpPr>
          <xdr:spPr>
            <a:xfrm>
              <a:off x="3279868" y="2368245"/>
              <a:ext cx="10694" cy="9786"/>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43" name="Flowchart: Connector 142"/>
            <xdr:cNvSpPr/>
          </xdr:nvSpPr>
          <xdr:spPr>
            <a:xfrm>
              <a:off x="2891418" y="2334668"/>
              <a:ext cx="10694" cy="9786"/>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44" name="Flowchart: Connector 143"/>
            <xdr:cNvSpPr/>
          </xdr:nvSpPr>
          <xdr:spPr>
            <a:xfrm>
              <a:off x="2852942" y="2043076"/>
              <a:ext cx="10694" cy="9786"/>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45" name="Flowchart: Connector 144"/>
            <xdr:cNvSpPr/>
          </xdr:nvSpPr>
          <xdr:spPr>
            <a:xfrm>
              <a:off x="3315060" y="2637750"/>
              <a:ext cx="10694" cy="9786"/>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46" name="Flowchart: Connector 145"/>
            <xdr:cNvSpPr/>
          </xdr:nvSpPr>
          <xdr:spPr>
            <a:xfrm>
              <a:off x="3750224" y="2933234"/>
              <a:ext cx="10694" cy="9786"/>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47" name="Flowchart: Connector 146"/>
            <xdr:cNvSpPr/>
          </xdr:nvSpPr>
          <xdr:spPr>
            <a:xfrm>
              <a:off x="4148783" y="2966712"/>
              <a:ext cx="10694" cy="9786"/>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48" name="Flowchart: Connector 147"/>
            <xdr:cNvSpPr/>
          </xdr:nvSpPr>
          <xdr:spPr>
            <a:xfrm>
              <a:off x="4572990" y="3251857"/>
              <a:ext cx="10694" cy="9786"/>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49" name="Flowchart: Connector 148"/>
            <xdr:cNvSpPr/>
          </xdr:nvSpPr>
          <xdr:spPr>
            <a:xfrm>
              <a:off x="4175176" y="3219329"/>
              <a:ext cx="10694" cy="9786"/>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50" name="Flowchart: Connector 149"/>
            <xdr:cNvSpPr/>
          </xdr:nvSpPr>
          <xdr:spPr>
            <a:xfrm>
              <a:off x="4606511" y="3522051"/>
              <a:ext cx="10694" cy="9786"/>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51" name="Flowchart: Connector 150"/>
            <xdr:cNvSpPr/>
          </xdr:nvSpPr>
          <xdr:spPr>
            <a:xfrm>
              <a:off x="5006405" y="3559411"/>
              <a:ext cx="14903" cy="9786"/>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52" name="Flowchart: Connector 151"/>
            <xdr:cNvSpPr/>
          </xdr:nvSpPr>
          <xdr:spPr>
            <a:xfrm>
              <a:off x="3709635" y="2673314"/>
              <a:ext cx="10694" cy="9786"/>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55" name="Freeform 154"/>
            <xdr:cNvSpPr/>
          </xdr:nvSpPr>
          <xdr:spPr>
            <a:xfrm>
              <a:off x="4982472" y="3706469"/>
              <a:ext cx="57077" cy="96252"/>
            </a:xfrm>
            <a:custGeom>
              <a:avLst/>
              <a:gdLst>
                <a:gd name="connsiteX0" fmla="*/ 82615 w 82615"/>
                <a:gd name="connsiteY0" fmla="*/ 87474 h 102053"/>
                <a:gd name="connsiteX1" fmla="*/ 9719 w 82615"/>
                <a:gd name="connsiteY1" fmla="*/ 87474 h 102053"/>
                <a:gd name="connsiteX2" fmla="*/ 24298 w 82615"/>
                <a:gd name="connsiteY2" fmla="*/ 0 h 102053"/>
              </a:gdLst>
              <a:ahLst/>
              <a:cxnLst>
                <a:cxn ang="0">
                  <a:pos x="connsiteX0" y="connsiteY0"/>
                </a:cxn>
                <a:cxn ang="0">
                  <a:pos x="connsiteX1" y="connsiteY1"/>
                </a:cxn>
                <a:cxn ang="0">
                  <a:pos x="connsiteX2" y="connsiteY2"/>
                </a:cxn>
              </a:cxnLst>
              <a:rect l="l" t="t" r="r" b="b"/>
              <a:pathLst>
                <a:path w="82615" h="102053">
                  <a:moveTo>
                    <a:pt x="82615" y="87474"/>
                  </a:moveTo>
                  <a:cubicBezTo>
                    <a:pt x="51026" y="94763"/>
                    <a:pt x="19438" y="102053"/>
                    <a:pt x="9719" y="87474"/>
                  </a:cubicBezTo>
                  <a:cubicBezTo>
                    <a:pt x="0" y="72895"/>
                    <a:pt x="16199" y="17819"/>
                    <a:pt x="24298" y="0"/>
                  </a:cubicBezTo>
                </a:path>
              </a:pathLst>
            </a:custGeom>
          </xdr:spPr>
          <xdr:style>
            <a:lnRef idx="1">
              <a:schemeClr val="accent2"/>
            </a:lnRef>
            <a:fillRef idx="0">
              <a:schemeClr val="accent2"/>
            </a:fillRef>
            <a:effectRef idx="0">
              <a:schemeClr val="accent2"/>
            </a:effectRef>
            <a:fontRef idx="minor">
              <a:schemeClr val="tx1"/>
            </a:fontRef>
          </xdr:style>
          <xdr:txBody>
            <a:bodyPr vertOverflow="clip" rtlCol="0" anchor="ctr"/>
            <a:lstStyle/>
            <a:p>
              <a:pPr algn="ctr"/>
              <a:endParaRPr lang="th-TH" sz="1100"/>
            </a:p>
          </xdr:txBody>
        </xdr:sp>
        <xdr:cxnSp macro="">
          <xdr:nvCxnSpPr>
            <xdr:cNvPr id="190" name="Straight Arrow Connector 189"/>
            <xdr:cNvCxnSpPr/>
          </xdr:nvCxnSpPr>
          <xdr:spPr>
            <a:xfrm rot="5400000">
              <a:off x="3099793" y="2163217"/>
              <a:ext cx="389914" cy="0"/>
            </a:xfrm>
            <a:prstGeom prst="straightConnector1">
              <a:avLst/>
            </a:prstGeom>
            <a:ln w="3175">
              <a:solidFill>
                <a:schemeClr val="tx1">
                  <a:lumMod val="65000"/>
                  <a:lumOff val="35000"/>
                </a:schemeClr>
              </a:solidFill>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198" name="Straight Arrow Connector 197"/>
            <xdr:cNvCxnSpPr/>
          </xdr:nvCxnSpPr>
          <xdr:spPr>
            <a:xfrm rot="5400000">
              <a:off x="3797466" y="2646871"/>
              <a:ext cx="244005" cy="221087"/>
            </a:xfrm>
            <a:prstGeom prst="straightConnector1">
              <a:avLst/>
            </a:prstGeom>
            <a:ln w="3175">
              <a:solidFill>
                <a:schemeClr val="tx1">
                  <a:lumMod val="65000"/>
                  <a:lumOff val="35000"/>
                </a:schemeClr>
              </a:solidFill>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199" name="Straight Arrow Connector 198"/>
            <xdr:cNvCxnSpPr/>
          </xdr:nvCxnSpPr>
          <xdr:spPr>
            <a:xfrm rot="5400000" flipH="1" flipV="1">
              <a:off x="3334626" y="3105422"/>
              <a:ext cx="260619" cy="247701"/>
            </a:xfrm>
            <a:prstGeom prst="straightConnector1">
              <a:avLst/>
            </a:prstGeom>
            <a:ln w="3175">
              <a:solidFill>
                <a:schemeClr val="tx1">
                  <a:lumMod val="65000"/>
                  <a:lumOff val="35000"/>
                </a:schemeClr>
              </a:solidFill>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212" name="Straight Connector 211"/>
            <xdr:cNvCxnSpPr/>
          </xdr:nvCxnSpPr>
          <xdr:spPr>
            <a:xfrm rot="5400000">
              <a:off x="2159908" y="2813877"/>
              <a:ext cx="774733" cy="800"/>
            </a:xfrm>
            <a:prstGeom prst="line">
              <a:avLst/>
            </a:prstGeom>
            <a:ln w="3175">
              <a:solidFill>
                <a:schemeClr val="tx1">
                  <a:lumMod val="95000"/>
                  <a:lumOff val="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14" name="Straight Connector 213"/>
            <xdr:cNvCxnSpPr/>
          </xdr:nvCxnSpPr>
          <xdr:spPr>
            <a:xfrm rot="5400000">
              <a:off x="3012864" y="2975480"/>
              <a:ext cx="466937" cy="0"/>
            </a:xfrm>
            <a:prstGeom prst="line">
              <a:avLst/>
            </a:prstGeom>
            <a:ln w="3175">
              <a:solidFill>
                <a:schemeClr val="tx1">
                  <a:lumMod val="95000"/>
                  <a:lumOff val="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16" name="Straight Connector 215"/>
            <xdr:cNvCxnSpPr/>
          </xdr:nvCxnSpPr>
          <xdr:spPr>
            <a:xfrm rot="10800000">
              <a:off x="2542084" y="3169799"/>
              <a:ext cx="706422" cy="1558"/>
            </a:xfrm>
            <a:prstGeom prst="line">
              <a:avLst/>
            </a:prstGeom>
            <a:ln w="3175">
              <a:solidFill>
                <a:schemeClr val="tx1">
                  <a:lumMod val="65000"/>
                  <a:lumOff val="35000"/>
                </a:schemeClr>
              </a:solidFill>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219" name="Straight Connector 218"/>
            <xdr:cNvCxnSpPr/>
          </xdr:nvCxnSpPr>
          <xdr:spPr>
            <a:xfrm rot="5400000">
              <a:off x="3882276" y="3872121"/>
              <a:ext cx="774735" cy="800"/>
            </a:xfrm>
            <a:prstGeom prst="line">
              <a:avLst/>
            </a:prstGeom>
            <a:ln w="3175">
              <a:solidFill>
                <a:schemeClr val="tx1">
                  <a:lumMod val="95000"/>
                  <a:lumOff val="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21" name="Straight Connector 220"/>
            <xdr:cNvCxnSpPr/>
          </xdr:nvCxnSpPr>
          <xdr:spPr>
            <a:xfrm>
              <a:off x="4255715" y="4200620"/>
              <a:ext cx="825792" cy="1558"/>
            </a:xfrm>
            <a:prstGeom prst="line">
              <a:avLst/>
            </a:prstGeom>
            <a:ln w="3175">
              <a:solidFill>
                <a:schemeClr val="tx1">
                  <a:lumMod val="65000"/>
                  <a:lumOff val="35000"/>
                </a:schemeClr>
              </a:solidFill>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222" name="Straight Connector 221"/>
            <xdr:cNvCxnSpPr/>
          </xdr:nvCxnSpPr>
          <xdr:spPr>
            <a:xfrm rot="5400000">
              <a:off x="4948478" y="4118305"/>
              <a:ext cx="251127" cy="0"/>
            </a:xfrm>
            <a:prstGeom prst="line">
              <a:avLst/>
            </a:prstGeom>
            <a:ln w="3175">
              <a:solidFill>
                <a:schemeClr val="tx1">
                  <a:lumMod val="95000"/>
                  <a:lumOff val="5000"/>
                </a:schemeClr>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223" name="Flowchart: Connector 222"/>
            <xdr:cNvSpPr/>
          </xdr:nvSpPr>
          <xdr:spPr>
            <a:xfrm>
              <a:off x="4609976" y="3680349"/>
              <a:ext cx="10750" cy="9689"/>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224" name="Flowchart: Connector 223"/>
            <xdr:cNvSpPr/>
          </xdr:nvSpPr>
          <xdr:spPr>
            <a:xfrm>
              <a:off x="4941011" y="3908779"/>
              <a:ext cx="10750" cy="9689"/>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225" name="Flowchart: Connector 224"/>
            <xdr:cNvSpPr/>
          </xdr:nvSpPr>
          <xdr:spPr>
            <a:xfrm>
              <a:off x="4412606" y="3547111"/>
              <a:ext cx="10750" cy="9689"/>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228" name="Flowchart: Connector 227"/>
            <xdr:cNvSpPr/>
          </xdr:nvSpPr>
          <xdr:spPr>
            <a:xfrm>
              <a:off x="4768327" y="3786170"/>
              <a:ext cx="10750" cy="9689"/>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230" name="Flowchart: Connector 229"/>
            <xdr:cNvSpPr/>
          </xdr:nvSpPr>
          <xdr:spPr>
            <a:xfrm>
              <a:off x="4891253" y="3779476"/>
              <a:ext cx="10746" cy="9779"/>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231" name="Flowchart: Connector 230"/>
            <xdr:cNvSpPr/>
          </xdr:nvSpPr>
          <xdr:spPr>
            <a:xfrm>
              <a:off x="4489838" y="3512938"/>
              <a:ext cx="10746" cy="9779"/>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232" name="Flowchart: Connector 231"/>
            <xdr:cNvSpPr/>
          </xdr:nvSpPr>
          <xdr:spPr>
            <a:xfrm>
              <a:off x="2665288" y="2352958"/>
              <a:ext cx="10746" cy="9779"/>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233" name="Flowchart: Connector 232"/>
            <xdr:cNvSpPr/>
          </xdr:nvSpPr>
          <xdr:spPr>
            <a:xfrm>
              <a:off x="2933826" y="2434564"/>
              <a:ext cx="10746" cy="9779"/>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234" name="Flowchart: Connector 233"/>
            <xdr:cNvSpPr/>
          </xdr:nvSpPr>
          <xdr:spPr>
            <a:xfrm>
              <a:off x="2899575" y="2514561"/>
              <a:ext cx="10746" cy="9779"/>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235" name="Flowchart: Connector 234"/>
            <xdr:cNvSpPr/>
          </xdr:nvSpPr>
          <xdr:spPr>
            <a:xfrm>
              <a:off x="3116383" y="2666965"/>
              <a:ext cx="10746" cy="9779"/>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236" name="Flowchart: Connector 235"/>
            <xdr:cNvSpPr/>
          </xdr:nvSpPr>
          <xdr:spPr>
            <a:xfrm>
              <a:off x="3352504" y="2824195"/>
              <a:ext cx="10746" cy="9779"/>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237" name="Flowchart: Connector 236"/>
            <xdr:cNvSpPr/>
          </xdr:nvSpPr>
          <xdr:spPr>
            <a:xfrm>
              <a:off x="3569542" y="2968554"/>
              <a:ext cx="10746" cy="9779"/>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238" name="Flowchart: Connector 237"/>
            <xdr:cNvSpPr/>
          </xdr:nvSpPr>
          <xdr:spPr>
            <a:xfrm>
              <a:off x="3786351" y="3112913"/>
              <a:ext cx="10746" cy="9779"/>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239" name="Flowchart: Connector 238"/>
            <xdr:cNvSpPr/>
          </xdr:nvSpPr>
          <xdr:spPr>
            <a:xfrm>
              <a:off x="3996722" y="3257271"/>
              <a:ext cx="10746" cy="9779"/>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240" name="Flowchart: Connector 239"/>
            <xdr:cNvSpPr/>
          </xdr:nvSpPr>
          <xdr:spPr>
            <a:xfrm>
              <a:off x="4207323" y="3405439"/>
              <a:ext cx="10746" cy="9779"/>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242" name="Flowchart: Connector 241"/>
            <xdr:cNvSpPr/>
          </xdr:nvSpPr>
          <xdr:spPr>
            <a:xfrm>
              <a:off x="2707485" y="2289619"/>
              <a:ext cx="10746" cy="9779"/>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243" name="Flowchart: Connector 242"/>
            <xdr:cNvSpPr/>
          </xdr:nvSpPr>
          <xdr:spPr>
            <a:xfrm>
              <a:off x="5084621" y="3908443"/>
              <a:ext cx="10746" cy="9779"/>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244" name="Flowchart: Connector 243"/>
            <xdr:cNvSpPr/>
          </xdr:nvSpPr>
          <xdr:spPr>
            <a:xfrm>
              <a:off x="3137760" y="2572487"/>
              <a:ext cx="10746" cy="9779"/>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245" name="Flowchart: Connector 244"/>
            <xdr:cNvSpPr/>
          </xdr:nvSpPr>
          <xdr:spPr>
            <a:xfrm>
              <a:off x="4696734" y="3649400"/>
              <a:ext cx="10746" cy="9779"/>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257" name="Freeform 256"/>
            <xdr:cNvSpPr/>
          </xdr:nvSpPr>
          <xdr:spPr>
            <a:xfrm>
              <a:off x="2506814" y="2235389"/>
              <a:ext cx="81119" cy="73338"/>
            </a:xfrm>
            <a:custGeom>
              <a:avLst/>
              <a:gdLst>
                <a:gd name="connsiteX0" fmla="*/ 55217 w 81101"/>
                <a:gd name="connsiteY0" fmla="*/ 73336 h 73336"/>
                <a:gd name="connsiteX1" fmla="*/ 3451 w 81101"/>
                <a:gd name="connsiteY1" fmla="*/ 31923 h 73336"/>
                <a:gd name="connsiteX2" fmla="*/ 34511 w 81101"/>
                <a:gd name="connsiteY2" fmla="*/ 863 h 73336"/>
                <a:gd name="connsiteX3" fmla="*/ 81101 w 81101"/>
                <a:gd name="connsiteY3" fmla="*/ 26746 h 73336"/>
              </a:gdLst>
              <a:ahLst/>
              <a:cxnLst>
                <a:cxn ang="0">
                  <a:pos x="connsiteX0" y="connsiteY0"/>
                </a:cxn>
                <a:cxn ang="0">
                  <a:pos x="connsiteX1" y="connsiteY1"/>
                </a:cxn>
                <a:cxn ang="0">
                  <a:pos x="connsiteX2" y="connsiteY2"/>
                </a:cxn>
                <a:cxn ang="0">
                  <a:pos x="connsiteX3" y="connsiteY3"/>
                </a:cxn>
              </a:cxnLst>
              <a:rect l="l" t="t" r="r" b="b"/>
              <a:pathLst>
                <a:path w="81101" h="73336">
                  <a:moveTo>
                    <a:pt x="55217" y="73336"/>
                  </a:moveTo>
                  <a:cubicBezTo>
                    <a:pt x="31059" y="58669"/>
                    <a:pt x="6902" y="44002"/>
                    <a:pt x="3451" y="31923"/>
                  </a:cubicBezTo>
                  <a:cubicBezTo>
                    <a:pt x="0" y="19844"/>
                    <a:pt x="21569" y="1726"/>
                    <a:pt x="34511" y="863"/>
                  </a:cubicBezTo>
                  <a:cubicBezTo>
                    <a:pt x="47453" y="0"/>
                    <a:pt x="68160" y="23295"/>
                    <a:pt x="81101" y="26746"/>
                  </a:cubicBezTo>
                </a:path>
              </a:pathLst>
            </a:custGeom>
          </xdr:spPr>
          <xdr:style>
            <a:lnRef idx="1">
              <a:schemeClr val="accent2"/>
            </a:lnRef>
            <a:fillRef idx="0">
              <a:schemeClr val="accent2"/>
            </a:fillRef>
            <a:effectRef idx="0">
              <a:schemeClr val="accent2"/>
            </a:effectRef>
            <a:fontRef idx="minor">
              <a:schemeClr val="tx1"/>
            </a:fontRef>
          </xdr:style>
          <xdr:txBody>
            <a:bodyPr vertOverflow="clip" rtlCol="0" anchor="ctr"/>
            <a:lstStyle/>
            <a:p>
              <a:pPr algn="ctr"/>
              <a:endParaRPr lang="th-TH" sz="1100"/>
            </a:p>
          </xdr:txBody>
        </xdr:sp>
        <xdr:sp macro="" textlink="">
          <xdr:nvSpPr>
            <xdr:cNvPr id="259" name="Freeform 258"/>
            <xdr:cNvSpPr/>
          </xdr:nvSpPr>
          <xdr:spPr>
            <a:xfrm>
              <a:off x="4479199" y="3569502"/>
              <a:ext cx="96886" cy="50787"/>
            </a:xfrm>
            <a:custGeom>
              <a:avLst/>
              <a:gdLst>
                <a:gd name="connsiteX0" fmla="*/ 0 w 88792"/>
                <a:gd name="connsiteY0" fmla="*/ 49777 h 49777"/>
                <a:gd name="connsiteX1" fmla="*/ 24216 w 88792"/>
                <a:gd name="connsiteY1" fmla="*/ 1345 h 49777"/>
                <a:gd name="connsiteX2" fmla="*/ 88792 w 88792"/>
                <a:gd name="connsiteY2" fmla="*/ 41705 h 49777"/>
              </a:gdLst>
              <a:ahLst/>
              <a:cxnLst>
                <a:cxn ang="0">
                  <a:pos x="connsiteX0" y="connsiteY0"/>
                </a:cxn>
                <a:cxn ang="0">
                  <a:pos x="connsiteX1" y="connsiteY1"/>
                </a:cxn>
                <a:cxn ang="0">
                  <a:pos x="connsiteX2" y="connsiteY2"/>
                </a:cxn>
              </a:cxnLst>
              <a:rect l="l" t="t" r="r" b="b"/>
              <a:pathLst>
                <a:path w="88792" h="49777">
                  <a:moveTo>
                    <a:pt x="0" y="49777"/>
                  </a:moveTo>
                  <a:cubicBezTo>
                    <a:pt x="4708" y="26233"/>
                    <a:pt x="9417" y="2690"/>
                    <a:pt x="24216" y="1345"/>
                  </a:cubicBezTo>
                  <a:cubicBezTo>
                    <a:pt x="39015" y="0"/>
                    <a:pt x="75339" y="40360"/>
                    <a:pt x="88792" y="41705"/>
                  </a:cubicBezTo>
                </a:path>
              </a:pathLst>
            </a:custGeom>
          </xdr:spPr>
          <xdr:style>
            <a:lnRef idx="1">
              <a:schemeClr val="accent2"/>
            </a:lnRef>
            <a:fillRef idx="0">
              <a:schemeClr val="accent2"/>
            </a:fillRef>
            <a:effectRef idx="0">
              <a:schemeClr val="accent2"/>
            </a:effectRef>
            <a:fontRef idx="minor">
              <a:schemeClr val="tx1"/>
            </a:fontRef>
          </xdr:style>
          <xdr:txBody>
            <a:bodyPr vertOverflow="clip" rtlCol="0" anchor="ctr"/>
            <a:lstStyle/>
            <a:p>
              <a:pPr algn="ctr"/>
              <a:endParaRPr lang="th-TH" sz="1100"/>
            </a:p>
          </xdr:txBody>
        </xdr:sp>
        <xdr:sp macro="" textlink="">
          <xdr:nvSpPr>
            <xdr:cNvPr id="261" name="Freeform 260"/>
            <xdr:cNvSpPr/>
          </xdr:nvSpPr>
          <xdr:spPr>
            <a:xfrm>
              <a:off x="4936022" y="3857202"/>
              <a:ext cx="75972" cy="88274"/>
            </a:xfrm>
            <a:custGeom>
              <a:avLst/>
              <a:gdLst>
                <a:gd name="connsiteX0" fmla="*/ 36951 w 75954"/>
                <a:gd name="connsiteY0" fmla="*/ 90324 h 90324"/>
                <a:gd name="connsiteX1" fmla="*/ 69795 w 75954"/>
                <a:gd name="connsiteY1" fmla="*/ 49268 h 90324"/>
                <a:gd name="connsiteX2" fmla="*/ 0 w 75954"/>
                <a:gd name="connsiteY2" fmla="*/ 0 h 90324"/>
              </a:gdLst>
              <a:ahLst/>
              <a:cxnLst>
                <a:cxn ang="0">
                  <a:pos x="connsiteX0" y="connsiteY0"/>
                </a:cxn>
                <a:cxn ang="0">
                  <a:pos x="connsiteX1" y="connsiteY1"/>
                </a:cxn>
                <a:cxn ang="0">
                  <a:pos x="connsiteX2" y="connsiteY2"/>
                </a:cxn>
              </a:cxnLst>
              <a:rect l="l" t="t" r="r" b="b"/>
              <a:pathLst>
                <a:path w="75954" h="90324">
                  <a:moveTo>
                    <a:pt x="36951" y="90324"/>
                  </a:moveTo>
                  <a:cubicBezTo>
                    <a:pt x="56452" y="77323"/>
                    <a:pt x="75954" y="64322"/>
                    <a:pt x="69795" y="49268"/>
                  </a:cubicBezTo>
                  <a:cubicBezTo>
                    <a:pt x="63637" y="34214"/>
                    <a:pt x="10948" y="10264"/>
                    <a:pt x="0" y="0"/>
                  </a:cubicBezTo>
                </a:path>
              </a:pathLst>
            </a:custGeom>
          </xdr:spPr>
          <xdr:style>
            <a:lnRef idx="1">
              <a:schemeClr val="accent2"/>
            </a:lnRef>
            <a:fillRef idx="0">
              <a:schemeClr val="accent2"/>
            </a:fillRef>
            <a:effectRef idx="0">
              <a:schemeClr val="accent2"/>
            </a:effectRef>
            <a:fontRef idx="minor">
              <a:schemeClr val="tx1"/>
            </a:fontRef>
          </xdr:style>
          <xdr:txBody>
            <a:bodyPr vertOverflow="clip" rtlCol="0" anchor="ctr"/>
            <a:lstStyle/>
            <a:p>
              <a:pPr algn="ctr"/>
              <a:endParaRPr lang="th-TH" sz="1100"/>
            </a:p>
          </xdr:txBody>
        </xdr:sp>
        <xdr:cxnSp macro="">
          <xdr:nvCxnSpPr>
            <xdr:cNvPr id="266" name="Straight Arrow Connector 265"/>
            <xdr:cNvCxnSpPr/>
          </xdr:nvCxnSpPr>
          <xdr:spPr>
            <a:xfrm rot="16200000" flipH="1">
              <a:off x="2540202" y="2053903"/>
              <a:ext cx="536388" cy="2328"/>
            </a:xfrm>
            <a:prstGeom prst="straightConnector1">
              <a:avLst/>
            </a:prstGeom>
            <a:ln w="3175">
              <a:solidFill>
                <a:schemeClr val="tx1">
                  <a:lumMod val="65000"/>
                  <a:lumOff val="35000"/>
                </a:schemeClr>
              </a:solidFill>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268" name="Straight Arrow Connector 267"/>
            <xdr:cNvCxnSpPr/>
          </xdr:nvCxnSpPr>
          <xdr:spPr>
            <a:xfrm rot="16200000" flipH="1">
              <a:off x="3376449" y="2399764"/>
              <a:ext cx="519777" cy="0"/>
            </a:xfrm>
            <a:prstGeom prst="straightConnector1">
              <a:avLst/>
            </a:prstGeom>
            <a:ln w="3175">
              <a:solidFill>
                <a:schemeClr val="tx1">
                  <a:lumMod val="65000"/>
                  <a:lumOff val="35000"/>
                </a:schemeClr>
              </a:solidFill>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272" name="Straight Connector 271"/>
            <xdr:cNvCxnSpPr/>
          </xdr:nvCxnSpPr>
          <xdr:spPr>
            <a:xfrm>
              <a:off x="2807674" y="1785642"/>
              <a:ext cx="1330773" cy="1577"/>
            </a:xfrm>
            <a:prstGeom prst="line">
              <a:avLst/>
            </a:prstGeom>
            <a:ln w="3175">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77" name="Straight Connector 276"/>
            <xdr:cNvCxnSpPr/>
          </xdr:nvCxnSpPr>
          <xdr:spPr>
            <a:xfrm>
              <a:off x="3636338" y="2144105"/>
              <a:ext cx="489076" cy="1577"/>
            </a:xfrm>
            <a:prstGeom prst="line">
              <a:avLst/>
            </a:prstGeom>
            <a:ln w="3175">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79" name="Straight Connector 278"/>
            <xdr:cNvCxnSpPr/>
          </xdr:nvCxnSpPr>
          <xdr:spPr>
            <a:xfrm>
              <a:off x="3299270" y="1975233"/>
              <a:ext cx="828734" cy="1577"/>
            </a:xfrm>
            <a:prstGeom prst="line">
              <a:avLst/>
            </a:prstGeom>
            <a:ln w="3175">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82" name="Flowchart: Connector 281"/>
            <xdr:cNvSpPr/>
          </xdr:nvSpPr>
          <xdr:spPr>
            <a:xfrm>
              <a:off x="2516575" y="2151760"/>
              <a:ext cx="10807" cy="9821"/>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cxnSp macro="">
          <xdr:nvCxnSpPr>
            <xdr:cNvPr id="102" name="Straight Arrow Connector 101"/>
            <xdr:cNvCxnSpPr/>
          </xdr:nvCxnSpPr>
          <xdr:spPr>
            <a:xfrm rot="16200000" flipV="1">
              <a:off x="3714015" y="3558338"/>
              <a:ext cx="573876" cy="9582"/>
            </a:xfrm>
            <a:prstGeom prst="straightConnector1">
              <a:avLst/>
            </a:prstGeom>
            <a:ln w="3175">
              <a:solidFill>
                <a:schemeClr val="tx1">
                  <a:lumMod val="65000"/>
                  <a:lumOff val="35000"/>
                </a:schemeClr>
              </a:solidFill>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109" name="Straight Arrow Connector 108"/>
            <xdr:cNvCxnSpPr/>
          </xdr:nvCxnSpPr>
          <xdr:spPr>
            <a:xfrm rot="5400000" flipH="1" flipV="1">
              <a:off x="3492413" y="3327783"/>
              <a:ext cx="470734" cy="0"/>
            </a:xfrm>
            <a:prstGeom prst="straightConnector1">
              <a:avLst/>
            </a:prstGeom>
            <a:ln w="3175">
              <a:solidFill>
                <a:schemeClr val="tx1">
                  <a:lumMod val="65000"/>
                  <a:lumOff val="35000"/>
                </a:schemeClr>
              </a:solidFill>
              <a:headEnd type="none" w="sm" len="med"/>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113" name="Straight Connector 112"/>
            <xdr:cNvCxnSpPr/>
          </xdr:nvCxnSpPr>
          <xdr:spPr>
            <a:xfrm rot="10800000">
              <a:off x="3445440" y="3848825"/>
              <a:ext cx="557390" cy="0"/>
            </a:xfrm>
            <a:prstGeom prst="line">
              <a:avLst/>
            </a:prstGeom>
            <a:ln w="3175">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9" name="Straight Arrow Connector 118"/>
            <xdr:cNvCxnSpPr/>
          </xdr:nvCxnSpPr>
          <xdr:spPr>
            <a:xfrm rot="16200000" flipH="1">
              <a:off x="2352963" y="1945847"/>
              <a:ext cx="696847" cy="0"/>
            </a:xfrm>
            <a:prstGeom prst="straightConnector1">
              <a:avLst/>
            </a:prstGeom>
            <a:ln w="3175">
              <a:solidFill>
                <a:schemeClr val="tx1">
                  <a:lumMod val="65000"/>
                  <a:lumOff val="35000"/>
                </a:schemeClr>
              </a:solidFill>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126" name="Straight Connector 125"/>
            <xdr:cNvCxnSpPr/>
          </xdr:nvCxnSpPr>
          <xdr:spPr>
            <a:xfrm flipV="1">
              <a:off x="2711375" y="1597422"/>
              <a:ext cx="1417776" cy="3"/>
            </a:xfrm>
            <a:prstGeom prst="line">
              <a:avLst/>
            </a:prstGeom>
            <a:ln w="3175">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33" name="Rectangle 132"/>
            <xdr:cNvSpPr/>
          </xdr:nvSpPr>
          <xdr:spPr>
            <a:xfrm>
              <a:off x="1373463" y="1061641"/>
              <a:ext cx="5434017" cy="39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cxnSp macro="">
          <xdr:nvCxnSpPr>
            <xdr:cNvPr id="137" name="Straight Connector 136"/>
            <xdr:cNvCxnSpPr/>
          </xdr:nvCxnSpPr>
          <xdr:spPr>
            <a:xfrm rot="16200000" flipH="1">
              <a:off x="1796757" y="4036267"/>
              <a:ext cx="1512000" cy="0"/>
            </a:xfrm>
            <a:prstGeom prst="line">
              <a:avLst/>
            </a:prstGeom>
            <a:ln w="3175">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9" name="Straight Connector 138"/>
            <xdr:cNvCxnSpPr/>
          </xdr:nvCxnSpPr>
          <xdr:spPr>
            <a:xfrm>
              <a:off x="2552945" y="4742657"/>
              <a:ext cx="2535875" cy="1588"/>
            </a:xfrm>
            <a:prstGeom prst="line">
              <a:avLst/>
            </a:prstGeom>
            <a:ln w="3175">
              <a:solidFill>
                <a:schemeClr val="tx1">
                  <a:lumMod val="65000"/>
                  <a:lumOff val="35000"/>
                </a:schemeClr>
              </a:solidFill>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141" name="Straight Connector 140"/>
            <xdr:cNvCxnSpPr/>
          </xdr:nvCxnSpPr>
          <xdr:spPr>
            <a:xfrm rot="5400000">
              <a:off x="4965898" y="4688087"/>
              <a:ext cx="228203" cy="1588"/>
            </a:xfrm>
            <a:prstGeom prst="line">
              <a:avLst/>
            </a:prstGeom>
            <a:ln w="3175">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sp macro="" textlink="'desigh Stairs'!F68">
        <xdr:nvSpPr>
          <xdr:cNvPr id="804" name="Rectangle 803"/>
          <xdr:cNvSpPr/>
        </xdr:nvSpPr>
        <xdr:spPr>
          <a:xfrm>
            <a:off x="4057223" y="1673683"/>
            <a:ext cx="806210" cy="1834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21894E6-8970-46BA-9233-0897C9DDDB7D}" type="TxLink">
              <a:rPr lang="th-TH" sz="1050">
                <a:solidFill>
                  <a:schemeClr val="tx2">
                    <a:lumMod val="60000"/>
                    <a:lumOff val="40000"/>
                  </a:schemeClr>
                </a:solidFill>
                <a:latin typeface="Times New Roman" pitchFamily="18" charset="0"/>
              </a:rPr>
              <a:pPr algn="ctr"/>
              <a:t> </a:t>
            </a:fld>
            <a:endParaRPr lang="th-TH" sz="1050">
              <a:solidFill>
                <a:schemeClr val="tx2">
                  <a:lumMod val="60000"/>
                  <a:lumOff val="40000"/>
                </a:schemeClr>
              </a:solidFill>
              <a:latin typeface="Times New Roman" pitchFamily="18" charset="0"/>
            </a:endParaRPr>
          </a:p>
        </xdr:txBody>
      </xdr:sp>
      <xdr:sp macro="" textlink="'desigh Stairs'!$E$68">
        <xdr:nvSpPr>
          <xdr:cNvPr id="805" name="Rectangle 804"/>
          <xdr:cNvSpPr/>
        </xdr:nvSpPr>
        <xdr:spPr>
          <a:xfrm>
            <a:off x="3955154" y="1673676"/>
            <a:ext cx="352085" cy="1834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59F401C6-9832-4C5B-9753-791350D20488}" type="TxLink">
              <a:rPr lang="th-TH" sz="1050">
                <a:solidFill>
                  <a:schemeClr val="tx2">
                    <a:lumMod val="60000"/>
                    <a:lumOff val="40000"/>
                  </a:schemeClr>
                </a:solidFill>
              </a:rPr>
              <a:pPr algn="ctr"/>
              <a:t>   </a:t>
            </a:fld>
            <a:endParaRPr lang="th-TH" sz="1050">
              <a:solidFill>
                <a:schemeClr val="tx2">
                  <a:lumMod val="60000"/>
                  <a:lumOff val="40000"/>
                </a:schemeClr>
              </a:solidFill>
            </a:endParaRPr>
          </a:p>
        </xdr:txBody>
      </xdr:sp>
      <xdr:sp macro="" textlink="'desigh Stairs'!$H$68">
        <xdr:nvSpPr>
          <xdr:cNvPr id="806" name="Rectangle 805"/>
          <xdr:cNvSpPr/>
        </xdr:nvSpPr>
        <xdr:spPr>
          <a:xfrm>
            <a:off x="4709658" y="1673011"/>
            <a:ext cx="721905" cy="1826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11152849-22B6-429D-A6C4-7A099B4ACAF7}" type="TxLink">
              <a:rPr lang="th-TH" sz="1050">
                <a:solidFill>
                  <a:schemeClr val="tx2">
                    <a:lumMod val="60000"/>
                    <a:lumOff val="40000"/>
                  </a:schemeClr>
                </a:solidFill>
                <a:latin typeface="Times New Roman" pitchFamily="18" charset="0"/>
              </a:rPr>
              <a:pPr algn="ctr"/>
              <a:t>  </a:t>
            </a:fld>
            <a:endParaRPr lang="th-TH" sz="1050">
              <a:solidFill>
                <a:schemeClr val="tx2">
                  <a:lumMod val="60000"/>
                  <a:lumOff val="40000"/>
                </a:schemeClr>
              </a:solidFill>
              <a:latin typeface="Times New Roman" pitchFamily="18" charset="0"/>
            </a:endParaRPr>
          </a:p>
        </xdr:txBody>
      </xdr:sp>
      <xdr:sp macro="" textlink="'desigh Stairs'!$G$68">
        <xdr:nvSpPr>
          <xdr:cNvPr id="807" name="Rectangle 806"/>
          <xdr:cNvSpPr/>
        </xdr:nvSpPr>
        <xdr:spPr>
          <a:xfrm>
            <a:off x="4590581" y="1673004"/>
            <a:ext cx="348683" cy="1996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345522DC-0E06-422B-8D1E-B4BFA4514B71}" type="TxLink">
              <a:rPr lang="th-TH" sz="1050">
                <a:solidFill>
                  <a:schemeClr val="tx2">
                    <a:lumMod val="60000"/>
                    <a:lumOff val="40000"/>
                  </a:schemeClr>
                </a:solidFill>
              </a:rPr>
              <a:pPr algn="ctr"/>
              <a:t> </a:t>
            </a:fld>
            <a:endParaRPr lang="th-TH" sz="1050">
              <a:solidFill>
                <a:schemeClr val="tx2">
                  <a:lumMod val="60000"/>
                  <a:lumOff val="40000"/>
                </a:schemeClr>
              </a:solidFill>
            </a:endParaRPr>
          </a:p>
        </xdr:txBody>
      </xdr:sp>
      <xdr:sp macro="" textlink="'desigh Stairs'!F68">
        <xdr:nvSpPr>
          <xdr:cNvPr id="808" name="Rectangle 807"/>
          <xdr:cNvSpPr/>
        </xdr:nvSpPr>
        <xdr:spPr>
          <a:xfrm>
            <a:off x="4057197" y="2039477"/>
            <a:ext cx="806210" cy="1760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21894E6-8970-46BA-9233-0897C9DDDB7D}" type="TxLink">
              <a:rPr lang="th-TH" sz="1050">
                <a:solidFill>
                  <a:schemeClr val="tx2">
                    <a:lumMod val="60000"/>
                    <a:lumOff val="40000"/>
                  </a:schemeClr>
                </a:solidFill>
                <a:latin typeface="Times New Roman" pitchFamily="18" charset="0"/>
              </a:rPr>
              <a:pPr algn="ctr"/>
              <a:t> </a:t>
            </a:fld>
            <a:endParaRPr lang="th-TH" sz="1050">
              <a:solidFill>
                <a:schemeClr val="tx2">
                  <a:lumMod val="60000"/>
                  <a:lumOff val="40000"/>
                </a:schemeClr>
              </a:solidFill>
              <a:latin typeface="Times New Roman" pitchFamily="18" charset="0"/>
            </a:endParaRPr>
          </a:p>
        </xdr:txBody>
      </xdr:sp>
      <xdr:sp macro="" textlink="'desigh Stairs'!$E$68">
        <xdr:nvSpPr>
          <xdr:cNvPr id="809" name="Rectangle 808"/>
          <xdr:cNvSpPr/>
        </xdr:nvSpPr>
        <xdr:spPr>
          <a:xfrm>
            <a:off x="3955128" y="2039470"/>
            <a:ext cx="352085" cy="1760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59F401C6-9832-4C5B-9753-791350D20488}" type="TxLink">
              <a:rPr lang="th-TH" sz="1050">
                <a:solidFill>
                  <a:schemeClr val="tx2">
                    <a:lumMod val="60000"/>
                    <a:lumOff val="40000"/>
                  </a:schemeClr>
                </a:solidFill>
              </a:rPr>
              <a:pPr algn="ctr"/>
              <a:t>   </a:t>
            </a:fld>
            <a:endParaRPr lang="th-TH" sz="1050">
              <a:solidFill>
                <a:schemeClr val="tx2">
                  <a:lumMod val="60000"/>
                  <a:lumOff val="40000"/>
                </a:schemeClr>
              </a:solidFill>
            </a:endParaRPr>
          </a:p>
        </xdr:txBody>
      </xdr:sp>
      <xdr:sp macro="" textlink="'desigh Stairs'!$H$68">
        <xdr:nvSpPr>
          <xdr:cNvPr id="810" name="Rectangle 809"/>
          <xdr:cNvSpPr/>
        </xdr:nvSpPr>
        <xdr:spPr>
          <a:xfrm>
            <a:off x="4709632" y="2038805"/>
            <a:ext cx="721905" cy="1752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11152849-22B6-429D-A6C4-7A099B4ACAF7}" type="TxLink">
              <a:rPr lang="th-TH" sz="1050">
                <a:solidFill>
                  <a:schemeClr val="tx2">
                    <a:lumMod val="60000"/>
                    <a:lumOff val="40000"/>
                  </a:schemeClr>
                </a:solidFill>
                <a:latin typeface="Times New Roman" pitchFamily="18" charset="0"/>
              </a:rPr>
              <a:pPr algn="ctr"/>
              <a:t>  </a:t>
            </a:fld>
            <a:endParaRPr lang="th-TH" sz="1050">
              <a:solidFill>
                <a:schemeClr val="tx2">
                  <a:lumMod val="60000"/>
                  <a:lumOff val="40000"/>
                </a:schemeClr>
              </a:solidFill>
              <a:latin typeface="Times New Roman" pitchFamily="18" charset="0"/>
            </a:endParaRPr>
          </a:p>
        </xdr:txBody>
      </xdr:sp>
      <xdr:sp macro="" textlink="'desigh Stairs'!$G$68">
        <xdr:nvSpPr>
          <xdr:cNvPr id="811" name="Rectangle 810"/>
          <xdr:cNvSpPr/>
        </xdr:nvSpPr>
        <xdr:spPr>
          <a:xfrm>
            <a:off x="4590555" y="2038798"/>
            <a:ext cx="348683" cy="1923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345522DC-0E06-422B-8D1E-B4BFA4514B71}" type="TxLink">
              <a:rPr lang="th-TH" sz="1050">
                <a:solidFill>
                  <a:schemeClr val="tx2">
                    <a:lumMod val="60000"/>
                    <a:lumOff val="40000"/>
                  </a:schemeClr>
                </a:solidFill>
              </a:rPr>
              <a:pPr algn="ctr"/>
              <a:t> </a:t>
            </a:fld>
            <a:endParaRPr lang="th-TH" sz="1050">
              <a:solidFill>
                <a:schemeClr val="tx2">
                  <a:lumMod val="60000"/>
                  <a:lumOff val="40000"/>
                </a:schemeClr>
              </a:solidFill>
            </a:endParaRPr>
          </a:p>
        </xdr:txBody>
      </xdr:sp>
      <xdr:sp macro="" textlink="'desigh Stairs'!F68">
        <xdr:nvSpPr>
          <xdr:cNvPr id="812" name="Rectangle 811"/>
          <xdr:cNvSpPr/>
        </xdr:nvSpPr>
        <xdr:spPr>
          <a:xfrm>
            <a:off x="2070662" y="3577018"/>
            <a:ext cx="806210" cy="176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21894E6-8970-46BA-9233-0897C9DDDB7D}" type="TxLink">
              <a:rPr lang="th-TH" sz="1050">
                <a:solidFill>
                  <a:schemeClr val="tx2">
                    <a:lumMod val="60000"/>
                    <a:lumOff val="40000"/>
                  </a:schemeClr>
                </a:solidFill>
                <a:latin typeface="Times New Roman" pitchFamily="18" charset="0"/>
              </a:rPr>
              <a:pPr algn="ctr"/>
              <a:t> </a:t>
            </a:fld>
            <a:endParaRPr lang="th-TH" sz="1050">
              <a:solidFill>
                <a:schemeClr val="tx2">
                  <a:lumMod val="60000"/>
                  <a:lumOff val="40000"/>
                </a:schemeClr>
              </a:solidFill>
              <a:latin typeface="Times New Roman" pitchFamily="18" charset="0"/>
            </a:endParaRPr>
          </a:p>
        </xdr:txBody>
      </xdr:sp>
      <xdr:sp macro="" textlink="'desigh Stairs'!$E$68">
        <xdr:nvSpPr>
          <xdr:cNvPr id="813" name="Rectangle 812"/>
          <xdr:cNvSpPr/>
        </xdr:nvSpPr>
        <xdr:spPr>
          <a:xfrm>
            <a:off x="1968593" y="3577011"/>
            <a:ext cx="348683" cy="176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59F401C6-9832-4C5B-9753-791350D20488}" type="TxLink">
              <a:rPr lang="th-TH" sz="1050">
                <a:solidFill>
                  <a:schemeClr val="tx2">
                    <a:lumMod val="60000"/>
                    <a:lumOff val="40000"/>
                  </a:schemeClr>
                </a:solidFill>
              </a:rPr>
              <a:pPr algn="ctr"/>
              <a:t>   </a:t>
            </a:fld>
            <a:endParaRPr lang="th-TH" sz="1050">
              <a:solidFill>
                <a:schemeClr val="tx2">
                  <a:lumMod val="60000"/>
                  <a:lumOff val="40000"/>
                </a:schemeClr>
              </a:solidFill>
            </a:endParaRPr>
          </a:p>
        </xdr:txBody>
      </xdr:sp>
      <xdr:sp macro="" textlink="'desigh Stairs'!$H$68">
        <xdr:nvSpPr>
          <xdr:cNvPr id="814" name="Rectangle 813"/>
          <xdr:cNvSpPr/>
        </xdr:nvSpPr>
        <xdr:spPr>
          <a:xfrm>
            <a:off x="2719696" y="3576346"/>
            <a:ext cx="721904" cy="1752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11152849-22B6-429D-A6C4-7A099B4ACAF7}" type="TxLink">
              <a:rPr lang="th-TH" sz="1050">
                <a:solidFill>
                  <a:schemeClr val="tx2">
                    <a:lumMod val="60000"/>
                    <a:lumOff val="40000"/>
                  </a:schemeClr>
                </a:solidFill>
                <a:latin typeface="Times New Roman" pitchFamily="18" charset="0"/>
              </a:rPr>
              <a:pPr algn="ctr"/>
              <a:t>  </a:t>
            </a:fld>
            <a:endParaRPr lang="th-TH" sz="1050">
              <a:solidFill>
                <a:schemeClr val="tx2">
                  <a:lumMod val="60000"/>
                  <a:lumOff val="40000"/>
                </a:schemeClr>
              </a:solidFill>
              <a:latin typeface="Times New Roman" pitchFamily="18" charset="0"/>
            </a:endParaRPr>
          </a:p>
        </xdr:txBody>
      </xdr:sp>
      <xdr:sp macro="" textlink="'desigh Stairs'!$G$68">
        <xdr:nvSpPr>
          <xdr:cNvPr id="815" name="Rectangle 814"/>
          <xdr:cNvSpPr/>
        </xdr:nvSpPr>
        <xdr:spPr>
          <a:xfrm>
            <a:off x="2600619" y="3576339"/>
            <a:ext cx="352084" cy="1923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345522DC-0E06-422B-8D1E-B4BFA4514B71}" type="TxLink">
              <a:rPr lang="th-TH" sz="1050">
                <a:solidFill>
                  <a:schemeClr val="tx2">
                    <a:lumMod val="60000"/>
                    <a:lumOff val="40000"/>
                  </a:schemeClr>
                </a:solidFill>
              </a:rPr>
              <a:pPr algn="ctr"/>
              <a:t> </a:t>
            </a:fld>
            <a:endParaRPr lang="th-TH" sz="1050">
              <a:solidFill>
                <a:schemeClr val="tx2">
                  <a:lumMod val="60000"/>
                  <a:lumOff val="40000"/>
                </a:schemeClr>
              </a:solidFill>
            </a:endParaRPr>
          </a:p>
        </xdr:txBody>
      </xdr:sp>
      <xdr:sp macro="" textlink="'desigh Stairs'!$J$68">
        <xdr:nvSpPr>
          <xdr:cNvPr id="817" name="Rectangle 816"/>
          <xdr:cNvSpPr/>
        </xdr:nvSpPr>
        <xdr:spPr>
          <a:xfrm>
            <a:off x="4065029" y="1872694"/>
            <a:ext cx="806210" cy="176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5DABB0E-92C5-4256-8EC4-05916F487353}" type="TxLink">
              <a:rPr lang="th-TH" sz="1050">
                <a:solidFill>
                  <a:schemeClr val="tx2">
                    <a:lumMod val="60000"/>
                    <a:lumOff val="40000"/>
                  </a:schemeClr>
                </a:solidFill>
                <a:latin typeface="Times New Roman" pitchFamily="18" charset="0"/>
              </a:rPr>
              <a:pPr algn="ctr"/>
              <a:t> </a:t>
            </a:fld>
            <a:endParaRPr lang="th-TH" sz="1050">
              <a:solidFill>
                <a:schemeClr val="tx2">
                  <a:lumMod val="60000"/>
                  <a:lumOff val="40000"/>
                </a:schemeClr>
              </a:solidFill>
              <a:latin typeface="Times New Roman" pitchFamily="18" charset="0"/>
            </a:endParaRPr>
          </a:p>
        </xdr:txBody>
      </xdr:sp>
      <xdr:sp macro="" textlink="'desigh Stairs'!$I$68">
        <xdr:nvSpPr>
          <xdr:cNvPr id="818" name="Rectangle 817"/>
          <xdr:cNvSpPr/>
        </xdr:nvSpPr>
        <xdr:spPr>
          <a:xfrm>
            <a:off x="3962960" y="1872687"/>
            <a:ext cx="352085" cy="176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8641041-B853-4BA3-9808-4E56A1591899}" type="TxLink">
              <a:rPr lang="th-TH" sz="1050">
                <a:solidFill>
                  <a:schemeClr val="tx2">
                    <a:lumMod val="60000"/>
                    <a:lumOff val="40000"/>
                  </a:schemeClr>
                </a:solidFill>
              </a:rPr>
              <a:pPr algn="ctr"/>
              <a:t>   </a:t>
            </a:fld>
            <a:endParaRPr lang="th-TH" sz="1050">
              <a:solidFill>
                <a:schemeClr val="tx2">
                  <a:lumMod val="60000"/>
                  <a:lumOff val="40000"/>
                </a:schemeClr>
              </a:solidFill>
            </a:endParaRPr>
          </a:p>
        </xdr:txBody>
      </xdr:sp>
      <xdr:sp macro="" textlink="'desigh Stairs'!$L$68">
        <xdr:nvSpPr>
          <xdr:cNvPr id="819" name="Rectangle 818"/>
          <xdr:cNvSpPr/>
        </xdr:nvSpPr>
        <xdr:spPr>
          <a:xfrm>
            <a:off x="4717464" y="1872022"/>
            <a:ext cx="721905" cy="1752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7308CB52-A702-484C-8C8A-CA61405583E9}" type="TxLink">
              <a:rPr lang="th-TH" sz="1050">
                <a:solidFill>
                  <a:schemeClr val="tx2">
                    <a:lumMod val="60000"/>
                    <a:lumOff val="40000"/>
                  </a:schemeClr>
                </a:solidFill>
                <a:latin typeface="Times New Roman" pitchFamily="18" charset="0"/>
              </a:rPr>
              <a:pPr algn="ctr"/>
              <a:t> </a:t>
            </a:fld>
            <a:endParaRPr lang="th-TH" sz="1050">
              <a:solidFill>
                <a:schemeClr val="tx2">
                  <a:lumMod val="60000"/>
                  <a:lumOff val="40000"/>
                </a:schemeClr>
              </a:solidFill>
              <a:latin typeface="Times New Roman" pitchFamily="18" charset="0"/>
            </a:endParaRPr>
          </a:p>
        </xdr:txBody>
      </xdr:sp>
      <xdr:sp macro="" textlink="'desigh Stairs'!$K$68">
        <xdr:nvSpPr>
          <xdr:cNvPr id="820" name="Rectangle 819"/>
          <xdr:cNvSpPr/>
        </xdr:nvSpPr>
        <xdr:spPr>
          <a:xfrm>
            <a:off x="4598387" y="1872015"/>
            <a:ext cx="348683" cy="1923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012C695B-B9CE-4238-8C51-D44B27E8B249}" type="TxLink">
              <a:rPr lang="th-TH" sz="1050">
                <a:solidFill>
                  <a:schemeClr val="tx2">
                    <a:lumMod val="60000"/>
                    <a:lumOff val="40000"/>
                  </a:schemeClr>
                </a:solidFill>
              </a:rPr>
              <a:pPr algn="ctr"/>
              <a:t> </a:t>
            </a:fld>
            <a:endParaRPr lang="th-TH" sz="1050">
              <a:solidFill>
                <a:schemeClr val="tx2">
                  <a:lumMod val="60000"/>
                  <a:lumOff val="40000"/>
                </a:schemeClr>
              </a:solidFill>
            </a:endParaRPr>
          </a:p>
        </xdr:txBody>
      </xdr:sp>
      <xdr:sp macro="" textlink="'desigh Stairs'!$J$68">
        <xdr:nvSpPr>
          <xdr:cNvPr id="821" name="Rectangle 820"/>
          <xdr:cNvSpPr/>
        </xdr:nvSpPr>
        <xdr:spPr>
          <a:xfrm>
            <a:off x="4048693" y="1465711"/>
            <a:ext cx="806210" cy="2124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5DABB0E-92C5-4256-8EC4-05916F487353}" type="TxLink">
              <a:rPr lang="th-TH" sz="1050">
                <a:solidFill>
                  <a:schemeClr val="tx2">
                    <a:lumMod val="60000"/>
                    <a:lumOff val="40000"/>
                  </a:schemeClr>
                </a:solidFill>
                <a:latin typeface="Times New Roman" pitchFamily="18" charset="0"/>
              </a:rPr>
              <a:pPr algn="ctr"/>
              <a:t> </a:t>
            </a:fld>
            <a:endParaRPr lang="th-TH" sz="1050">
              <a:solidFill>
                <a:schemeClr val="tx2">
                  <a:lumMod val="60000"/>
                  <a:lumOff val="40000"/>
                </a:schemeClr>
              </a:solidFill>
              <a:latin typeface="Times New Roman" pitchFamily="18" charset="0"/>
            </a:endParaRPr>
          </a:p>
        </xdr:txBody>
      </xdr:sp>
      <xdr:sp macro="" textlink="'desigh Stairs'!$I$68">
        <xdr:nvSpPr>
          <xdr:cNvPr id="822" name="Rectangle 821"/>
          <xdr:cNvSpPr/>
        </xdr:nvSpPr>
        <xdr:spPr>
          <a:xfrm>
            <a:off x="3946624" y="1465704"/>
            <a:ext cx="352085" cy="2124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8641041-B853-4BA3-9808-4E56A1591899}" type="TxLink">
              <a:rPr lang="th-TH" sz="1050">
                <a:solidFill>
                  <a:schemeClr val="tx2">
                    <a:lumMod val="60000"/>
                    <a:lumOff val="40000"/>
                  </a:schemeClr>
                </a:solidFill>
              </a:rPr>
              <a:pPr algn="ctr"/>
              <a:t>   </a:t>
            </a:fld>
            <a:endParaRPr lang="th-TH" sz="1050">
              <a:solidFill>
                <a:schemeClr val="tx2">
                  <a:lumMod val="60000"/>
                  <a:lumOff val="40000"/>
                </a:schemeClr>
              </a:solidFill>
            </a:endParaRPr>
          </a:p>
        </xdr:txBody>
      </xdr:sp>
      <xdr:sp macro="" textlink="'desigh Stairs'!$L$68">
        <xdr:nvSpPr>
          <xdr:cNvPr id="823" name="Rectangle 822"/>
          <xdr:cNvSpPr/>
        </xdr:nvSpPr>
        <xdr:spPr>
          <a:xfrm>
            <a:off x="4701128" y="1465039"/>
            <a:ext cx="721905" cy="2124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7308CB52-A702-484C-8C8A-CA61405583E9}" type="TxLink">
              <a:rPr lang="th-TH" sz="1050">
                <a:solidFill>
                  <a:schemeClr val="tx2">
                    <a:lumMod val="60000"/>
                    <a:lumOff val="40000"/>
                  </a:schemeClr>
                </a:solidFill>
                <a:latin typeface="Times New Roman" pitchFamily="18" charset="0"/>
              </a:rPr>
              <a:pPr algn="ctr"/>
              <a:t> </a:t>
            </a:fld>
            <a:endParaRPr lang="th-TH" sz="1050">
              <a:solidFill>
                <a:schemeClr val="tx2">
                  <a:lumMod val="60000"/>
                  <a:lumOff val="40000"/>
                </a:schemeClr>
              </a:solidFill>
              <a:latin typeface="Times New Roman" pitchFamily="18" charset="0"/>
            </a:endParaRPr>
          </a:p>
        </xdr:txBody>
      </xdr:sp>
      <xdr:sp macro="" textlink="'desigh Stairs'!$K$68">
        <xdr:nvSpPr>
          <xdr:cNvPr id="824" name="Rectangle 823"/>
          <xdr:cNvSpPr/>
        </xdr:nvSpPr>
        <xdr:spPr>
          <a:xfrm>
            <a:off x="4582051" y="1465032"/>
            <a:ext cx="348683" cy="2124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012C695B-B9CE-4238-8C51-D44B27E8B249}" type="TxLink">
              <a:rPr lang="th-TH" sz="1050">
                <a:solidFill>
                  <a:schemeClr val="tx2">
                    <a:lumMod val="60000"/>
                    <a:lumOff val="40000"/>
                  </a:schemeClr>
                </a:solidFill>
              </a:rPr>
              <a:pPr algn="ctr"/>
              <a:t> </a:t>
            </a:fld>
            <a:endParaRPr lang="th-TH" sz="1050">
              <a:solidFill>
                <a:schemeClr val="tx2">
                  <a:lumMod val="60000"/>
                  <a:lumOff val="40000"/>
                </a:schemeClr>
              </a:solidFill>
            </a:endParaRPr>
          </a:p>
        </xdr:txBody>
      </xdr:sp>
      <xdr:cxnSp macro="">
        <xdr:nvCxnSpPr>
          <xdr:cNvPr id="828" name="Straight Connector 827"/>
          <xdr:cNvCxnSpPr/>
        </xdr:nvCxnSpPr>
        <xdr:spPr>
          <a:xfrm rot="10800000">
            <a:off x="3242470" y="3683000"/>
            <a:ext cx="284048" cy="1588"/>
          </a:xfrm>
          <a:prstGeom prst="line">
            <a:avLst/>
          </a:prstGeom>
          <a:ln w="317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desigh Stairs'!$J$68">
        <xdr:nvSpPr>
          <xdr:cNvPr id="831" name="Rectangle 830"/>
          <xdr:cNvSpPr/>
        </xdr:nvSpPr>
        <xdr:spPr>
          <a:xfrm>
            <a:off x="2079096" y="3883816"/>
            <a:ext cx="806210" cy="176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5DABB0E-92C5-4256-8EC4-05916F487353}" type="TxLink">
              <a:rPr lang="th-TH" sz="1050">
                <a:solidFill>
                  <a:schemeClr val="tx2">
                    <a:lumMod val="60000"/>
                    <a:lumOff val="40000"/>
                  </a:schemeClr>
                </a:solidFill>
                <a:latin typeface="Times New Roman" pitchFamily="18" charset="0"/>
              </a:rPr>
              <a:pPr algn="ctr"/>
              <a:t> </a:t>
            </a:fld>
            <a:endParaRPr lang="th-TH" sz="1050">
              <a:solidFill>
                <a:schemeClr val="tx2">
                  <a:lumMod val="60000"/>
                  <a:lumOff val="40000"/>
                </a:schemeClr>
              </a:solidFill>
              <a:latin typeface="Times New Roman" pitchFamily="18" charset="0"/>
            </a:endParaRPr>
          </a:p>
        </xdr:txBody>
      </xdr:sp>
      <xdr:sp macro="" textlink="'desigh Stairs'!$I$68">
        <xdr:nvSpPr>
          <xdr:cNvPr id="832" name="Rectangle 831"/>
          <xdr:cNvSpPr/>
        </xdr:nvSpPr>
        <xdr:spPr>
          <a:xfrm>
            <a:off x="1977027" y="3883809"/>
            <a:ext cx="348683" cy="176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8641041-B853-4BA3-9808-4E56A1591899}" type="TxLink">
              <a:rPr lang="th-TH" sz="1050">
                <a:solidFill>
                  <a:schemeClr val="tx2">
                    <a:lumMod val="60000"/>
                    <a:lumOff val="40000"/>
                  </a:schemeClr>
                </a:solidFill>
              </a:rPr>
              <a:pPr algn="ctr"/>
              <a:t>   </a:t>
            </a:fld>
            <a:endParaRPr lang="th-TH" sz="1050">
              <a:solidFill>
                <a:schemeClr val="tx2">
                  <a:lumMod val="60000"/>
                  <a:lumOff val="40000"/>
                </a:schemeClr>
              </a:solidFill>
            </a:endParaRPr>
          </a:p>
        </xdr:txBody>
      </xdr:sp>
      <xdr:sp macro="" textlink="'desigh Stairs'!$L$68">
        <xdr:nvSpPr>
          <xdr:cNvPr id="833" name="Rectangle 832"/>
          <xdr:cNvSpPr/>
        </xdr:nvSpPr>
        <xdr:spPr>
          <a:xfrm>
            <a:off x="2728130" y="3883144"/>
            <a:ext cx="721904" cy="1752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7308CB52-A702-484C-8C8A-CA61405583E9}" type="TxLink">
              <a:rPr lang="th-TH" sz="1050">
                <a:solidFill>
                  <a:schemeClr val="tx2">
                    <a:lumMod val="60000"/>
                    <a:lumOff val="40000"/>
                  </a:schemeClr>
                </a:solidFill>
                <a:latin typeface="Times New Roman" pitchFamily="18" charset="0"/>
              </a:rPr>
              <a:pPr algn="ctr"/>
              <a:t> </a:t>
            </a:fld>
            <a:endParaRPr lang="th-TH" sz="1050">
              <a:solidFill>
                <a:schemeClr val="tx2">
                  <a:lumMod val="60000"/>
                  <a:lumOff val="40000"/>
                </a:schemeClr>
              </a:solidFill>
              <a:latin typeface="Times New Roman" pitchFamily="18" charset="0"/>
            </a:endParaRPr>
          </a:p>
        </xdr:txBody>
      </xdr:sp>
      <xdr:sp macro="" textlink="'desigh Stairs'!$K$68">
        <xdr:nvSpPr>
          <xdr:cNvPr id="834" name="Rectangle 833"/>
          <xdr:cNvSpPr/>
        </xdr:nvSpPr>
        <xdr:spPr>
          <a:xfrm>
            <a:off x="2609053" y="3883137"/>
            <a:ext cx="352084" cy="1923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012C695B-B9CE-4238-8C51-D44B27E8B249}" type="TxLink">
              <a:rPr lang="th-TH" sz="1050">
                <a:solidFill>
                  <a:schemeClr val="tx2">
                    <a:lumMod val="60000"/>
                    <a:lumOff val="40000"/>
                  </a:schemeClr>
                </a:solidFill>
              </a:rPr>
              <a:pPr algn="ctr"/>
              <a:t> </a:t>
            </a:fld>
            <a:endParaRPr lang="th-TH" sz="1050">
              <a:solidFill>
                <a:schemeClr val="tx2">
                  <a:lumMod val="60000"/>
                  <a:lumOff val="40000"/>
                </a:schemeClr>
              </a:solidFill>
            </a:endParaRPr>
          </a:p>
        </xdr:txBody>
      </xdr:sp>
      <xdr:sp macro="" textlink="">
        <xdr:nvSpPr>
          <xdr:cNvPr id="838" name="Rectangle 837"/>
          <xdr:cNvSpPr/>
        </xdr:nvSpPr>
        <xdr:spPr>
          <a:xfrm>
            <a:off x="2473664" y="3066364"/>
            <a:ext cx="488155" cy="258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2">
                    <a:lumMod val="60000"/>
                    <a:lumOff val="40000"/>
                  </a:schemeClr>
                </a:solidFill>
                <a:latin typeface="Times New Roman" pitchFamily="18" charset="0"/>
                <a:cs typeface="Times New Roman" pitchFamily="18" charset="0"/>
              </a:rPr>
              <a:t>L/60</a:t>
            </a:r>
          </a:p>
          <a:p>
            <a:pPr algn="ctr"/>
            <a:endParaRPr lang="th-TH" sz="1000">
              <a:solidFill>
                <a:schemeClr val="tx2">
                  <a:lumMod val="60000"/>
                  <a:lumOff val="40000"/>
                </a:schemeClr>
              </a:solidFill>
              <a:latin typeface="Times New Roman" pitchFamily="18" charset="0"/>
            </a:endParaRPr>
          </a:p>
        </xdr:txBody>
      </xdr:sp>
      <xdr:sp macro="" textlink="">
        <xdr:nvSpPr>
          <xdr:cNvPr id="839" name="Rectangle 838"/>
          <xdr:cNvSpPr/>
        </xdr:nvSpPr>
        <xdr:spPr>
          <a:xfrm>
            <a:off x="4213673" y="4161848"/>
            <a:ext cx="488155" cy="2621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2">
                    <a:lumMod val="60000"/>
                    <a:lumOff val="40000"/>
                  </a:schemeClr>
                </a:solidFill>
                <a:latin typeface="Times New Roman" pitchFamily="18" charset="0"/>
                <a:cs typeface="Times New Roman" pitchFamily="18" charset="0"/>
              </a:rPr>
              <a:t>L/60</a:t>
            </a:r>
          </a:p>
          <a:p>
            <a:pPr algn="ctr"/>
            <a:endParaRPr lang="th-TH" sz="1000">
              <a:solidFill>
                <a:schemeClr val="tx2">
                  <a:lumMod val="60000"/>
                  <a:lumOff val="40000"/>
                </a:schemeClr>
              </a:solidFill>
              <a:latin typeface="Times New Roman" pitchFamily="18" charset="0"/>
            </a:endParaRPr>
          </a:p>
        </xdr:txBody>
      </xdr:sp>
      <xdr:sp macro="" textlink="'desigh Stairs'!C15">
        <xdr:nvSpPr>
          <xdr:cNvPr id="840" name="Rectangle 839"/>
          <xdr:cNvSpPr/>
        </xdr:nvSpPr>
        <xdr:spPr>
          <a:xfrm>
            <a:off x="3131916" y="4773269"/>
            <a:ext cx="967808" cy="2171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52F9C2AA-C8A3-47DA-AB49-261E6D97F284}" type="TxLink">
              <a:rPr lang="th-TH" sz="1000">
                <a:solidFill>
                  <a:schemeClr val="tx2">
                    <a:lumMod val="60000"/>
                    <a:lumOff val="40000"/>
                  </a:schemeClr>
                </a:solidFill>
                <a:latin typeface="Times New Roman" pitchFamily="18" charset="0"/>
              </a:rPr>
              <a:pPr algn="ctr"/>
              <a:t>3.00 m.</a:t>
            </a:fld>
            <a:endParaRPr lang="th-TH" sz="1000">
              <a:solidFill>
                <a:schemeClr val="tx2">
                  <a:lumMod val="60000"/>
                  <a:lumOff val="40000"/>
                </a:schemeClr>
              </a:solidFill>
              <a:latin typeface="Times New Roman" pitchFamily="18" charset="0"/>
            </a:endParaRPr>
          </a:p>
        </xdr:txBody>
      </xdr:sp>
      <xdr:sp macro="" textlink=" 'desigh Stairs'!$Q$33">
        <xdr:nvSpPr>
          <xdr:cNvPr id="841" name="Rectangle 840"/>
          <xdr:cNvSpPr/>
        </xdr:nvSpPr>
        <xdr:spPr>
          <a:xfrm>
            <a:off x="3552061" y="2579691"/>
            <a:ext cx="806211" cy="176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7EF19068-6995-4715-B1EB-8172606934EA}" type="TxLink">
              <a:rPr lang="th-TH" sz="1050">
                <a:solidFill>
                  <a:schemeClr val="tx2">
                    <a:lumMod val="60000"/>
                    <a:lumOff val="40000"/>
                  </a:schemeClr>
                </a:solidFill>
                <a:latin typeface="Times New Roman" pitchFamily="18" charset="0"/>
              </a:rPr>
              <a:pPr algn="ctr"/>
              <a:t> 0.15 </a:t>
            </a:fld>
            <a:endParaRPr lang="th-TH" sz="1050">
              <a:solidFill>
                <a:schemeClr val="tx2">
                  <a:lumMod val="60000"/>
                  <a:lumOff val="40000"/>
                </a:schemeClr>
              </a:solidFill>
              <a:latin typeface="Times New Roman" pitchFamily="18" charset="0"/>
            </a:endParaRPr>
          </a:p>
        </xdr:txBody>
      </xdr:sp>
      <xdr:sp macro="" textlink="'desigh Stairs'!$R$33">
        <xdr:nvSpPr>
          <xdr:cNvPr id="842" name="Rectangle 841"/>
          <xdr:cNvSpPr/>
        </xdr:nvSpPr>
        <xdr:spPr>
          <a:xfrm>
            <a:off x="4031687" y="2579691"/>
            <a:ext cx="352085" cy="176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3C56088-E14D-4EED-A624-2033EF1B926A}" type="TxLink">
              <a:rPr lang="th-TH" sz="1050">
                <a:solidFill>
                  <a:schemeClr val="tx2">
                    <a:lumMod val="60000"/>
                    <a:lumOff val="40000"/>
                  </a:schemeClr>
                </a:solidFill>
              </a:rPr>
              <a:pPr algn="ctr"/>
              <a:t>m.</a:t>
            </a:fld>
            <a:endParaRPr lang="th-TH" sz="1050">
              <a:solidFill>
                <a:schemeClr val="tx2">
                  <a:lumMod val="60000"/>
                  <a:lumOff val="40000"/>
                </a:schemeClr>
              </a:solidFill>
            </a:endParaRPr>
          </a:p>
        </xdr:txBody>
      </xdr:sp>
    </xdr:grpSp>
    <xdr:clientData/>
  </xdr:twoCellAnchor>
  <xdr:twoCellAnchor>
    <xdr:from>
      <xdr:col>3</xdr:col>
      <xdr:colOff>94090</xdr:colOff>
      <xdr:row>41</xdr:row>
      <xdr:rowOff>104020</xdr:rowOff>
    </xdr:from>
    <xdr:to>
      <xdr:col>15</xdr:col>
      <xdr:colOff>7689</xdr:colOff>
      <xdr:row>65</xdr:row>
      <xdr:rowOff>116324</xdr:rowOff>
    </xdr:to>
    <xdr:grpSp>
      <xdr:nvGrpSpPr>
        <xdr:cNvPr id="884" name="Group 883"/>
        <xdr:cNvGrpSpPr/>
      </xdr:nvGrpSpPr>
      <xdr:grpSpPr>
        <a:xfrm>
          <a:off x="1639473" y="7801775"/>
          <a:ext cx="5307859" cy="4444345"/>
          <a:chOff x="1109549" y="7224659"/>
          <a:chExt cx="5326522" cy="4609152"/>
        </a:xfrm>
      </xdr:grpSpPr>
      <xdr:grpSp>
        <xdr:nvGrpSpPr>
          <xdr:cNvPr id="526" name="Group 525"/>
          <xdr:cNvGrpSpPr/>
        </xdr:nvGrpSpPr>
        <xdr:grpSpPr>
          <a:xfrm>
            <a:off x="1109549" y="7224659"/>
            <a:ext cx="5326522" cy="4609152"/>
            <a:chOff x="1384406" y="6784129"/>
            <a:chExt cx="5399756" cy="3957250"/>
          </a:xfrm>
        </xdr:grpSpPr>
        <xdr:grpSp>
          <xdr:nvGrpSpPr>
            <xdr:cNvPr id="486" name="Group 485"/>
            <xdr:cNvGrpSpPr/>
          </xdr:nvGrpSpPr>
          <xdr:grpSpPr>
            <a:xfrm>
              <a:off x="1384406" y="6784129"/>
              <a:ext cx="5399756" cy="3957250"/>
              <a:chOff x="1374963" y="6981608"/>
              <a:chExt cx="5389698" cy="4080008"/>
            </a:xfrm>
          </xdr:grpSpPr>
          <xdr:cxnSp macro="">
            <xdr:nvCxnSpPr>
              <xdr:cNvPr id="157" name="Straight Connector 156"/>
              <xdr:cNvCxnSpPr/>
            </xdr:nvCxnSpPr>
            <xdr:spPr>
              <a:xfrm>
                <a:off x="1785384" y="7921655"/>
                <a:ext cx="1129318" cy="0"/>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58" name="Straight Connector 157"/>
              <xdr:cNvCxnSpPr/>
            </xdr:nvCxnSpPr>
            <xdr:spPr>
              <a:xfrm rot="5400000">
                <a:off x="2740450" y="8094769"/>
                <a:ext cx="348505" cy="1561"/>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59" name="Straight Connector 158"/>
              <xdr:cNvCxnSpPr/>
            </xdr:nvCxnSpPr>
            <xdr:spPr>
              <a:xfrm>
                <a:off x="2914704" y="8270883"/>
                <a:ext cx="431060" cy="1483"/>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0" name="Straight Connector 159"/>
              <xdr:cNvCxnSpPr/>
            </xdr:nvCxnSpPr>
            <xdr:spPr>
              <a:xfrm rot="5400000">
                <a:off x="3189158" y="8424904"/>
                <a:ext cx="306580" cy="1561"/>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1" name="Straight Connector 160"/>
              <xdr:cNvCxnSpPr/>
            </xdr:nvCxnSpPr>
            <xdr:spPr>
              <a:xfrm rot="5400000">
                <a:off x="3625066" y="8724945"/>
                <a:ext cx="297437" cy="1561"/>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2" name="Straight Connector 161"/>
              <xdr:cNvCxnSpPr/>
            </xdr:nvCxnSpPr>
            <xdr:spPr>
              <a:xfrm rot="5400000">
                <a:off x="4046810" y="9026361"/>
                <a:ext cx="305863" cy="1561"/>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3" name="Straight Connector 162"/>
              <xdr:cNvCxnSpPr/>
            </xdr:nvCxnSpPr>
            <xdr:spPr>
              <a:xfrm rot="16200000" flipH="1">
                <a:off x="4822364" y="10288430"/>
                <a:ext cx="475374" cy="0"/>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4" name="Straight Connector 163"/>
              <xdr:cNvCxnSpPr/>
            </xdr:nvCxnSpPr>
            <xdr:spPr>
              <a:xfrm rot="5400000">
                <a:off x="5184359" y="10289445"/>
                <a:ext cx="458199" cy="0"/>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5" name="Straight Connector 164"/>
              <xdr:cNvCxnSpPr/>
            </xdr:nvCxnSpPr>
            <xdr:spPr>
              <a:xfrm rot="5400000">
                <a:off x="4476224" y="9339819"/>
                <a:ext cx="308085" cy="1561"/>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6" name="Straight Connector 165"/>
              <xdr:cNvCxnSpPr/>
            </xdr:nvCxnSpPr>
            <xdr:spPr>
              <a:xfrm rot="16200000" flipH="1">
                <a:off x="4900523" y="9664093"/>
                <a:ext cx="348058" cy="0"/>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7" name="Straight Connector 166"/>
              <xdr:cNvCxnSpPr/>
            </xdr:nvCxnSpPr>
            <xdr:spPr>
              <a:xfrm>
                <a:off x="3341669" y="8577484"/>
                <a:ext cx="431062" cy="1483"/>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8" name="Straight Connector 167"/>
              <xdr:cNvCxnSpPr/>
            </xdr:nvCxnSpPr>
            <xdr:spPr>
              <a:xfrm>
                <a:off x="3773706" y="8876260"/>
                <a:ext cx="427038" cy="1483"/>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9" name="Straight Connector 168"/>
              <xdr:cNvCxnSpPr/>
            </xdr:nvCxnSpPr>
            <xdr:spPr>
              <a:xfrm>
                <a:off x="4198961" y="9182484"/>
                <a:ext cx="431062" cy="1483"/>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70" name="Straight Connector 169"/>
              <xdr:cNvCxnSpPr/>
            </xdr:nvCxnSpPr>
            <xdr:spPr>
              <a:xfrm>
                <a:off x="4631311" y="9490185"/>
                <a:ext cx="440954" cy="1483"/>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71" name="Straight Connector 170"/>
              <xdr:cNvCxnSpPr/>
            </xdr:nvCxnSpPr>
            <xdr:spPr>
              <a:xfrm>
                <a:off x="5072671" y="9833991"/>
                <a:ext cx="901529" cy="1483"/>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72" name="Straight Connector 171"/>
              <xdr:cNvCxnSpPr/>
            </xdr:nvCxnSpPr>
            <xdr:spPr>
              <a:xfrm rot="10800000">
                <a:off x="5416985" y="10056785"/>
                <a:ext cx="560249" cy="0"/>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74" name="Straight Connector 173"/>
              <xdr:cNvCxnSpPr/>
            </xdr:nvCxnSpPr>
            <xdr:spPr>
              <a:xfrm rot="16200000" flipH="1">
                <a:off x="2549308" y="8650022"/>
                <a:ext cx="303377" cy="0"/>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75" name="Straight Connector 174"/>
              <xdr:cNvCxnSpPr/>
            </xdr:nvCxnSpPr>
            <xdr:spPr>
              <a:xfrm rot="16200000" flipH="1">
                <a:off x="2021122" y="8475967"/>
                <a:ext cx="672762" cy="0"/>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76" name="Straight Connector 175"/>
              <xdr:cNvCxnSpPr/>
            </xdr:nvCxnSpPr>
            <xdr:spPr>
              <a:xfrm>
                <a:off x="1786541" y="8140477"/>
                <a:ext cx="577415" cy="1483"/>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77" name="Straight Connector 176"/>
              <xdr:cNvCxnSpPr/>
            </xdr:nvCxnSpPr>
            <xdr:spPr>
              <a:xfrm>
                <a:off x="2359745" y="8805005"/>
                <a:ext cx="346110" cy="1483"/>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78" name="Straight Connector 177"/>
              <xdr:cNvCxnSpPr/>
            </xdr:nvCxnSpPr>
            <xdr:spPr>
              <a:xfrm>
                <a:off x="5060246" y="10516914"/>
                <a:ext cx="352910" cy="1483"/>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06" name="Flowchart: Connector 205"/>
              <xdr:cNvSpPr/>
            </xdr:nvSpPr>
            <xdr:spPr>
              <a:xfrm>
                <a:off x="3261825" y="8352052"/>
                <a:ext cx="10607" cy="10083"/>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207" name="Flowchart: Connector 206"/>
              <xdr:cNvSpPr/>
            </xdr:nvSpPr>
            <xdr:spPr>
              <a:xfrm>
                <a:off x="2654040" y="8023912"/>
                <a:ext cx="10607" cy="10083"/>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208" name="Flowchart: Connector 207"/>
              <xdr:cNvSpPr/>
            </xdr:nvSpPr>
            <xdr:spPr>
              <a:xfrm>
                <a:off x="3693331" y="8646835"/>
                <a:ext cx="10607" cy="10083"/>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209" name="Flowchart: Connector 208"/>
              <xdr:cNvSpPr/>
            </xdr:nvSpPr>
            <xdr:spPr>
              <a:xfrm>
                <a:off x="3259569" y="8642012"/>
                <a:ext cx="10607" cy="10083"/>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210" name="Flowchart: Connector 209"/>
              <xdr:cNvSpPr/>
            </xdr:nvSpPr>
            <xdr:spPr>
              <a:xfrm>
                <a:off x="2627579" y="8376440"/>
                <a:ext cx="10607" cy="10083"/>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211" name="Flowchart: Connector 210"/>
              <xdr:cNvSpPr/>
            </xdr:nvSpPr>
            <xdr:spPr>
              <a:xfrm>
                <a:off x="4092026" y="8985939"/>
                <a:ext cx="10607" cy="10083"/>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213" name="Flowchart: Connector 212"/>
              <xdr:cNvSpPr/>
            </xdr:nvSpPr>
            <xdr:spPr>
              <a:xfrm>
                <a:off x="4516372" y="9286847"/>
                <a:ext cx="10607" cy="10083"/>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215" name="Flowchart: Connector 214"/>
              <xdr:cNvSpPr/>
            </xdr:nvSpPr>
            <xdr:spPr>
              <a:xfrm>
                <a:off x="4556123" y="9248023"/>
                <a:ext cx="10607" cy="10083"/>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217" name="Flowchart: Connector 216"/>
              <xdr:cNvSpPr/>
            </xdr:nvSpPr>
            <xdr:spPr>
              <a:xfrm>
                <a:off x="4069128" y="9300907"/>
                <a:ext cx="10607" cy="10083"/>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220" name="Flowchart: Connector 219"/>
              <xdr:cNvSpPr/>
            </xdr:nvSpPr>
            <xdr:spPr>
              <a:xfrm>
                <a:off x="3230941" y="8403214"/>
                <a:ext cx="10607" cy="10083"/>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cxnSp macro="">
            <xdr:nvCxnSpPr>
              <xdr:cNvPr id="227" name="Straight Arrow Connector 226"/>
              <xdr:cNvCxnSpPr/>
            </xdr:nvCxnSpPr>
            <xdr:spPr>
              <a:xfrm rot="5400000">
                <a:off x="3047801" y="8129153"/>
                <a:ext cx="447768" cy="1476"/>
              </a:xfrm>
              <a:prstGeom prst="straightConnector1">
                <a:avLst/>
              </a:prstGeom>
              <a:ln w="3175" cap="flat">
                <a:solidFill>
                  <a:schemeClr val="tx1">
                    <a:lumMod val="65000"/>
                    <a:lumOff val="35000"/>
                  </a:schemeClr>
                </a:solidFill>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247" name="Straight Connector 246"/>
              <xdr:cNvCxnSpPr/>
            </xdr:nvCxnSpPr>
            <xdr:spPr>
              <a:xfrm rot="5400000">
                <a:off x="2122123" y="8904433"/>
                <a:ext cx="798211" cy="794"/>
              </a:xfrm>
              <a:prstGeom prst="line">
                <a:avLst/>
              </a:prstGeom>
              <a:ln w="3175">
                <a:solidFill>
                  <a:schemeClr val="tx1">
                    <a:lumMod val="95000"/>
                    <a:lumOff val="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48" name="Straight Connector 247"/>
              <xdr:cNvCxnSpPr/>
            </xdr:nvCxnSpPr>
            <xdr:spPr>
              <a:xfrm rot="5400000">
                <a:off x="3489861" y="9227309"/>
                <a:ext cx="481087" cy="0"/>
              </a:xfrm>
              <a:prstGeom prst="line">
                <a:avLst/>
              </a:prstGeom>
              <a:ln w="3175">
                <a:solidFill>
                  <a:schemeClr val="tx1">
                    <a:lumMod val="95000"/>
                    <a:lumOff val="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49" name="Straight Connector 248"/>
              <xdr:cNvCxnSpPr/>
            </xdr:nvCxnSpPr>
            <xdr:spPr>
              <a:xfrm rot="10800000">
                <a:off x="2508503" y="9416885"/>
                <a:ext cx="1211294" cy="0"/>
              </a:xfrm>
              <a:prstGeom prst="line">
                <a:avLst/>
              </a:prstGeom>
              <a:ln w="3175">
                <a:solidFill>
                  <a:schemeClr val="tx1">
                    <a:lumMod val="65000"/>
                    <a:lumOff val="35000"/>
                  </a:schemeClr>
                </a:solidFill>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250" name="Straight Connector 249"/>
              <xdr:cNvCxnSpPr/>
            </xdr:nvCxnSpPr>
            <xdr:spPr>
              <a:xfrm rot="16200000" flipH="1">
                <a:off x="3887951" y="10261842"/>
                <a:ext cx="849649" cy="0"/>
              </a:xfrm>
              <a:prstGeom prst="line">
                <a:avLst/>
              </a:prstGeom>
              <a:ln w="3175">
                <a:solidFill>
                  <a:schemeClr val="tx1">
                    <a:lumMod val="95000"/>
                    <a:lumOff val="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51" name="Straight Connector 250"/>
              <xdr:cNvCxnSpPr/>
            </xdr:nvCxnSpPr>
            <xdr:spPr>
              <a:xfrm>
                <a:off x="4315742" y="10638472"/>
                <a:ext cx="960912" cy="2681"/>
              </a:xfrm>
              <a:prstGeom prst="line">
                <a:avLst/>
              </a:prstGeom>
              <a:ln w="3175">
                <a:solidFill>
                  <a:schemeClr val="tx1">
                    <a:lumMod val="65000"/>
                    <a:lumOff val="35000"/>
                  </a:schemeClr>
                </a:solidFill>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252" name="Straight Connector 251"/>
              <xdr:cNvCxnSpPr/>
            </xdr:nvCxnSpPr>
            <xdr:spPr>
              <a:xfrm rot="5400000">
                <a:off x="5130352" y="10526745"/>
                <a:ext cx="258737" cy="0"/>
              </a:xfrm>
              <a:prstGeom prst="line">
                <a:avLst/>
              </a:prstGeom>
              <a:ln w="3175">
                <a:solidFill>
                  <a:schemeClr val="tx1">
                    <a:lumMod val="95000"/>
                    <a:lumOff val="5000"/>
                  </a:schemeClr>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256" name="Flowchart: Connector 255"/>
              <xdr:cNvSpPr/>
            </xdr:nvSpPr>
            <xdr:spPr>
              <a:xfrm>
                <a:off x="5225727" y="9906355"/>
                <a:ext cx="10662" cy="9983"/>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260" name="Flowchart: Connector 259"/>
              <xdr:cNvSpPr/>
            </xdr:nvSpPr>
            <xdr:spPr>
              <a:xfrm>
                <a:off x="4982649" y="9922592"/>
                <a:ext cx="10658" cy="1007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263" name="Flowchart: Connector 262"/>
              <xdr:cNvSpPr/>
            </xdr:nvSpPr>
            <xdr:spPr>
              <a:xfrm>
                <a:off x="3204255" y="8716191"/>
                <a:ext cx="10658" cy="1007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269" name="Flowchart: Connector 268"/>
              <xdr:cNvSpPr/>
            </xdr:nvSpPr>
            <xdr:spPr>
              <a:xfrm>
                <a:off x="3667979" y="8695544"/>
                <a:ext cx="10658" cy="1007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270" name="Flowchart: Connector 269"/>
              <xdr:cNvSpPr/>
            </xdr:nvSpPr>
            <xdr:spPr>
              <a:xfrm>
                <a:off x="4935643" y="9601015"/>
                <a:ext cx="10658" cy="1007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271" name="Flowchart: Connector 270"/>
              <xdr:cNvSpPr/>
            </xdr:nvSpPr>
            <xdr:spPr>
              <a:xfrm>
                <a:off x="4542969" y="9567245"/>
                <a:ext cx="10658" cy="1007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276" name="Flowchart: Connector 275"/>
              <xdr:cNvSpPr/>
            </xdr:nvSpPr>
            <xdr:spPr>
              <a:xfrm>
                <a:off x="3673484" y="8951682"/>
                <a:ext cx="10658" cy="1007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278" name="Flowchart: Connector 277"/>
              <xdr:cNvSpPr/>
            </xdr:nvSpPr>
            <xdr:spPr>
              <a:xfrm>
                <a:off x="4914838" y="9962847"/>
                <a:ext cx="10658" cy="1007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cxnSp macro="">
            <xdr:nvCxnSpPr>
              <xdr:cNvPr id="285" name="Straight Arrow Connector 284"/>
              <xdr:cNvCxnSpPr/>
            </xdr:nvCxnSpPr>
            <xdr:spPr>
              <a:xfrm rot="16200000" flipH="1">
                <a:off x="2541623" y="8031829"/>
                <a:ext cx="609467" cy="2310"/>
              </a:xfrm>
              <a:prstGeom prst="straightConnector1">
                <a:avLst/>
              </a:prstGeom>
              <a:ln w="3175" cap="flat">
                <a:solidFill>
                  <a:schemeClr val="tx1">
                    <a:lumMod val="65000"/>
                    <a:lumOff val="35000"/>
                  </a:schemeClr>
                </a:solidFill>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287" name="Straight Arrow Connector 286"/>
              <xdr:cNvCxnSpPr/>
            </xdr:nvCxnSpPr>
            <xdr:spPr>
              <a:xfrm rot="16200000" flipH="1">
                <a:off x="3833249" y="8716573"/>
                <a:ext cx="535529" cy="0"/>
              </a:xfrm>
              <a:prstGeom prst="straightConnector1">
                <a:avLst/>
              </a:prstGeom>
              <a:ln w="3175" cap="flat">
                <a:solidFill>
                  <a:schemeClr val="tx1">
                    <a:lumMod val="65000"/>
                    <a:lumOff val="35000"/>
                  </a:schemeClr>
                </a:solidFill>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288" name="Straight Connector 287"/>
              <xdr:cNvCxnSpPr/>
            </xdr:nvCxnSpPr>
            <xdr:spPr>
              <a:xfrm>
                <a:off x="2845640" y="7725733"/>
                <a:ext cx="1248803" cy="0"/>
              </a:xfrm>
              <a:prstGeom prst="line">
                <a:avLst/>
              </a:prstGeom>
              <a:ln w="3175">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89" name="Straight Connector 288"/>
              <xdr:cNvCxnSpPr/>
            </xdr:nvCxnSpPr>
            <xdr:spPr>
              <a:xfrm flipV="1">
                <a:off x="4101014" y="8451627"/>
                <a:ext cx="656227" cy="1539"/>
              </a:xfrm>
              <a:prstGeom prst="line">
                <a:avLst/>
              </a:prstGeom>
              <a:ln w="3175">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90" name="Straight Connector 289"/>
              <xdr:cNvCxnSpPr/>
            </xdr:nvCxnSpPr>
            <xdr:spPr>
              <a:xfrm>
                <a:off x="3277072" y="7904708"/>
                <a:ext cx="821975" cy="1625"/>
              </a:xfrm>
              <a:prstGeom prst="line">
                <a:avLst/>
              </a:prstGeom>
              <a:ln w="3175">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95" name="Straight Arrow Connector 294"/>
              <xdr:cNvCxnSpPr/>
            </xdr:nvCxnSpPr>
            <xdr:spPr>
              <a:xfrm rot="16200000" flipH="1">
                <a:off x="3498748" y="8607212"/>
                <a:ext cx="853072" cy="0"/>
              </a:xfrm>
              <a:prstGeom prst="straightConnector1">
                <a:avLst/>
              </a:prstGeom>
              <a:ln w="3175" cap="flat">
                <a:solidFill>
                  <a:schemeClr val="tx1">
                    <a:lumMod val="65000"/>
                    <a:lumOff val="35000"/>
                  </a:schemeClr>
                </a:solidFill>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296" name="Straight Connector 295"/>
              <xdr:cNvCxnSpPr/>
            </xdr:nvCxnSpPr>
            <xdr:spPr>
              <a:xfrm flipV="1">
                <a:off x="3923357" y="8177358"/>
                <a:ext cx="822303" cy="0"/>
              </a:xfrm>
              <a:prstGeom prst="line">
                <a:avLst/>
              </a:prstGeom>
              <a:ln w="3175">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97" name="Rectangle 296"/>
              <xdr:cNvSpPr/>
            </xdr:nvSpPr>
            <xdr:spPr>
              <a:xfrm>
                <a:off x="1374963" y="6981608"/>
                <a:ext cx="5389698" cy="40800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cxnSp macro="">
            <xdr:nvCxnSpPr>
              <xdr:cNvPr id="298" name="Straight Connector 297"/>
              <xdr:cNvCxnSpPr/>
            </xdr:nvCxnSpPr>
            <xdr:spPr>
              <a:xfrm rot="5400000">
                <a:off x="1722657" y="10071691"/>
                <a:ext cx="1590043" cy="0"/>
              </a:xfrm>
              <a:prstGeom prst="line">
                <a:avLst/>
              </a:prstGeom>
              <a:ln w="3175">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99" name="Straight Connector 298"/>
              <xdr:cNvCxnSpPr/>
            </xdr:nvCxnSpPr>
            <xdr:spPr>
              <a:xfrm>
                <a:off x="2510517" y="10850830"/>
                <a:ext cx="2766138" cy="0"/>
              </a:xfrm>
              <a:prstGeom prst="line">
                <a:avLst/>
              </a:prstGeom>
              <a:ln w="3175">
                <a:solidFill>
                  <a:schemeClr val="tx1">
                    <a:lumMod val="65000"/>
                    <a:lumOff val="35000"/>
                  </a:schemeClr>
                </a:solidFill>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300" name="Straight Connector 299"/>
              <xdr:cNvCxnSpPr/>
            </xdr:nvCxnSpPr>
            <xdr:spPr>
              <a:xfrm rot="5400000">
                <a:off x="5122269" y="10731704"/>
                <a:ext cx="279811" cy="419"/>
              </a:xfrm>
              <a:prstGeom prst="line">
                <a:avLst/>
              </a:prstGeom>
              <a:ln w="3175">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02" name="Straight Connector 301"/>
              <xdr:cNvCxnSpPr/>
            </xdr:nvCxnSpPr>
            <xdr:spPr>
              <a:xfrm>
                <a:off x="2693461" y="8511389"/>
                <a:ext cx="430982" cy="1588"/>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04" name="Straight Connector 303"/>
              <xdr:cNvCxnSpPr/>
            </xdr:nvCxnSpPr>
            <xdr:spPr>
              <a:xfrm rot="5400000">
                <a:off x="2976085" y="8660074"/>
                <a:ext cx="292748" cy="1588"/>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06" name="Straight Connector 305"/>
              <xdr:cNvCxnSpPr/>
            </xdr:nvCxnSpPr>
            <xdr:spPr>
              <a:xfrm>
                <a:off x="3125900" y="8801040"/>
                <a:ext cx="433828" cy="1588"/>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08" name="Straight Connector 307"/>
              <xdr:cNvCxnSpPr/>
            </xdr:nvCxnSpPr>
            <xdr:spPr>
              <a:xfrm rot="5400000">
                <a:off x="3413581" y="8942909"/>
                <a:ext cx="297496" cy="1588"/>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10" name="Straight Connector 309"/>
              <xdr:cNvCxnSpPr/>
            </xdr:nvCxnSpPr>
            <xdr:spPr>
              <a:xfrm>
                <a:off x="3561940" y="9090556"/>
                <a:ext cx="432000" cy="1588"/>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12" name="Straight Connector 311"/>
              <xdr:cNvCxnSpPr/>
            </xdr:nvCxnSpPr>
            <xdr:spPr>
              <a:xfrm rot="5400000">
                <a:off x="3834714" y="9247597"/>
                <a:ext cx="304455" cy="466"/>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14" name="Straight Connector 313"/>
              <xdr:cNvCxnSpPr/>
            </xdr:nvCxnSpPr>
            <xdr:spPr>
              <a:xfrm>
                <a:off x="3981134" y="9398093"/>
                <a:ext cx="428123" cy="1588"/>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16" name="Straight Connector 315"/>
              <xdr:cNvCxnSpPr/>
            </xdr:nvCxnSpPr>
            <xdr:spPr>
              <a:xfrm rot="5400000">
                <a:off x="4260561" y="9549921"/>
                <a:ext cx="289992" cy="0"/>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18" name="Straight Connector 317"/>
              <xdr:cNvCxnSpPr/>
            </xdr:nvCxnSpPr>
            <xdr:spPr>
              <a:xfrm>
                <a:off x="4395757" y="9698976"/>
                <a:ext cx="438924" cy="0"/>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21" name="Straight Connector 320"/>
              <xdr:cNvCxnSpPr/>
            </xdr:nvCxnSpPr>
            <xdr:spPr>
              <a:xfrm rot="16200000" flipH="1">
                <a:off x="4641501" y="9875645"/>
                <a:ext cx="369496" cy="0"/>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25" name="Straight Connector 324"/>
              <xdr:cNvCxnSpPr/>
            </xdr:nvCxnSpPr>
            <xdr:spPr>
              <a:xfrm rot="10800000">
                <a:off x="4828727" y="10062699"/>
                <a:ext cx="226800" cy="0"/>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34" name="Straight Connector 333"/>
              <xdr:cNvCxnSpPr/>
            </xdr:nvCxnSpPr>
            <xdr:spPr>
              <a:xfrm rot="16200000" flipH="1">
                <a:off x="2360996" y="8284817"/>
                <a:ext cx="365912" cy="0"/>
              </a:xfrm>
              <a:prstGeom prst="line">
                <a:avLst/>
              </a:prstGeom>
              <a:ln w="952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37" name="Straight Connector 336"/>
              <xdr:cNvCxnSpPr/>
            </xdr:nvCxnSpPr>
            <xdr:spPr>
              <a:xfrm>
                <a:off x="2545016" y="8456983"/>
                <a:ext cx="715280" cy="1588"/>
              </a:xfrm>
              <a:prstGeom prst="line">
                <a:avLst/>
              </a:prstGeom>
              <a:ln w="952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41" name="Straight Connector 340"/>
              <xdr:cNvCxnSpPr/>
            </xdr:nvCxnSpPr>
            <xdr:spPr>
              <a:xfrm rot="5400000" flipH="1" flipV="1">
                <a:off x="3221109" y="8422027"/>
                <a:ext cx="76361" cy="1588"/>
              </a:xfrm>
              <a:prstGeom prst="line">
                <a:avLst/>
              </a:prstGeom>
              <a:ln w="952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48" name="Straight Connector 347"/>
              <xdr:cNvCxnSpPr/>
            </xdr:nvCxnSpPr>
            <xdr:spPr>
              <a:xfrm rot="10800000">
                <a:off x="3185100" y="8389905"/>
                <a:ext cx="72000" cy="1588"/>
              </a:xfrm>
              <a:prstGeom prst="line">
                <a:avLst/>
              </a:prstGeom>
              <a:ln w="952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52" name="Straight Connector 351"/>
              <xdr:cNvCxnSpPr/>
            </xdr:nvCxnSpPr>
            <xdr:spPr>
              <a:xfrm rot="5400000">
                <a:off x="3005543" y="8567994"/>
                <a:ext cx="363985" cy="1588"/>
              </a:xfrm>
              <a:prstGeom prst="line">
                <a:avLst/>
              </a:prstGeom>
              <a:ln w="952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54" name="Straight Connector 353"/>
              <xdr:cNvCxnSpPr/>
            </xdr:nvCxnSpPr>
            <xdr:spPr>
              <a:xfrm>
                <a:off x="3181144" y="8744999"/>
                <a:ext cx="520228" cy="1588"/>
              </a:xfrm>
              <a:prstGeom prst="line">
                <a:avLst/>
              </a:prstGeom>
              <a:ln w="952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58" name="Straight Connector 357"/>
              <xdr:cNvCxnSpPr/>
            </xdr:nvCxnSpPr>
            <xdr:spPr>
              <a:xfrm rot="5400000" flipH="1" flipV="1">
                <a:off x="3661296" y="8711751"/>
                <a:ext cx="72000" cy="1588"/>
              </a:xfrm>
              <a:prstGeom prst="line">
                <a:avLst/>
              </a:prstGeom>
              <a:ln w="952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61" name="Straight Connector 360"/>
              <xdr:cNvCxnSpPr/>
            </xdr:nvCxnSpPr>
            <xdr:spPr>
              <a:xfrm rot="10800000">
                <a:off x="3626338" y="8679151"/>
                <a:ext cx="72000" cy="1588"/>
              </a:xfrm>
              <a:prstGeom prst="line">
                <a:avLst/>
              </a:prstGeom>
              <a:ln w="952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63" name="Straight Connector 362"/>
              <xdr:cNvCxnSpPr/>
            </xdr:nvCxnSpPr>
            <xdr:spPr>
              <a:xfrm rot="5400000">
                <a:off x="3454043" y="8851792"/>
                <a:ext cx="351044" cy="903"/>
              </a:xfrm>
              <a:prstGeom prst="line">
                <a:avLst/>
              </a:prstGeom>
              <a:ln w="952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65" name="Straight Connector 364"/>
              <xdr:cNvCxnSpPr/>
            </xdr:nvCxnSpPr>
            <xdr:spPr>
              <a:xfrm>
                <a:off x="3622400" y="9031323"/>
                <a:ext cx="499966" cy="1588"/>
              </a:xfrm>
              <a:prstGeom prst="line">
                <a:avLst/>
              </a:prstGeom>
              <a:ln w="952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67" name="Straight Connector 366"/>
              <xdr:cNvCxnSpPr/>
            </xdr:nvCxnSpPr>
            <xdr:spPr>
              <a:xfrm rot="5400000" flipH="1" flipV="1">
                <a:off x="4082042" y="8997969"/>
                <a:ext cx="73742" cy="1588"/>
              </a:xfrm>
              <a:prstGeom prst="line">
                <a:avLst/>
              </a:prstGeom>
              <a:ln w="952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69" name="Straight Connector 368"/>
              <xdr:cNvCxnSpPr/>
            </xdr:nvCxnSpPr>
            <xdr:spPr>
              <a:xfrm rot="10800000">
                <a:off x="4051763" y="8966644"/>
                <a:ext cx="70228" cy="1588"/>
              </a:xfrm>
              <a:prstGeom prst="line">
                <a:avLst/>
              </a:prstGeom>
              <a:ln w="952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71" name="Straight Connector 370"/>
              <xdr:cNvCxnSpPr/>
            </xdr:nvCxnSpPr>
            <xdr:spPr>
              <a:xfrm rot="5400000">
                <a:off x="3867529" y="9144387"/>
                <a:ext cx="363986" cy="1588"/>
              </a:xfrm>
              <a:prstGeom prst="line">
                <a:avLst/>
              </a:prstGeom>
              <a:ln w="952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73" name="Straight Connector 372"/>
              <xdr:cNvCxnSpPr/>
            </xdr:nvCxnSpPr>
            <xdr:spPr>
              <a:xfrm>
                <a:off x="4045212" y="9331618"/>
                <a:ext cx="499966" cy="1588"/>
              </a:xfrm>
              <a:prstGeom prst="line">
                <a:avLst/>
              </a:prstGeom>
              <a:ln w="952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75" name="Straight Connector 374"/>
              <xdr:cNvCxnSpPr/>
            </xdr:nvCxnSpPr>
            <xdr:spPr>
              <a:xfrm rot="5400000" flipH="1" flipV="1">
                <a:off x="4505607" y="9299888"/>
                <a:ext cx="72000" cy="1588"/>
              </a:xfrm>
              <a:prstGeom prst="line">
                <a:avLst/>
              </a:prstGeom>
              <a:ln w="952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78" name="Straight Connector 377"/>
              <xdr:cNvCxnSpPr/>
            </xdr:nvCxnSpPr>
            <xdr:spPr>
              <a:xfrm rot="10800000">
                <a:off x="4466644" y="9269649"/>
                <a:ext cx="79200" cy="1588"/>
              </a:xfrm>
              <a:prstGeom prst="line">
                <a:avLst/>
              </a:prstGeom>
              <a:ln w="952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80" name="Straight Connector 379"/>
              <xdr:cNvCxnSpPr/>
            </xdr:nvCxnSpPr>
            <xdr:spPr>
              <a:xfrm rot="5400000">
                <a:off x="4288496" y="9455469"/>
                <a:ext cx="363985" cy="1588"/>
              </a:xfrm>
              <a:prstGeom prst="line">
                <a:avLst/>
              </a:prstGeom>
              <a:ln w="952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82" name="Straight Connector 381"/>
              <xdr:cNvCxnSpPr/>
            </xdr:nvCxnSpPr>
            <xdr:spPr>
              <a:xfrm>
                <a:off x="4466065" y="9638686"/>
                <a:ext cx="499966" cy="1588"/>
              </a:xfrm>
              <a:prstGeom prst="line">
                <a:avLst/>
              </a:prstGeom>
              <a:ln w="952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84" name="Straight Connector 383"/>
              <xdr:cNvCxnSpPr/>
            </xdr:nvCxnSpPr>
            <xdr:spPr>
              <a:xfrm rot="5400000" flipH="1" flipV="1">
                <a:off x="4925470" y="9611225"/>
                <a:ext cx="72251" cy="1588"/>
              </a:xfrm>
              <a:prstGeom prst="line">
                <a:avLst/>
              </a:prstGeom>
              <a:ln w="952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86" name="Straight Connector 385"/>
              <xdr:cNvCxnSpPr/>
            </xdr:nvCxnSpPr>
            <xdr:spPr>
              <a:xfrm rot="10800000">
                <a:off x="4890118" y="9581418"/>
                <a:ext cx="72000" cy="1588"/>
              </a:xfrm>
              <a:prstGeom prst="line">
                <a:avLst/>
              </a:prstGeom>
              <a:ln w="952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88" name="Straight Connector 387"/>
              <xdr:cNvCxnSpPr/>
            </xdr:nvCxnSpPr>
            <xdr:spPr>
              <a:xfrm rot="5400000">
                <a:off x="4685427" y="9790178"/>
                <a:ext cx="415230" cy="794"/>
              </a:xfrm>
              <a:prstGeom prst="line">
                <a:avLst/>
              </a:prstGeom>
              <a:ln w="952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90" name="Straight Connector 389"/>
              <xdr:cNvCxnSpPr/>
            </xdr:nvCxnSpPr>
            <xdr:spPr>
              <a:xfrm>
                <a:off x="4893341" y="9998024"/>
                <a:ext cx="304041" cy="0"/>
              </a:xfrm>
              <a:prstGeom prst="line">
                <a:avLst/>
              </a:prstGeom>
              <a:ln w="9525">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395" name="Freeform 394"/>
              <xdr:cNvSpPr/>
            </xdr:nvSpPr>
            <xdr:spPr>
              <a:xfrm>
                <a:off x="5094804" y="9941289"/>
                <a:ext cx="123967" cy="60567"/>
              </a:xfrm>
              <a:custGeom>
                <a:avLst/>
                <a:gdLst>
                  <a:gd name="connsiteX0" fmla="*/ 101671 w 123967"/>
                  <a:gd name="connsiteY0" fmla="*/ 63322 h 63322"/>
                  <a:gd name="connsiteX1" fmla="*/ 107022 w 123967"/>
                  <a:gd name="connsiteY1" fmla="*/ 9810 h 63322"/>
                  <a:gd name="connsiteX2" fmla="*/ 0 w 123967"/>
                  <a:gd name="connsiteY2" fmla="*/ 4459 h 63322"/>
                </a:gdLst>
                <a:ahLst/>
                <a:cxnLst>
                  <a:cxn ang="0">
                    <a:pos x="connsiteX0" y="connsiteY0"/>
                  </a:cxn>
                  <a:cxn ang="0">
                    <a:pos x="connsiteX1" y="connsiteY1"/>
                  </a:cxn>
                  <a:cxn ang="0">
                    <a:pos x="connsiteX2" y="connsiteY2"/>
                  </a:cxn>
                </a:cxnLst>
                <a:rect l="l" t="t" r="r" b="b"/>
                <a:pathLst>
                  <a:path w="123967" h="63322">
                    <a:moveTo>
                      <a:pt x="101671" y="63322"/>
                    </a:moveTo>
                    <a:cubicBezTo>
                      <a:pt x="112819" y="41471"/>
                      <a:pt x="123967" y="19621"/>
                      <a:pt x="107022" y="9810"/>
                    </a:cubicBezTo>
                    <a:cubicBezTo>
                      <a:pt x="90077" y="0"/>
                      <a:pt x="0" y="4459"/>
                      <a:pt x="0" y="4459"/>
                    </a:cubicBezTo>
                  </a:path>
                </a:pathLst>
              </a:custGeom>
              <a:ln w="95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cxnSp macro="">
            <xdr:nvCxnSpPr>
              <xdr:cNvPr id="398" name="Straight Connector 397"/>
              <xdr:cNvCxnSpPr/>
            </xdr:nvCxnSpPr>
            <xdr:spPr>
              <a:xfrm rot="5400000" flipH="1" flipV="1">
                <a:off x="4990030" y="10143399"/>
                <a:ext cx="523218" cy="1588"/>
              </a:xfrm>
              <a:prstGeom prst="line">
                <a:avLst/>
              </a:prstGeom>
              <a:ln>
                <a:solidFill>
                  <a:srgbClr val="C00000"/>
                </a:solidFill>
              </a:ln>
            </xdr:spPr>
            <xdr:style>
              <a:lnRef idx="1">
                <a:schemeClr val="accent1"/>
              </a:lnRef>
              <a:fillRef idx="0">
                <a:schemeClr val="accent1"/>
              </a:fillRef>
              <a:effectRef idx="0">
                <a:schemeClr val="accent1"/>
              </a:effectRef>
              <a:fontRef idx="minor">
                <a:schemeClr val="tx1"/>
              </a:fontRef>
            </xdr:style>
          </xdr:cxnSp>
          <xdr:cxnSp macro="">
            <xdr:nvCxnSpPr>
              <xdr:cNvPr id="403" name="Straight Connector 402"/>
              <xdr:cNvCxnSpPr/>
            </xdr:nvCxnSpPr>
            <xdr:spPr>
              <a:xfrm rot="10800000">
                <a:off x="4967294" y="9883467"/>
                <a:ext cx="288000" cy="1588"/>
              </a:xfrm>
              <a:prstGeom prst="line">
                <a:avLst/>
              </a:prstGeom>
              <a:ln>
                <a:solidFill>
                  <a:srgbClr val="C00000"/>
                </a:solidFill>
              </a:ln>
            </xdr:spPr>
            <xdr:style>
              <a:lnRef idx="1">
                <a:schemeClr val="accent1"/>
              </a:lnRef>
              <a:fillRef idx="0">
                <a:schemeClr val="accent1"/>
              </a:fillRef>
              <a:effectRef idx="0">
                <a:schemeClr val="accent1"/>
              </a:effectRef>
              <a:fontRef idx="minor">
                <a:schemeClr val="tx1"/>
              </a:fontRef>
            </xdr:style>
          </xdr:cxnSp>
          <xdr:cxnSp macro="">
            <xdr:nvCxnSpPr>
              <xdr:cNvPr id="405" name="Straight Connector 404"/>
              <xdr:cNvCxnSpPr/>
            </xdr:nvCxnSpPr>
            <xdr:spPr>
              <a:xfrm rot="5400000">
                <a:off x="4925883" y="9912689"/>
                <a:ext cx="73742" cy="1588"/>
              </a:xfrm>
              <a:prstGeom prst="line">
                <a:avLst/>
              </a:prstGeom>
              <a:ln>
                <a:solidFill>
                  <a:srgbClr val="C00000"/>
                </a:solidFill>
              </a:ln>
            </xdr:spPr>
            <xdr:style>
              <a:lnRef idx="1">
                <a:schemeClr val="accent1"/>
              </a:lnRef>
              <a:fillRef idx="0">
                <a:schemeClr val="accent1"/>
              </a:fillRef>
              <a:effectRef idx="0">
                <a:schemeClr val="accent1"/>
              </a:effectRef>
              <a:fontRef idx="minor">
                <a:schemeClr val="tx1"/>
              </a:fontRef>
            </xdr:style>
          </xdr:cxnSp>
          <xdr:cxnSp macro="">
            <xdr:nvCxnSpPr>
              <xdr:cNvPr id="407" name="Straight Connector 406"/>
              <xdr:cNvCxnSpPr/>
            </xdr:nvCxnSpPr>
            <xdr:spPr>
              <a:xfrm>
                <a:off x="4958039" y="9947755"/>
                <a:ext cx="72000" cy="1588"/>
              </a:xfrm>
              <a:prstGeom prst="line">
                <a:avLst/>
              </a:prstGeom>
              <a:ln>
                <a:solidFill>
                  <a:srgbClr val="C00000"/>
                </a:solidFill>
              </a:ln>
            </xdr:spPr>
            <xdr:style>
              <a:lnRef idx="1">
                <a:schemeClr val="accent1"/>
              </a:lnRef>
              <a:fillRef idx="0">
                <a:schemeClr val="accent1"/>
              </a:fillRef>
              <a:effectRef idx="0">
                <a:schemeClr val="accent1"/>
              </a:effectRef>
              <a:fontRef idx="minor">
                <a:schemeClr val="tx1"/>
              </a:fontRef>
            </xdr:style>
          </xdr:cxnSp>
          <xdr:cxnSp macro="">
            <xdr:nvCxnSpPr>
              <xdr:cNvPr id="409" name="Straight Connector 408"/>
              <xdr:cNvCxnSpPr/>
            </xdr:nvCxnSpPr>
            <xdr:spPr>
              <a:xfrm rot="5400000" flipH="1" flipV="1">
                <a:off x="4812653" y="9739736"/>
                <a:ext cx="419764" cy="1588"/>
              </a:xfrm>
              <a:prstGeom prst="line">
                <a:avLst/>
              </a:prstGeom>
              <a:ln>
                <a:solidFill>
                  <a:srgbClr val="C00000"/>
                </a:solidFill>
              </a:ln>
            </xdr:spPr>
            <xdr:style>
              <a:lnRef idx="1">
                <a:schemeClr val="accent1"/>
              </a:lnRef>
              <a:fillRef idx="0">
                <a:schemeClr val="accent1"/>
              </a:fillRef>
              <a:effectRef idx="0">
                <a:schemeClr val="accent1"/>
              </a:effectRef>
              <a:fontRef idx="minor">
                <a:schemeClr val="tx1"/>
              </a:fontRef>
            </xdr:style>
          </xdr:cxnSp>
          <xdr:cxnSp macro="">
            <xdr:nvCxnSpPr>
              <xdr:cNvPr id="412" name="Straight Connector 411"/>
              <xdr:cNvCxnSpPr/>
            </xdr:nvCxnSpPr>
            <xdr:spPr>
              <a:xfrm rot="10800000">
                <a:off x="4523102" y="9537103"/>
                <a:ext cx="495632" cy="0"/>
              </a:xfrm>
              <a:prstGeom prst="line">
                <a:avLst/>
              </a:prstGeom>
              <a:ln>
                <a:solidFill>
                  <a:srgbClr val="C00000"/>
                </a:solidFill>
              </a:ln>
            </xdr:spPr>
            <xdr:style>
              <a:lnRef idx="1">
                <a:schemeClr val="accent1"/>
              </a:lnRef>
              <a:fillRef idx="0">
                <a:schemeClr val="accent1"/>
              </a:fillRef>
              <a:effectRef idx="0">
                <a:schemeClr val="accent1"/>
              </a:effectRef>
              <a:fontRef idx="minor">
                <a:schemeClr val="tx1"/>
              </a:fontRef>
            </xdr:style>
          </xdr:cxnSp>
          <xdr:cxnSp macro="">
            <xdr:nvCxnSpPr>
              <xdr:cNvPr id="414" name="Straight Connector 413"/>
              <xdr:cNvCxnSpPr/>
            </xdr:nvCxnSpPr>
            <xdr:spPr>
              <a:xfrm rot="5400000">
                <a:off x="4484714" y="9563842"/>
                <a:ext cx="73741" cy="1588"/>
              </a:xfrm>
              <a:prstGeom prst="line">
                <a:avLst/>
              </a:prstGeom>
              <a:ln>
                <a:solidFill>
                  <a:srgbClr val="C00000"/>
                </a:solidFill>
              </a:ln>
            </xdr:spPr>
            <xdr:style>
              <a:lnRef idx="1">
                <a:schemeClr val="accent1"/>
              </a:lnRef>
              <a:fillRef idx="0">
                <a:schemeClr val="accent1"/>
              </a:fillRef>
              <a:effectRef idx="0">
                <a:schemeClr val="accent1"/>
              </a:effectRef>
              <a:fontRef idx="minor">
                <a:schemeClr val="tx1"/>
              </a:fontRef>
            </xdr:style>
          </xdr:cxnSp>
          <xdr:cxnSp macro="">
            <xdr:nvCxnSpPr>
              <xdr:cNvPr id="416" name="Straight Connector 415"/>
              <xdr:cNvCxnSpPr/>
            </xdr:nvCxnSpPr>
            <xdr:spPr>
              <a:xfrm>
                <a:off x="4513513" y="9596216"/>
                <a:ext cx="72000" cy="1588"/>
              </a:xfrm>
              <a:prstGeom prst="line">
                <a:avLst/>
              </a:prstGeom>
              <a:ln>
                <a:solidFill>
                  <a:srgbClr val="C00000"/>
                </a:solidFill>
              </a:ln>
            </xdr:spPr>
            <xdr:style>
              <a:lnRef idx="1">
                <a:schemeClr val="accent1"/>
              </a:lnRef>
              <a:fillRef idx="0">
                <a:schemeClr val="accent1"/>
              </a:fillRef>
              <a:effectRef idx="0">
                <a:schemeClr val="accent1"/>
              </a:effectRef>
              <a:fontRef idx="minor">
                <a:schemeClr val="tx1"/>
              </a:fontRef>
            </xdr:style>
          </xdr:cxnSp>
          <xdr:cxnSp macro="">
            <xdr:nvCxnSpPr>
              <xdr:cNvPr id="418" name="Straight Connector 417"/>
              <xdr:cNvCxnSpPr/>
            </xdr:nvCxnSpPr>
            <xdr:spPr>
              <a:xfrm rot="5400000" flipH="1" flipV="1">
                <a:off x="4396742" y="9419846"/>
                <a:ext cx="363483" cy="0"/>
              </a:xfrm>
              <a:prstGeom prst="line">
                <a:avLst/>
              </a:prstGeom>
              <a:ln>
                <a:solidFill>
                  <a:srgbClr val="C00000"/>
                </a:solidFill>
              </a:ln>
            </xdr:spPr>
            <xdr:style>
              <a:lnRef idx="1">
                <a:schemeClr val="accent1"/>
              </a:lnRef>
              <a:fillRef idx="0">
                <a:schemeClr val="accent1"/>
              </a:fillRef>
              <a:effectRef idx="0">
                <a:schemeClr val="accent1"/>
              </a:effectRef>
              <a:fontRef idx="minor">
                <a:schemeClr val="tx1"/>
              </a:fontRef>
            </xdr:style>
          </xdr:cxnSp>
          <xdr:cxnSp macro="">
            <xdr:nvCxnSpPr>
              <xdr:cNvPr id="420" name="Straight Connector 419"/>
              <xdr:cNvCxnSpPr/>
            </xdr:nvCxnSpPr>
            <xdr:spPr>
              <a:xfrm rot="10800000">
                <a:off x="4281414" y="9235511"/>
                <a:ext cx="301782" cy="1588"/>
              </a:xfrm>
              <a:prstGeom prst="line">
                <a:avLst/>
              </a:prstGeom>
              <a:ln>
                <a:solidFill>
                  <a:srgbClr val="C00000"/>
                </a:solidFill>
              </a:ln>
            </xdr:spPr>
            <xdr:style>
              <a:lnRef idx="1">
                <a:schemeClr val="accent1"/>
              </a:lnRef>
              <a:fillRef idx="0">
                <a:schemeClr val="accent1"/>
              </a:fillRef>
              <a:effectRef idx="0">
                <a:schemeClr val="accent1"/>
              </a:effectRef>
              <a:fontRef idx="minor">
                <a:schemeClr val="tx1"/>
              </a:fontRef>
            </xdr:style>
          </xdr:cxnSp>
          <xdr:sp macro="" textlink="">
            <xdr:nvSpPr>
              <xdr:cNvPr id="427" name="Freeform 426"/>
              <xdr:cNvSpPr/>
            </xdr:nvSpPr>
            <xdr:spPr>
              <a:xfrm>
                <a:off x="5187389" y="10303400"/>
                <a:ext cx="71069" cy="115370"/>
              </a:xfrm>
              <a:custGeom>
                <a:avLst/>
                <a:gdLst>
                  <a:gd name="connsiteX0" fmla="*/ 71069 w 71069"/>
                  <a:gd name="connsiteY0" fmla="*/ 94143 h 115370"/>
                  <a:gd name="connsiteX1" fmla="*/ 10153 w 71069"/>
                  <a:gd name="connsiteY1" fmla="*/ 99680 h 115370"/>
                  <a:gd name="connsiteX2" fmla="*/ 10153 w 71069"/>
                  <a:gd name="connsiteY2" fmla="*/ 0 h 115370"/>
                </a:gdLst>
                <a:ahLst/>
                <a:cxnLst>
                  <a:cxn ang="0">
                    <a:pos x="connsiteX0" y="connsiteY0"/>
                  </a:cxn>
                  <a:cxn ang="0">
                    <a:pos x="connsiteX1" y="connsiteY1"/>
                  </a:cxn>
                  <a:cxn ang="0">
                    <a:pos x="connsiteX2" y="connsiteY2"/>
                  </a:cxn>
                </a:cxnLst>
                <a:rect l="l" t="t" r="r" b="b"/>
                <a:pathLst>
                  <a:path w="71069" h="115370">
                    <a:moveTo>
                      <a:pt x="71069" y="94143"/>
                    </a:moveTo>
                    <a:cubicBezTo>
                      <a:pt x="45687" y="104756"/>
                      <a:pt x="20306" y="115370"/>
                      <a:pt x="10153" y="99680"/>
                    </a:cubicBezTo>
                    <a:cubicBezTo>
                      <a:pt x="0" y="83990"/>
                      <a:pt x="11999" y="11075"/>
                      <a:pt x="10153" y="0"/>
                    </a:cubicBezTo>
                  </a:path>
                </a:pathLst>
              </a:cu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sp macro="" textlink="">
            <xdr:nvSpPr>
              <xdr:cNvPr id="428" name="Freeform 427"/>
              <xdr:cNvSpPr/>
            </xdr:nvSpPr>
            <xdr:spPr>
              <a:xfrm>
                <a:off x="4266092" y="9231681"/>
                <a:ext cx="109832" cy="65531"/>
              </a:xfrm>
              <a:custGeom>
                <a:avLst/>
                <a:gdLst>
                  <a:gd name="connsiteX0" fmla="*/ 15690 w 109832"/>
                  <a:gd name="connsiteY0" fmla="*/ 0 h 65531"/>
                  <a:gd name="connsiteX1" fmla="*/ 15690 w 109832"/>
                  <a:gd name="connsiteY1" fmla="*/ 55378 h 65531"/>
                  <a:gd name="connsiteX2" fmla="*/ 109832 w 109832"/>
                  <a:gd name="connsiteY2" fmla="*/ 60916 h 65531"/>
                </a:gdLst>
                <a:ahLst/>
                <a:cxnLst>
                  <a:cxn ang="0">
                    <a:pos x="connsiteX0" y="connsiteY0"/>
                  </a:cxn>
                  <a:cxn ang="0">
                    <a:pos x="connsiteX1" y="connsiteY1"/>
                  </a:cxn>
                  <a:cxn ang="0">
                    <a:pos x="connsiteX2" y="connsiteY2"/>
                  </a:cxn>
                </a:cxnLst>
                <a:rect l="l" t="t" r="r" b="b"/>
                <a:pathLst>
                  <a:path w="109832" h="65531">
                    <a:moveTo>
                      <a:pt x="15690" y="0"/>
                    </a:moveTo>
                    <a:cubicBezTo>
                      <a:pt x="7845" y="22612"/>
                      <a:pt x="0" y="45225"/>
                      <a:pt x="15690" y="55378"/>
                    </a:cubicBezTo>
                    <a:cubicBezTo>
                      <a:pt x="31380" y="65531"/>
                      <a:pt x="91373" y="59993"/>
                      <a:pt x="109832" y="60916"/>
                    </a:cubicBezTo>
                  </a:path>
                </a:pathLst>
              </a:cu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sp macro="" textlink="">
            <xdr:nvSpPr>
              <xdr:cNvPr id="430" name="Freeform 429"/>
              <xdr:cNvSpPr/>
            </xdr:nvSpPr>
            <xdr:spPr>
              <a:xfrm>
                <a:off x="2539622" y="8080342"/>
                <a:ext cx="66675" cy="125194"/>
              </a:xfrm>
              <a:custGeom>
                <a:avLst/>
                <a:gdLst>
                  <a:gd name="connsiteX0" fmla="*/ 0 w 66675"/>
                  <a:gd name="connsiteY0" fmla="*/ 17462 h 122237"/>
                  <a:gd name="connsiteX1" fmla="*/ 57150 w 66675"/>
                  <a:gd name="connsiteY1" fmla="*/ 17462 h 122237"/>
                  <a:gd name="connsiteX2" fmla="*/ 57150 w 66675"/>
                  <a:gd name="connsiteY2" fmla="*/ 122237 h 122237"/>
                </a:gdLst>
                <a:ahLst/>
                <a:cxnLst>
                  <a:cxn ang="0">
                    <a:pos x="connsiteX0" y="connsiteY0"/>
                  </a:cxn>
                  <a:cxn ang="0">
                    <a:pos x="connsiteX1" y="connsiteY1"/>
                  </a:cxn>
                  <a:cxn ang="0">
                    <a:pos x="connsiteX2" y="connsiteY2"/>
                  </a:cxn>
                </a:cxnLst>
                <a:rect l="l" t="t" r="r" b="b"/>
                <a:pathLst>
                  <a:path w="66675" h="122237">
                    <a:moveTo>
                      <a:pt x="0" y="17462"/>
                    </a:moveTo>
                    <a:cubicBezTo>
                      <a:pt x="23812" y="8731"/>
                      <a:pt x="47625" y="0"/>
                      <a:pt x="57150" y="17462"/>
                    </a:cubicBezTo>
                    <a:cubicBezTo>
                      <a:pt x="66675" y="34925"/>
                      <a:pt x="53975" y="100012"/>
                      <a:pt x="57150" y="122237"/>
                    </a:cubicBezTo>
                  </a:path>
                </a:pathLst>
              </a:custGeom>
              <a:ln w="95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cxnSp macro="">
            <xdr:nvCxnSpPr>
              <xdr:cNvPr id="432" name="Straight Connector 431"/>
              <xdr:cNvCxnSpPr/>
            </xdr:nvCxnSpPr>
            <xdr:spPr>
              <a:xfrm rot="5400000" flipH="1" flipV="1">
                <a:off x="2138421" y="8366734"/>
                <a:ext cx="722736" cy="1588"/>
              </a:xfrm>
              <a:prstGeom prst="line">
                <a:avLst/>
              </a:prstGeom>
              <a:ln>
                <a:solidFill>
                  <a:srgbClr val="C00000"/>
                </a:solidFill>
              </a:ln>
            </xdr:spPr>
            <xdr:style>
              <a:lnRef idx="1">
                <a:schemeClr val="accent1"/>
              </a:lnRef>
              <a:fillRef idx="0">
                <a:schemeClr val="accent1"/>
              </a:fillRef>
              <a:effectRef idx="0">
                <a:schemeClr val="accent1"/>
              </a:effectRef>
              <a:fontRef idx="minor">
                <a:schemeClr val="tx1"/>
              </a:fontRef>
            </xdr:style>
          </xdr:cxnSp>
          <xdr:cxnSp macro="">
            <xdr:nvCxnSpPr>
              <xdr:cNvPr id="434" name="Straight Connector 433"/>
              <xdr:cNvCxnSpPr/>
            </xdr:nvCxnSpPr>
            <xdr:spPr>
              <a:xfrm>
                <a:off x="2498604" y="8007870"/>
                <a:ext cx="180000" cy="0"/>
              </a:xfrm>
              <a:prstGeom prst="line">
                <a:avLst/>
              </a:prstGeom>
              <a:ln>
                <a:solidFill>
                  <a:srgbClr val="C00000"/>
                </a:solidFill>
              </a:ln>
            </xdr:spPr>
            <xdr:style>
              <a:lnRef idx="1">
                <a:schemeClr val="accent1"/>
              </a:lnRef>
              <a:fillRef idx="0">
                <a:schemeClr val="accent1"/>
              </a:fillRef>
              <a:effectRef idx="0">
                <a:schemeClr val="accent1"/>
              </a:effectRef>
              <a:fontRef idx="minor">
                <a:schemeClr val="tx1"/>
              </a:fontRef>
            </xdr:style>
          </xdr:cxnSp>
          <xdr:cxnSp macro="">
            <xdr:nvCxnSpPr>
              <xdr:cNvPr id="437" name="Straight Connector 436"/>
              <xdr:cNvCxnSpPr/>
            </xdr:nvCxnSpPr>
            <xdr:spPr>
              <a:xfrm rot="5400000">
                <a:off x="2482546" y="8203368"/>
                <a:ext cx="398170" cy="0"/>
              </a:xfrm>
              <a:prstGeom prst="line">
                <a:avLst/>
              </a:prstGeom>
              <a:ln>
                <a:solidFill>
                  <a:srgbClr val="C00000"/>
                </a:solidFill>
              </a:ln>
            </xdr:spPr>
            <xdr:style>
              <a:lnRef idx="1">
                <a:schemeClr val="accent1"/>
              </a:lnRef>
              <a:fillRef idx="0">
                <a:schemeClr val="accent1"/>
              </a:fillRef>
              <a:effectRef idx="0">
                <a:schemeClr val="accent1"/>
              </a:effectRef>
              <a:fontRef idx="minor">
                <a:schemeClr val="tx1"/>
              </a:fontRef>
            </xdr:style>
          </xdr:cxnSp>
          <xdr:cxnSp macro="">
            <xdr:nvCxnSpPr>
              <xdr:cNvPr id="439" name="Straight Connector 438"/>
              <xdr:cNvCxnSpPr/>
            </xdr:nvCxnSpPr>
            <xdr:spPr>
              <a:xfrm rot="10800000">
                <a:off x="2614385" y="8402454"/>
                <a:ext cx="72000" cy="1588"/>
              </a:xfrm>
              <a:prstGeom prst="line">
                <a:avLst/>
              </a:prstGeom>
              <a:ln>
                <a:solidFill>
                  <a:srgbClr val="C00000"/>
                </a:solidFill>
              </a:ln>
            </xdr:spPr>
            <xdr:style>
              <a:lnRef idx="1">
                <a:schemeClr val="accent1"/>
              </a:lnRef>
              <a:fillRef idx="0">
                <a:schemeClr val="accent1"/>
              </a:fillRef>
              <a:effectRef idx="0">
                <a:schemeClr val="accent1"/>
              </a:effectRef>
              <a:fontRef idx="minor">
                <a:schemeClr val="tx1"/>
              </a:fontRef>
            </xdr:style>
          </xdr:cxnSp>
          <xdr:cxnSp macro="">
            <xdr:nvCxnSpPr>
              <xdr:cNvPr id="441" name="Straight Connector 440"/>
              <xdr:cNvCxnSpPr/>
            </xdr:nvCxnSpPr>
            <xdr:spPr>
              <a:xfrm rot="5400000" flipH="1" flipV="1">
                <a:off x="2577248" y="8369182"/>
                <a:ext cx="72000" cy="1588"/>
              </a:xfrm>
              <a:prstGeom prst="line">
                <a:avLst/>
              </a:prstGeom>
              <a:ln>
                <a:solidFill>
                  <a:srgbClr val="C00000"/>
                </a:solidFill>
              </a:ln>
            </xdr:spPr>
            <xdr:style>
              <a:lnRef idx="1">
                <a:schemeClr val="accent1"/>
              </a:lnRef>
              <a:fillRef idx="0">
                <a:schemeClr val="accent1"/>
              </a:fillRef>
              <a:effectRef idx="0">
                <a:schemeClr val="accent1"/>
              </a:effectRef>
              <a:fontRef idx="minor">
                <a:schemeClr val="tx1"/>
              </a:fontRef>
            </xdr:style>
          </xdr:cxnSp>
          <xdr:cxnSp macro="">
            <xdr:nvCxnSpPr>
              <xdr:cNvPr id="443" name="Straight Connector 442"/>
              <xdr:cNvCxnSpPr/>
            </xdr:nvCxnSpPr>
            <xdr:spPr>
              <a:xfrm>
                <a:off x="2608028" y="8337511"/>
                <a:ext cx="683105" cy="1588"/>
              </a:xfrm>
              <a:prstGeom prst="line">
                <a:avLst/>
              </a:prstGeom>
              <a:ln>
                <a:solidFill>
                  <a:srgbClr val="C00000"/>
                </a:solidFill>
              </a:ln>
            </xdr:spPr>
            <xdr:style>
              <a:lnRef idx="1">
                <a:schemeClr val="accent1"/>
              </a:lnRef>
              <a:fillRef idx="0">
                <a:schemeClr val="accent1"/>
              </a:fillRef>
              <a:effectRef idx="0">
                <a:schemeClr val="accent1"/>
              </a:effectRef>
              <a:fontRef idx="minor">
                <a:schemeClr val="tx1"/>
              </a:fontRef>
            </xdr:style>
          </xdr:cxnSp>
          <xdr:cxnSp macro="">
            <xdr:nvCxnSpPr>
              <xdr:cNvPr id="445" name="Straight Connector 444"/>
              <xdr:cNvCxnSpPr/>
            </xdr:nvCxnSpPr>
            <xdr:spPr>
              <a:xfrm rot="5400000">
                <a:off x="3102246" y="8517113"/>
                <a:ext cx="367862" cy="1588"/>
              </a:xfrm>
              <a:prstGeom prst="line">
                <a:avLst/>
              </a:prstGeom>
              <a:ln>
                <a:solidFill>
                  <a:srgbClr val="C00000"/>
                </a:solidFill>
              </a:ln>
            </xdr:spPr>
            <xdr:style>
              <a:lnRef idx="1">
                <a:schemeClr val="accent1"/>
              </a:lnRef>
              <a:fillRef idx="0">
                <a:schemeClr val="accent1"/>
              </a:fillRef>
              <a:effectRef idx="0">
                <a:schemeClr val="accent1"/>
              </a:effectRef>
              <a:fontRef idx="minor">
                <a:schemeClr val="tx1"/>
              </a:fontRef>
            </xdr:style>
          </xdr:cxnSp>
          <xdr:cxnSp macro="">
            <xdr:nvCxnSpPr>
              <xdr:cNvPr id="447" name="Straight Connector 446"/>
              <xdr:cNvCxnSpPr/>
            </xdr:nvCxnSpPr>
            <xdr:spPr>
              <a:xfrm rot="10800000">
                <a:off x="3210544" y="8692384"/>
                <a:ext cx="72000" cy="1588"/>
              </a:xfrm>
              <a:prstGeom prst="line">
                <a:avLst/>
              </a:prstGeom>
              <a:ln>
                <a:solidFill>
                  <a:srgbClr val="C00000"/>
                </a:solidFill>
              </a:ln>
            </xdr:spPr>
            <xdr:style>
              <a:lnRef idx="1">
                <a:schemeClr val="accent1"/>
              </a:lnRef>
              <a:fillRef idx="0">
                <a:schemeClr val="accent1"/>
              </a:fillRef>
              <a:effectRef idx="0">
                <a:schemeClr val="accent1"/>
              </a:effectRef>
              <a:fontRef idx="minor">
                <a:schemeClr val="tx1"/>
              </a:fontRef>
            </xdr:style>
          </xdr:cxnSp>
          <xdr:cxnSp macro="">
            <xdr:nvCxnSpPr>
              <xdr:cNvPr id="449" name="Straight Connector 448"/>
              <xdr:cNvCxnSpPr/>
            </xdr:nvCxnSpPr>
            <xdr:spPr>
              <a:xfrm rot="5400000" flipH="1" flipV="1">
                <a:off x="3175423" y="8658868"/>
                <a:ext cx="75693" cy="1588"/>
              </a:xfrm>
              <a:prstGeom prst="line">
                <a:avLst/>
              </a:prstGeom>
              <a:ln>
                <a:solidFill>
                  <a:srgbClr val="C00000"/>
                </a:solidFill>
              </a:ln>
            </xdr:spPr>
            <xdr:style>
              <a:lnRef idx="1">
                <a:schemeClr val="accent1"/>
              </a:lnRef>
              <a:fillRef idx="0">
                <a:schemeClr val="accent1"/>
              </a:fillRef>
              <a:effectRef idx="0">
                <a:schemeClr val="accent1"/>
              </a:effectRef>
              <a:fontRef idx="minor">
                <a:schemeClr val="tx1"/>
              </a:fontRef>
            </xdr:style>
          </xdr:cxnSp>
          <xdr:cxnSp macro="">
            <xdr:nvCxnSpPr>
              <xdr:cNvPr id="453" name="Straight Connector 452"/>
              <xdr:cNvCxnSpPr/>
            </xdr:nvCxnSpPr>
            <xdr:spPr>
              <a:xfrm>
                <a:off x="3217599" y="8625353"/>
                <a:ext cx="503104" cy="4328"/>
              </a:xfrm>
              <a:prstGeom prst="line">
                <a:avLst/>
              </a:prstGeom>
              <a:ln>
                <a:solidFill>
                  <a:srgbClr val="C00000"/>
                </a:solidFill>
              </a:ln>
            </xdr:spPr>
            <xdr:style>
              <a:lnRef idx="1">
                <a:schemeClr val="accent1"/>
              </a:lnRef>
              <a:fillRef idx="0">
                <a:schemeClr val="accent1"/>
              </a:fillRef>
              <a:effectRef idx="0">
                <a:schemeClr val="accent1"/>
              </a:effectRef>
              <a:fontRef idx="minor">
                <a:schemeClr val="tx1"/>
              </a:fontRef>
            </xdr:style>
          </xdr:cxnSp>
          <xdr:cxnSp macro="">
            <xdr:nvCxnSpPr>
              <xdr:cNvPr id="456" name="Straight Connector 455"/>
              <xdr:cNvCxnSpPr/>
            </xdr:nvCxnSpPr>
            <xdr:spPr>
              <a:xfrm rot="5400000">
                <a:off x="3545839" y="8802770"/>
                <a:ext cx="346180" cy="1588"/>
              </a:xfrm>
              <a:prstGeom prst="line">
                <a:avLst/>
              </a:prstGeom>
              <a:ln>
                <a:solidFill>
                  <a:srgbClr val="C00000"/>
                </a:solidFill>
              </a:ln>
            </xdr:spPr>
            <xdr:style>
              <a:lnRef idx="1">
                <a:schemeClr val="accent1"/>
              </a:lnRef>
              <a:fillRef idx="0">
                <a:schemeClr val="accent1"/>
              </a:fillRef>
              <a:effectRef idx="0">
                <a:schemeClr val="accent1"/>
              </a:effectRef>
              <a:fontRef idx="minor">
                <a:schemeClr val="tx1"/>
              </a:fontRef>
            </xdr:style>
          </xdr:cxnSp>
          <xdr:sp macro="" textlink="">
            <xdr:nvSpPr>
              <xdr:cNvPr id="459" name="Freeform 458"/>
              <xdr:cNvSpPr/>
            </xdr:nvSpPr>
            <xdr:spPr>
              <a:xfrm>
                <a:off x="2499789" y="8635092"/>
                <a:ext cx="60614" cy="103112"/>
              </a:xfrm>
              <a:custGeom>
                <a:avLst/>
                <a:gdLst>
                  <a:gd name="connsiteX0" fmla="*/ 0 w 60614"/>
                  <a:gd name="connsiteY0" fmla="*/ 86590 h 101022"/>
                  <a:gd name="connsiteX1" fmla="*/ 51955 w 60614"/>
                  <a:gd name="connsiteY1" fmla="*/ 86590 h 101022"/>
                  <a:gd name="connsiteX2" fmla="*/ 51955 w 60614"/>
                  <a:gd name="connsiteY2" fmla="*/ 0 h 101022"/>
                </a:gdLst>
                <a:ahLst/>
                <a:cxnLst>
                  <a:cxn ang="0">
                    <a:pos x="connsiteX0" y="connsiteY0"/>
                  </a:cxn>
                  <a:cxn ang="0">
                    <a:pos x="connsiteX1" y="connsiteY1"/>
                  </a:cxn>
                  <a:cxn ang="0">
                    <a:pos x="connsiteX2" y="connsiteY2"/>
                  </a:cxn>
                </a:cxnLst>
                <a:rect l="l" t="t" r="r" b="b"/>
                <a:pathLst>
                  <a:path w="60614" h="101022">
                    <a:moveTo>
                      <a:pt x="0" y="86590"/>
                    </a:moveTo>
                    <a:cubicBezTo>
                      <a:pt x="21648" y="93806"/>
                      <a:pt x="43296" y="101022"/>
                      <a:pt x="51955" y="86590"/>
                    </a:cubicBezTo>
                    <a:cubicBezTo>
                      <a:pt x="60614" y="72158"/>
                      <a:pt x="51955" y="0"/>
                      <a:pt x="51955" y="0"/>
                    </a:cubicBezTo>
                  </a:path>
                </a:pathLst>
              </a:cu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cxnSp macro="">
            <xdr:nvCxnSpPr>
              <xdr:cNvPr id="462" name="Straight Connector 461"/>
              <xdr:cNvCxnSpPr/>
            </xdr:nvCxnSpPr>
            <xdr:spPr>
              <a:xfrm>
                <a:off x="3649030" y="8975268"/>
                <a:ext cx="72000" cy="1588"/>
              </a:xfrm>
              <a:prstGeom prst="line">
                <a:avLst/>
              </a:prstGeom>
              <a:ln>
                <a:solidFill>
                  <a:srgbClr val="C00000"/>
                </a:solidFill>
              </a:ln>
            </xdr:spPr>
            <xdr:style>
              <a:lnRef idx="1">
                <a:schemeClr val="accent1"/>
              </a:lnRef>
              <a:fillRef idx="0">
                <a:schemeClr val="accent1"/>
              </a:fillRef>
              <a:effectRef idx="0">
                <a:schemeClr val="accent1"/>
              </a:effectRef>
              <a:fontRef idx="minor">
                <a:schemeClr val="tx1"/>
              </a:fontRef>
            </xdr:style>
          </xdr:cxnSp>
          <xdr:cxnSp macro="">
            <xdr:nvCxnSpPr>
              <xdr:cNvPr id="464" name="Straight Connector 463"/>
              <xdr:cNvCxnSpPr/>
            </xdr:nvCxnSpPr>
            <xdr:spPr>
              <a:xfrm rot="5400000" flipH="1" flipV="1">
                <a:off x="3622314" y="8943045"/>
                <a:ext cx="72000" cy="1588"/>
              </a:xfrm>
              <a:prstGeom prst="line">
                <a:avLst/>
              </a:prstGeom>
              <a:ln>
                <a:solidFill>
                  <a:srgbClr val="C00000"/>
                </a:solidFill>
              </a:ln>
            </xdr:spPr>
            <xdr:style>
              <a:lnRef idx="1">
                <a:schemeClr val="accent1"/>
              </a:lnRef>
              <a:fillRef idx="0">
                <a:schemeClr val="accent1"/>
              </a:fillRef>
              <a:effectRef idx="0">
                <a:schemeClr val="accent1"/>
              </a:effectRef>
              <a:fontRef idx="minor">
                <a:schemeClr val="tx1"/>
              </a:fontRef>
            </xdr:style>
          </xdr:cxnSp>
          <xdr:cxnSp macro="">
            <xdr:nvCxnSpPr>
              <xdr:cNvPr id="466" name="Straight Connector 465"/>
              <xdr:cNvCxnSpPr/>
            </xdr:nvCxnSpPr>
            <xdr:spPr>
              <a:xfrm>
                <a:off x="3662644" y="8915281"/>
                <a:ext cx="198000" cy="1588"/>
              </a:xfrm>
              <a:prstGeom prst="line">
                <a:avLst/>
              </a:prstGeom>
              <a:ln>
                <a:solidFill>
                  <a:srgbClr val="C00000"/>
                </a:solidFill>
              </a:ln>
            </xdr:spPr>
            <xdr:style>
              <a:lnRef idx="1">
                <a:schemeClr val="accent1"/>
              </a:lnRef>
              <a:fillRef idx="0">
                <a:schemeClr val="accent1"/>
              </a:fillRef>
              <a:effectRef idx="0">
                <a:schemeClr val="accent1"/>
              </a:effectRef>
              <a:fontRef idx="minor">
                <a:schemeClr val="tx1"/>
              </a:fontRef>
            </xdr:style>
          </xdr:cxnSp>
          <xdr:sp macro="" textlink="">
            <xdr:nvSpPr>
              <xdr:cNvPr id="468" name="Freeform 467"/>
              <xdr:cNvSpPr/>
            </xdr:nvSpPr>
            <xdr:spPr>
              <a:xfrm>
                <a:off x="3770887" y="8915281"/>
                <a:ext cx="105353" cy="60613"/>
              </a:xfrm>
              <a:custGeom>
                <a:avLst/>
                <a:gdLst>
                  <a:gd name="connsiteX0" fmla="*/ 86591 w 105353"/>
                  <a:gd name="connsiteY0" fmla="*/ 0 h 60613"/>
                  <a:gd name="connsiteX1" fmla="*/ 90921 w 105353"/>
                  <a:gd name="connsiteY1" fmla="*/ 51954 h 60613"/>
                  <a:gd name="connsiteX2" fmla="*/ 0 w 105353"/>
                  <a:gd name="connsiteY2" fmla="*/ 51954 h 60613"/>
                </a:gdLst>
                <a:ahLst/>
                <a:cxnLst>
                  <a:cxn ang="0">
                    <a:pos x="connsiteX0" y="connsiteY0"/>
                  </a:cxn>
                  <a:cxn ang="0">
                    <a:pos x="connsiteX1" y="connsiteY1"/>
                  </a:cxn>
                  <a:cxn ang="0">
                    <a:pos x="connsiteX2" y="connsiteY2"/>
                  </a:cxn>
                </a:cxnLst>
                <a:rect l="l" t="t" r="r" b="b"/>
                <a:pathLst>
                  <a:path w="105353" h="60613">
                    <a:moveTo>
                      <a:pt x="86591" y="0"/>
                    </a:moveTo>
                    <a:cubicBezTo>
                      <a:pt x="95972" y="21647"/>
                      <a:pt x="105353" y="43295"/>
                      <a:pt x="90921" y="51954"/>
                    </a:cubicBezTo>
                    <a:cubicBezTo>
                      <a:pt x="76489" y="60613"/>
                      <a:pt x="22369" y="58448"/>
                      <a:pt x="0" y="51954"/>
                    </a:cubicBezTo>
                  </a:path>
                </a:pathLst>
              </a:cu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grpSp>
        <xdr:grpSp>
          <xdr:nvGrpSpPr>
            <xdr:cNvPr id="525" name="Group 524"/>
            <xdr:cNvGrpSpPr/>
          </xdr:nvGrpSpPr>
          <xdr:grpSpPr>
            <a:xfrm>
              <a:off x="4653643" y="8531840"/>
              <a:ext cx="847448" cy="687650"/>
              <a:chOff x="4653643" y="8531840"/>
              <a:chExt cx="847448" cy="687650"/>
            </a:xfrm>
          </xdr:grpSpPr>
          <xdr:cxnSp macro="">
            <xdr:nvCxnSpPr>
              <xdr:cNvPr id="510" name="Straight Connector 509"/>
              <xdr:cNvCxnSpPr/>
            </xdr:nvCxnSpPr>
            <xdr:spPr>
              <a:xfrm>
                <a:off x="5115148" y="8929688"/>
                <a:ext cx="385943" cy="1588"/>
              </a:xfrm>
              <a:prstGeom prst="line">
                <a:avLst/>
              </a:prstGeom>
              <a:ln w="317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12" name="Straight Connector 511"/>
              <xdr:cNvCxnSpPr/>
            </xdr:nvCxnSpPr>
            <xdr:spPr>
              <a:xfrm>
                <a:off x="5147436" y="9211098"/>
                <a:ext cx="337511" cy="1588"/>
              </a:xfrm>
              <a:prstGeom prst="line">
                <a:avLst/>
              </a:prstGeom>
              <a:ln w="317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14" name="Straight Connector 513"/>
              <xdr:cNvCxnSpPr/>
            </xdr:nvCxnSpPr>
            <xdr:spPr>
              <a:xfrm rot="5400000" flipH="1" flipV="1">
                <a:off x="4484419" y="8701065"/>
                <a:ext cx="340035" cy="1588"/>
              </a:xfrm>
              <a:prstGeom prst="line">
                <a:avLst/>
              </a:prstGeom>
              <a:ln w="317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18" name="Straight Connector 517"/>
              <xdr:cNvCxnSpPr/>
            </xdr:nvCxnSpPr>
            <xdr:spPr>
              <a:xfrm rot="5400000" flipH="1" flipV="1">
                <a:off x="4908301" y="8705604"/>
                <a:ext cx="349116" cy="1588"/>
              </a:xfrm>
              <a:prstGeom prst="line">
                <a:avLst/>
              </a:prstGeom>
              <a:ln w="317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20" name="Straight Connector 519"/>
              <xdr:cNvCxnSpPr/>
            </xdr:nvCxnSpPr>
            <xdr:spPr>
              <a:xfrm>
                <a:off x="4662508" y="8590747"/>
                <a:ext cx="418232" cy="1588"/>
              </a:xfrm>
              <a:prstGeom prst="line">
                <a:avLst/>
              </a:prstGeom>
              <a:ln w="3175">
                <a:solidFill>
                  <a:schemeClr val="tx1">
                    <a:lumMod val="75000"/>
                    <a:lumOff val="25000"/>
                  </a:schemeClr>
                </a:solidFill>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522" name="Straight Connector 521"/>
              <xdr:cNvCxnSpPr/>
            </xdr:nvCxnSpPr>
            <xdr:spPr>
              <a:xfrm rot="5400000">
                <a:off x="5318139" y="9074588"/>
                <a:ext cx="289008" cy="795"/>
              </a:xfrm>
              <a:prstGeom prst="line">
                <a:avLst/>
              </a:prstGeom>
              <a:ln w="3175">
                <a:solidFill>
                  <a:schemeClr val="tx1">
                    <a:lumMod val="75000"/>
                    <a:lumOff val="25000"/>
                  </a:schemeClr>
                </a:solidFill>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grpSp>
      </xdr:grpSp>
      <xdr:sp macro="" textlink="'desigh Stairs'!$F$69">
        <xdr:nvSpPr>
          <xdr:cNvPr id="852" name="Rectangle 851"/>
          <xdr:cNvSpPr/>
        </xdr:nvSpPr>
        <xdr:spPr>
          <a:xfrm>
            <a:off x="4473267" y="8463633"/>
            <a:ext cx="794038" cy="1915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7063868F-EA90-433A-BC83-B3EBC362EB0C}" type="TxLink">
              <a:rPr lang="th-TH" sz="1050">
                <a:solidFill>
                  <a:schemeClr val="tx2">
                    <a:lumMod val="60000"/>
                    <a:lumOff val="40000"/>
                  </a:schemeClr>
                </a:solidFill>
                <a:latin typeface="Times New Roman" pitchFamily="18" charset="0"/>
              </a:rPr>
              <a:pPr algn="ctr"/>
              <a:t> </a:t>
            </a:fld>
            <a:endParaRPr lang="th-TH" sz="1050">
              <a:solidFill>
                <a:schemeClr val="tx2">
                  <a:lumMod val="60000"/>
                  <a:lumOff val="40000"/>
                </a:schemeClr>
              </a:solidFill>
              <a:latin typeface="Times New Roman" pitchFamily="18" charset="0"/>
            </a:endParaRPr>
          </a:p>
        </xdr:txBody>
      </xdr:sp>
      <xdr:sp macro="" textlink="'desigh Stairs'!$E$69">
        <xdr:nvSpPr>
          <xdr:cNvPr id="854" name="Rectangle 853"/>
          <xdr:cNvSpPr/>
        </xdr:nvSpPr>
        <xdr:spPr>
          <a:xfrm>
            <a:off x="4378088" y="8473151"/>
            <a:ext cx="343319" cy="1915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83EF422D-1019-4366-90C6-10D463A99343}" type="TxLink">
              <a:rPr lang="th-TH" sz="1050">
                <a:solidFill>
                  <a:schemeClr val="tx2">
                    <a:lumMod val="60000"/>
                    <a:lumOff val="40000"/>
                  </a:schemeClr>
                </a:solidFill>
              </a:rPr>
              <a:pPr algn="ctr"/>
              <a:t>   </a:t>
            </a:fld>
            <a:endParaRPr lang="th-TH" sz="1050">
              <a:solidFill>
                <a:schemeClr val="tx2">
                  <a:lumMod val="60000"/>
                  <a:lumOff val="40000"/>
                </a:schemeClr>
              </a:solidFill>
            </a:endParaRPr>
          </a:p>
        </xdr:txBody>
      </xdr:sp>
      <xdr:sp macro="" textlink="'desigh Stairs'!$H$69">
        <xdr:nvSpPr>
          <xdr:cNvPr id="856" name="Rectangle 855"/>
          <xdr:cNvSpPr/>
        </xdr:nvSpPr>
        <xdr:spPr>
          <a:xfrm>
            <a:off x="5114684" y="8472472"/>
            <a:ext cx="704243" cy="189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EA055DCC-5E61-4E04-BBE7-149D686CD95F}" type="TxLink">
              <a:rPr lang="th-TH" sz="1050">
                <a:solidFill>
                  <a:schemeClr val="tx2">
                    <a:lumMod val="60000"/>
                    <a:lumOff val="40000"/>
                  </a:schemeClr>
                </a:solidFill>
                <a:latin typeface="Times New Roman" pitchFamily="18" charset="0"/>
              </a:rPr>
              <a:pPr algn="ctr"/>
              <a:t>  </a:t>
            </a:fld>
            <a:endParaRPr lang="th-TH" sz="1050">
              <a:solidFill>
                <a:schemeClr val="tx2">
                  <a:lumMod val="60000"/>
                  <a:lumOff val="40000"/>
                </a:schemeClr>
              </a:solidFill>
              <a:latin typeface="Times New Roman" pitchFamily="18" charset="0"/>
            </a:endParaRPr>
          </a:p>
        </xdr:txBody>
      </xdr:sp>
      <xdr:sp macro="" textlink="'desigh Stairs'!$G$69">
        <xdr:nvSpPr>
          <xdr:cNvPr id="858" name="Rectangle 857"/>
          <xdr:cNvSpPr/>
        </xdr:nvSpPr>
        <xdr:spPr>
          <a:xfrm>
            <a:off x="4996500" y="8481990"/>
            <a:ext cx="339944" cy="2082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fld id="{42A1A1F5-F0C5-4FAB-A876-51E93DA01A16}" type="TxLink">
              <a:rPr lang="th-TH" sz="1050">
                <a:solidFill>
                  <a:schemeClr val="tx2">
                    <a:lumMod val="60000"/>
                    <a:lumOff val="40000"/>
                  </a:schemeClr>
                </a:solidFill>
              </a:rPr>
              <a:pPr algn="ctr"/>
              <a:t> </a:t>
            </a:fld>
            <a:endParaRPr lang="th-TH" sz="1050">
              <a:solidFill>
                <a:schemeClr val="tx2">
                  <a:lumMod val="60000"/>
                  <a:lumOff val="40000"/>
                </a:schemeClr>
              </a:solidFill>
            </a:endParaRPr>
          </a:p>
        </xdr:txBody>
      </xdr:sp>
      <xdr:sp macro="" textlink="'desigh Stairs'!$F$69">
        <xdr:nvSpPr>
          <xdr:cNvPr id="860" name="Rectangle 859"/>
          <xdr:cNvSpPr/>
        </xdr:nvSpPr>
        <xdr:spPr>
          <a:xfrm>
            <a:off x="3809929" y="7962900"/>
            <a:ext cx="784513" cy="1915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7063868F-EA90-433A-BC83-B3EBC362EB0C}" type="TxLink">
              <a:rPr lang="th-TH" sz="1050">
                <a:solidFill>
                  <a:schemeClr val="tx2">
                    <a:lumMod val="60000"/>
                    <a:lumOff val="40000"/>
                  </a:schemeClr>
                </a:solidFill>
                <a:latin typeface="Times New Roman" pitchFamily="18" charset="0"/>
              </a:rPr>
              <a:pPr algn="ctr"/>
              <a:t> </a:t>
            </a:fld>
            <a:endParaRPr lang="th-TH" sz="1050">
              <a:solidFill>
                <a:schemeClr val="tx2">
                  <a:lumMod val="60000"/>
                  <a:lumOff val="40000"/>
                </a:schemeClr>
              </a:solidFill>
              <a:latin typeface="Times New Roman" pitchFamily="18" charset="0"/>
            </a:endParaRPr>
          </a:p>
        </xdr:txBody>
      </xdr:sp>
      <xdr:sp macro="" textlink="'desigh Stairs'!$E$69">
        <xdr:nvSpPr>
          <xdr:cNvPr id="861" name="Rectangle 860"/>
          <xdr:cNvSpPr/>
        </xdr:nvSpPr>
        <xdr:spPr>
          <a:xfrm>
            <a:off x="3705225" y="7962893"/>
            <a:ext cx="343319" cy="1915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83EF422D-1019-4366-90C6-10D463A99343}" type="TxLink">
              <a:rPr lang="th-TH" sz="1050">
                <a:solidFill>
                  <a:schemeClr val="tx2">
                    <a:lumMod val="60000"/>
                    <a:lumOff val="40000"/>
                  </a:schemeClr>
                </a:solidFill>
              </a:rPr>
              <a:pPr algn="ctr"/>
              <a:t>   </a:t>
            </a:fld>
            <a:endParaRPr lang="th-TH" sz="1050">
              <a:solidFill>
                <a:schemeClr val="tx2">
                  <a:lumMod val="60000"/>
                  <a:lumOff val="40000"/>
                </a:schemeClr>
              </a:solidFill>
            </a:endParaRPr>
          </a:p>
        </xdr:txBody>
      </xdr:sp>
      <xdr:sp macro="" textlink="'desigh Stairs'!$H$69">
        <xdr:nvSpPr>
          <xdr:cNvPr id="862" name="Rectangle 861"/>
          <xdr:cNvSpPr/>
        </xdr:nvSpPr>
        <xdr:spPr>
          <a:xfrm>
            <a:off x="4451346" y="7962214"/>
            <a:ext cx="704243" cy="189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EA055DCC-5E61-4E04-BBE7-149D686CD95F}" type="TxLink">
              <a:rPr lang="th-TH" sz="1050">
                <a:solidFill>
                  <a:schemeClr val="tx2">
                    <a:lumMod val="60000"/>
                    <a:lumOff val="40000"/>
                  </a:schemeClr>
                </a:solidFill>
                <a:latin typeface="Times New Roman" pitchFamily="18" charset="0"/>
              </a:rPr>
              <a:pPr algn="ctr"/>
              <a:t>  </a:t>
            </a:fld>
            <a:endParaRPr lang="th-TH" sz="1050">
              <a:solidFill>
                <a:schemeClr val="tx2">
                  <a:lumMod val="60000"/>
                  <a:lumOff val="40000"/>
                </a:schemeClr>
              </a:solidFill>
              <a:latin typeface="Times New Roman" pitchFamily="18" charset="0"/>
            </a:endParaRPr>
          </a:p>
        </xdr:txBody>
      </xdr:sp>
      <xdr:sp macro="" textlink="'desigh Stairs'!$G$69">
        <xdr:nvSpPr>
          <xdr:cNvPr id="863" name="Rectangle 862"/>
          <xdr:cNvSpPr/>
        </xdr:nvSpPr>
        <xdr:spPr>
          <a:xfrm>
            <a:off x="4346571" y="7971739"/>
            <a:ext cx="339944" cy="2082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fld id="{42A1A1F5-F0C5-4FAB-A876-51E93DA01A16}" type="TxLink">
              <a:rPr lang="th-TH" sz="1050">
                <a:solidFill>
                  <a:schemeClr val="tx2">
                    <a:lumMod val="60000"/>
                    <a:lumOff val="40000"/>
                  </a:schemeClr>
                </a:solidFill>
              </a:rPr>
              <a:pPr algn="ctr"/>
              <a:t> </a:t>
            </a:fld>
            <a:endParaRPr lang="th-TH" sz="1050">
              <a:solidFill>
                <a:schemeClr val="tx2">
                  <a:lumMod val="60000"/>
                  <a:lumOff val="40000"/>
                </a:schemeClr>
              </a:solidFill>
            </a:endParaRPr>
          </a:p>
        </xdr:txBody>
      </xdr:sp>
      <xdr:sp macro="" textlink="'desigh Stairs'!J69">
        <xdr:nvSpPr>
          <xdr:cNvPr id="864" name="Rectangle 863"/>
          <xdr:cNvSpPr/>
        </xdr:nvSpPr>
        <xdr:spPr>
          <a:xfrm>
            <a:off x="3795496" y="8161847"/>
            <a:ext cx="787160" cy="2215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00958B4C-09B8-4B41-90CD-DFE7578295CE}" type="TxLink">
              <a:rPr lang="th-TH" sz="1050">
                <a:solidFill>
                  <a:schemeClr val="tx2">
                    <a:lumMod val="60000"/>
                    <a:lumOff val="40000"/>
                  </a:schemeClr>
                </a:solidFill>
                <a:latin typeface="Times New Roman" pitchFamily="18" charset="0"/>
              </a:rPr>
              <a:pPr algn="ctr"/>
              <a:t> </a:t>
            </a:fld>
            <a:endParaRPr lang="th-TH" sz="1050">
              <a:solidFill>
                <a:schemeClr val="tx2">
                  <a:lumMod val="60000"/>
                  <a:lumOff val="40000"/>
                </a:schemeClr>
              </a:solidFill>
              <a:latin typeface="Times New Roman" pitchFamily="18" charset="0"/>
            </a:endParaRPr>
          </a:p>
        </xdr:txBody>
      </xdr:sp>
      <xdr:sp macro="" textlink="'desigh Stairs'!$I$69">
        <xdr:nvSpPr>
          <xdr:cNvPr id="865" name="Rectangle 864"/>
          <xdr:cNvSpPr/>
        </xdr:nvSpPr>
        <xdr:spPr>
          <a:xfrm>
            <a:off x="3730390" y="8161848"/>
            <a:ext cx="342560" cy="2306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EC23DD84-3107-48FF-B5E4-EF0924ECB8F1}" type="TxLink">
              <a:rPr lang="th-TH" sz="1050">
                <a:solidFill>
                  <a:schemeClr val="tx2">
                    <a:lumMod val="60000"/>
                    <a:lumOff val="40000"/>
                  </a:schemeClr>
                </a:solidFill>
              </a:rPr>
              <a:pPr algn="ctr"/>
              <a:t>   </a:t>
            </a:fld>
            <a:endParaRPr lang="th-TH" sz="1050">
              <a:solidFill>
                <a:schemeClr val="tx2">
                  <a:lumMod val="60000"/>
                  <a:lumOff val="40000"/>
                </a:schemeClr>
              </a:solidFill>
            </a:endParaRPr>
          </a:p>
        </xdr:txBody>
      </xdr:sp>
      <xdr:sp macro="" textlink="'desigh Stairs'!$K$69">
        <xdr:nvSpPr>
          <xdr:cNvPr id="866" name="Rectangle 865"/>
          <xdr:cNvSpPr/>
        </xdr:nvSpPr>
        <xdr:spPr>
          <a:xfrm>
            <a:off x="4296669" y="8162933"/>
            <a:ext cx="1007621" cy="2190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D285490E-D3D0-4AC9-9D78-DF81B020DF2C}" type="TxLink">
              <a:rPr lang="th-TH" sz="1050">
                <a:solidFill>
                  <a:schemeClr val="tx2">
                    <a:lumMod val="60000"/>
                    <a:lumOff val="40000"/>
                  </a:schemeClr>
                </a:solidFill>
                <a:latin typeface="Times New Roman" pitchFamily="18" charset="0"/>
              </a:rPr>
              <a:pPr algn="l"/>
              <a:t> </a:t>
            </a:fld>
            <a:endParaRPr lang="th-TH" sz="1050">
              <a:solidFill>
                <a:schemeClr val="tx2">
                  <a:lumMod val="60000"/>
                  <a:lumOff val="40000"/>
                </a:schemeClr>
              </a:solidFill>
              <a:latin typeface="Times New Roman" pitchFamily="18" charset="0"/>
            </a:endParaRPr>
          </a:p>
        </xdr:txBody>
      </xdr:sp>
      <xdr:sp macro="" textlink="'desigh Stairs'!$I$69">
        <xdr:nvSpPr>
          <xdr:cNvPr id="873" name="Rectangle 872"/>
          <xdr:cNvSpPr/>
        </xdr:nvSpPr>
        <xdr:spPr>
          <a:xfrm>
            <a:off x="4457700" y="8782738"/>
            <a:ext cx="352085" cy="1916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EC23DD84-3107-48FF-B5E4-EF0924ECB8F1}" type="TxLink">
              <a:rPr lang="th-TH" sz="1050">
                <a:solidFill>
                  <a:schemeClr val="tx2">
                    <a:lumMod val="60000"/>
                    <a:lumOff val="40000"/>
                  </a:schemeClr>
                </a:solidFill>
              </a:rPr>
              <a:pPr algn="ctr"/>
              <a:t>   </a:t>
            </a:fld>
            <a:endParaRPr lang="th-TH" sz="1050">
              <a:solidFill>
                <a:schemeClr val="tx2">
                  <a:lumMod val="60000"/>
                  <a:lumOff val="40000"/>
                </a:schemeClr>
              </a:solidFill>
            </a:endParaRPr>
          </a:p>
        </xdr:txBody>
      </xdr:sp>
      <xdr:sp macro="" textlink="'desigh Stairs'!$K$69">
        <xdr:nvSpPr>
          <xdr:cNvPr id="874" name="Rectangle 873"/>
          <xdr:cNvSpPr/>
        </xdr:nvSpPr>
        <xdr:spPr>
          <a:xfrm>
            <a:off x="5040754" y="8763000"/>
            <a:ext cx="1017146" cy="2190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D285490E-D3D0-4AC9-9D78-DF81B020DF2C}" type="TxLink">
              <a:rPr lang="th-TH" sz="1050">
                <a:solidFill>
                  <a:schemeClr val="tx2">
                    <a:lumMod val="60000"/>
                    <a:lumOff val="40000"/>
                  </a:schemeClr>
                </a:solidFill>
                <a:latin typeface="Times New Roman" pitchFamily="18" charset="0"/>
              </a:rPr>
              <a:pPr algn="l"/>
              <a:t> </a:t>
            </a:fld>
            <a:endParaRPr lang="th-TH" sz="1050">
              <a:solidFill>
                <a:schemeClr val="tx2">
                  <a:lumMod val="60000"/>
                  <a:lumOff val="40000"/>
                </a:schemeClr>
              </a:solidFill>
              <a:latin typeface="Times New Roman" pitchFamily="18" charset="0"/>
            </a:endParaRPr>
          </a:p>
        </xdr:txBody>
      </xdr:sp>
      <xdr:sp macro="" textlink="'desigh Stairs'!$J$69">
        <xdr:nvSpPr>
          <xdr:cNvPr id="875" name="Rectangle 874"/>
          <xdr:cNvSpPr/>
        </xdr:nvSpPr>
        <xdr:spPr>
          <a:xfrm>
            <a:off x="4525512" y="8782738"/>
            <a:ext cx="787160" cy="1916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79DA2A09-0D14-44E9-8788-416AA36AEBED}" type="TxLink">
              <a:rPr lang="th-TH" sz="1050">
                <a:solidFill>
                  <a:schemeClr val="tx2">
                    <a:lumMod val="60000"/>
                    <a:lumOff val="40000"/>
                  </a:schemeClr>
                </a:solidFill>
                <a:latin typeface="Times New Roman" pitchFamily="18" charset="0"/>
              </a:rPr>
              <a:pPr algn="ctr"/>
              <a:t> </a:t>
            </a:fld>
            <a:endParaRPr lang="th-TH" sz="1050">
              <a:solidFill>
                <a:schemeClr val="tx2">
                  <a:lumMod val="60000"/>
                  <a:lumOff val="40000"/>
                </a:schemeClr>
              </a:solidFill>
              <a:latin typeface="Times New Roman" pitchFamily="18" charset="0"/>
            </a:endParaRPr>
          </a:p>
        </xdr:txBody>
      </xdr:sp>
      <xdr:sp macro="" textlink="'desigh Stairs'!L32">
        <xdr:nvSpPr>
          <xdr:cNvPr id="876" name="Rectangle 875"/>
          <xdr:cNvSpPr/>
        </xdr:nvSpPr>
        <xdr:spPr>
          <a:xfrm>
            <a:off x="4333875" y="9124950"/>
            <a:ext cx="466725" cy="189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85762047-5DFA-4444-B5D4-9F8D4C05DBF0}" type="TxLink">
              <a:rPr lang="th-TH" sz="900">
                <a:solidFill>
                  <a:schemeClr val="tx2">
                    <a:lumMod val="60000"/>
                    <a:lumOff val="40000"/>
                  </a:schemeClr>
                </a:solidFill>
                <a:latin typeface="Times New Roman" pitchFamily="18" charset="0"/>
              </a:rPr>
              <a:pPr algn="ctr"/>
              <a:t>0.25</a:t>
            </a:fld>
            <a:endParaRPr lang="th-TH" sz="900">
              <a:solidFill>
                <a:schemeClr val="tx2">
                  <a:lumMod val="60000"/>
                  <a:lumOff val="40000"/>
                </a:schemeClr>
              </a:solidFill>
              <a:latin typeface="Times New Roman" pitchFamily="18" charset="0"/>
            </a:endParaRPr>
          </a:p>
        </xdr:txBody>
      </xdr:sp>
      <xdr:sp macro="" textlink="'desigh Stairs'!L31">
        <xdr:nvSpPr>
          <xdr:cNvPr id="877" name="Rectangle 876"/>
          <xdr:cNvSpPr/>
        </xdr:nvSpPr>
        <xdr:spPr>
          <a:xfrm>
            <a:off x="5121746" y="9688731"/>
            <a:ext cx="211147" cy="4239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fld id="{0EB6CBB7-1D38-4D09-928D-BC691131171C}" type="TxLink">
              <a:rPr lang="th-TH" sz="900">
                <a:solidFill>
                  <a:schemeClr val="tx2">
                    <a:lumMod val="60000"/>
                    <a:lumOff val="40000"/>
                  </a:schemeClr>
                </a:solidFill>
              </a:rPr>
              <a:pPr algn="ctr"/>
              <a:t>0.18</a:t>
            </a:fld>
            <a:endParaRPr lang="th-TH" sz="900">
              <a:solidFill>
                <a:schemeClr val="tx2">
                  <a:lumMod val="60000"/>
                  <a:lumOff val="40000"/>
                </a:schemeClr>
              </a:solidFill>
            </a:endParaRPr>
          </a:p>
        </xdr:txBody>
      </xdr:sp>
      <xdr:sp macro="" textlink="">
        <xdr:nvSpPr>
          <xdr:cNvPr id="881" name="Rectangle 880"/>
          <xdr:cNvSpPr/>
        </xdr:nvSpPr>
        <xdr:spPr>
          <a:xfrm>
            <a:off x="2609850" y="9751263"/>
            <a:ext cx="478630" cy="2476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2">
                    <a:lumMod val="60000"/>
                    <a:lumOff val="40000"/>
                  </a:schemeClr>
                </a:solidFill>
                <a:latin typeface="Times New Roman" pitchFamily="18" charset="0"/>
                <a:cs typeface="Times New Roman" pitchFamily="18" charset="0"/>
              </a:rPr>
              <a:t>L/60</a:t>
            </a:r>
          </a:p>
          <a:p>
            <a:pPr algn="ctr"/>
            <a:endParaRPr lang="th-TH" sz="1000">
              <a:solidFill>
                <a:schemeClr val="tx2">
                  <a:lumMod val="60000"/>
                  <a:lumOff val="40000"/>
                </a:schemeClr>
              </a:solidFill>
              <a:latin typeface="Times New Roman" pitchFamily="18" charset="0"/>
            </a:endParaRPr>
          </a:p>
        </xdr:txBody>
      </xdr:sp>
      <xdr:sp macro="" textlink="">
        <xdr:nvSpPr>
          <xdr:cNvPr id="882" name="Rectangle 881"/>
          <xdr:cNvSpPr/>
        </xdr:nvSpPr>
        <xdr:spPr>
          <a:xfrm>
            <a:off x="4248150" y="11143515"/>
            <a:ext cx="478630" cy="2382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2">
                    <a:lumMod val="60000"/>
                    <a:lumOff val="40000"/>
                  </a:schemeClr>
                </a:solidFill>
                <a:latin typeface="Times New Roman" pitchFamily="18" charset="0"/>
                <a:cs typeface="Times New Roman" pitchFamily="18" charset="0"/>
              </a:rPr>
              <a:t>L/60</a:t>
            </a:r>
          </a:p>
          <a:p>
            <a:pPr algn="ctr"/>
            <a:endParaRPr lang="th-TH" sz="1000">
              <a:solidFill>
                <a:schemeClr val="tx2">
                  <a:lumMod val="60000"/>
                  <a:lumOff val="40000"/>
                </a:schemeClr>
              </a:solidFill>
              <a:latin typeface="Times New Roman" pitchFamily="18" charset="0"/>
            </a:endParaRPr>
          </a:p>
        </xdr:txBody>
      </xdr:sp>
      <xdr:sp macro="" textlink="'desigh Stairs'!D15">
        <xdr:nvSpPr>
          <xdr:cNvPr id="883" name="Rectangle 882"/>
          <xdr:cNvSpPr/>
        </xdr:nvSpPr>
        <xdr:spPr>
          <a:xfrm>
            <a:off x="3162300" y="11382375"/>
            <a:ext cx="939233" cy="2436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51718FED-14E2-42A3-833B-B07CD33FCAC9}" type="TxLink">
              <a:rPr lang="th-TH" sz="1000">
                <a:solidFill>
                  <a:schemeClr val="tx2">
                    <a:lumMod val="60000"/>
                    <a:lumOff val="40000"/>
                  </a:schemeClr>
                </a:solidFill>
                <a:latin typeface="Times New Roman" pitchFamily="18" charset="0"/>
              </a:rPr>
              <a:pPr algn="ctr"/>
              <a:t>3.00 m.</a:t>
            </a:fld>
            <a:endParaRPr lang="th-TH" sz="1000">
              <a:solidFill>
                <a:schemeClr val="tx2">
                  <a:lumMod val="60000"/>
                  <a:lumOff val="40000"/>
                </a:schemeClr>
              </a:solidFill>
              <a:latin typeface="Times New Roman" pitchFamily="18" charset="0"/>
            </a:endParaRPr>
          </a:p>
        </xdr:txBody>
      </xdr:sp>
    </xdr:grpSp>
    <xdr:clientData/>
  </xdr:twoCellAnchor>
  <xdr:twoCellAnchor>
    <xdr:from>
      <xdr:col>62</xdr:col>
      <xdr:colOff>99219</xdr:colOff>
      <xdr:row>118</xdr:row>
      <xdr:rowOff>19844</xdr:rowOff>
    </xdr:from>
    <xdr:to>
      <xdr:col>66</xdr:col>
      <xdr:colOff>413019</xdr:colOff>
      <xdr:row>121</xdr:row>
      <xdr:rowOff>143447</xdr:rowOff>
    </xdr:to>
    <xdr:grpSp>
      <xdr:nvGrpSpPr>
        <xdr:cNvPr id="1138" name="Group 1137"/>
        <xdr:cNvGrpSpPr/>
      </xdr:nvGrpSpPr>
      <xdr:grpSpPr>
        <a:xfrm>
          <a:off x="34079708" y="22100526"/>
          <a:ext cx="0" cy="680259"/>
          <a:chOff x="6443025" y="15320553"/>
          <a:chExt cx="3119581" cy="705130"/>
        </a:xfrm>
      </xdr:grpSpPr>
      <xdr:cxnSp macro="">
        <xdr:nvCxnSpPr>
          <xdr:cNvPr id="1140" name="Straight Connector 1139"/>
          <xdr:cNvCxnSpPr/>
        </xdr:nvCxnSpPr>
        <xdr:spPr>
          <a:xfrm>
            <a:off x="6445357" y="15330609"/>
            <a:ext cx="360000"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42" name="Straight Connector 1141"/>
          <xdr:cNvCxnSpPr/>
        </xdr:nvCxnSpPr>
        <xdr:spPr>
          <a:xfrm rot="5400000">
            <a:off x="6099766" y="15663812"/>
            <a:ext cx="688106"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43" name="Straight Connector 1142"/>
          <xdr:cNvCxnSpPr/>
        </xdr:nvCxnSpPr>
        <xdr:spPr>
          <a:xfrm>
            <a:off x="6443611" y="16005792"/>
            <a:ext cx="360000"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44" name="Straight Connector 1143"/>
          <xdr:cNvCxnSpPr/>
        </xdr:nvCxnSpPr>
        <xdr:spPr>
          <a:xfrm>
            <a:off x="9199741" y="15326286"/>
            <a:ext cx="360000"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46" name="Straight Connector 1145"/>
          <xdr:cNvCxnSpPr/>
        </xdr:nvCxnSpPr>
        <xdr:spPr>
          <a:xfrm rot="5400000">
            <a:off x="9208936" y="15672043"/>
            <a:ext cx="701565"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48" name="Straight Connector 1147"/>
          <xdr:cNvCxnSpPr/>
        </xdr:nvCxnSpPr>
        <xdr:spPr>
          <a:xfrm>
            <a:off x="9202606" y="16014291"/>
            <a:ext cx="360000"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49" name="Straight Connector 1148"/>
          <xdr:cNvCxnSpPr/>
        </xdr:nvCxnSpPr>
        <xdr:spPr>
          <a:xfrm>
            <a:off x="6789984" y="15680367"/>
            <a:ext cx="2418030" cy="1"/>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50" name="Straight Connector 1149"/>
          <xdr:cNvCxnSpPr/>
        </xdr:nvCxnSpPr>
        <xdr:spPr>
          <a:xfrm>
            <a:off x="6795913" y="15896077"/>
            <a:ext cx="2416474"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52" name="Straight Connector 1151"/>
          <xdr:cNvCxnSpPr/>
        </xdr:nvCxnSpPr>
        <xdr:spPr>
          <a:xfrm>
            <a:off x="6800238" y="15361842"/>
            <a:ext cx="2405850" cy="1588"/>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54" name="Straight Connector 1153"/>
          <xdr:cNvCxnSpPr/>
        </xdr:nvCxnSpPr>
        <xdr:spPr>
          <a:xfrm>
            <a:off x="6479595" y="15381109"/>
            <a:ext cx="288000"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56" name="Straight Connector 1155"/>
          <xdr:cNvCxnSpPr/>
        </xdr:nvCxnSpPr>
        <xdr:spPr>
          <a:xfrm>
            <a:off x="9238750" y="15387565"/>
            <a:ext cx="288000"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57" name="Straight Connector 1156"/>
          <xdr:cNvCxnSpPr/>
        </xdr:nvCxnSpPr>
        <xdr:spPr>
          <a:xfrm rot="5400000">
            <a:off x="6198531" y="15660958"/>
            <a:ext cx="571559"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59" name="Straight Connector 1158"/>
          <xdr:cNvCxnSpPr/>
        </xdr:nvCxnSpPr>
        <xdr:spPr>
          <a:xfrm rot="5400000">
            <a:off x="6476547" y="15664639"/>
            <a:ext cx="571559"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61" name="Straight Connector 1160"/>
          <xdr:cNvCxnSpPr/>
        </xdr:nvCxnSpPr>
        <xdr:spPr>
          <a:xfrm>
            <a:off x="6474882" y="15943527"/>
            <a:ext cx="288000"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63" name="Straight Connector 1162"/>
          <xdr:cNvCxnSpPr/>
        </xdr:nvCxnSpPr>
        <xdr:spPr>
          <a:xfrm rot="5400000">
            <a:off x="8955223" y="15667711"/>
            <a:ext cx="576485"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65" name="Straight Connector 1164"/>
          <xdr:cNvCxnSpPr/>
        </xdr:nvCxnSpPr>
        <xdr:spPr>
          <a:xfrm rot="5400000">
            <a:off x="9232184" y="15668617"/>
            <a:ext cx="576485"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67" name="Straight Connector 1166"/>
          <xdr:cNvCxnSpPr/>
        </xdr:nvCxnSpPr>
        <xdr:spPr>
          <a:xfrm>
            <a:off x="9240102" y="15951866"/>
            <a:ext cx="288000"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69" name="Straight Connector 1168"/>
          <xdr:cNvCxnSpPr/>
        </xdr:nvCxnSpPr>
        <xdr:spPr>
          <a:xfrm>
            <a:off x="6494933" y="15815976"/>
            <a:ext cx="3011152" cy="1588"/>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171" name="Straight Connector 1170"/>
          <xdr:cNvCxnSpPr/>
        </xdr:nvCxnSpPr>
        <xdr:spPr>
          <a:xfrm rot="5400000">
            <a:off x="6625227" y="15501955"/>
            <a:ext cx="344053"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73" name="Straight Connector 1172"/>
          <xdr:cNvCxnSpPr/>
        </xdr:nvCxnSpPr>
        <xdr:spPr>
          <a:xfrm rot="5400000">
            <a:off x="9032733" y="15503675"/>
            <a:ext cx="345383"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75" name="Straight Connector 1174"/>
          <xdr:cNvCxnSpPr/>
        </xdr:nvCxnSpPr>
        <xdr:spPr>
          <a:xfrm rot="5400000">
            <a:off x="6737824" y="15949340"/>
            <a:ext cx="118026" cy="0"/>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77" name="Straight Connector 1176"/>
          <xdr:cNvCxnSpPr/>
        </xdr:nvCxnSpPr>
        <xdr:spPr>
          <a:xfrm rot="5400000">
            <a:off x="9139546" y="15961685"/>
            <a:ext cx="127997" cy="0"/>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79" name="Straight Connector 1178"/>
          <xdr:cNvCxnSpPr/>
        </xdr:nvCxnSpPr>
        <xdr:spPr>
          <a:xfrm>
            <a:off x="6484195" y="15436038"/>
            <a:ext cx="3032306" cy="1588"/>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1180" name="Freeform 1179"/>
          <xdr:cNvSpPr/>
        </xdr:nvSpPr>
        <xdr:spPr>
          <a:xfrm>
            <a:off x="6486629" y="15738999"/>
            <a:ext cx="122754" cy="85283"/>
          </a:xfrm>
          <a:custGeom>
            <a:avLst/>
            <a:gdLst>
              <a:gd name="connsiteX0" fmla="*/ 17536 w 122754"/>
              <a:gd name="connsiteY0" fmla="*/ 77530 h 77530"/>
              <a:gd name="connsiteX1" fmla="*/ 17536 w 122754"/>
              <a:gd name="connsiteY1" fmla="*/ 11076 h 77530"/>
              <a:gd name="connsiteX2" fmla="*/ 122754 w 122754"/>
              <a:gd name="connsiteY2" fmla="*/ 11076 h 77530"/>
            </a:gdLst>
            <a:ahLst/>
            <a:cxnLst>
              <a:cxn ang="0">
                <a:pos x="connsiteX0" y="connsiteY0"/>
              </a:cxn>
              <a:cxn ang="0">
                <a:pos x="connsiteX1" y="connsiteY1"/>
              </a:cxn>
              <a:cxn ang="0">
                <a:pos x="connsiteX2" y="connsiteY2"/>
              </a:cxn>
            </a:cxnLst>
            <a:rect l="l" t="t" r="r" b="b"/>
            <a:pathLst>
              <a:path w="122754" h="77530">
                <a:moveTo>
                  <a:pt x="17536" y="77530"/>
                </a:moveTo>
                <a:cubicBezTo>
                  <a:pt x="8768" y="49841"/>
                  <a:pt x="0" y="22152"/>
                  <a:pt x="17536" y="11076"/>
                </a:cubicBezTo>
                <a:cubicBezTo>
                  <a:pt x="35072" y="0"/>
                  <a:pt x="94142" y="15691"/>
                  <a:pt x="122754" y="11076"/>
                </a:cubicBezTo>
              </a:path>
            </a:pathLst>
          </a:custGeom>
          <a:noFill/>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sp macro="" textlink="">
        <xdr:nvSpPr>
          <xdr:cNvPr id="1181" name="Freeform 1180"/>
          <xdr:cNvSpPr/>
        </xdr:nvSpPr>
        <xdr:spPr>
          <a:xfrm>
            <a:off x="9390435" y="15746357"/>
            <a:ext cx="129214" cy="71992"/>
          </a:xfrm>
          <a:custGeom>
            <a:avLst/>
            <a:gdLst>
              <a:gd name="connsiteX0" fmla="*/ 110755 w 129214"/>
              <a:gd name="connsiteY0" fmla="*/ 71992 h 71992"/>
              <a:gd name="connsiteX1" fmla="*/ 110755 w 129214"/>
              <a:gd name="connsiteY1" fmla="*/ 11076 h 71992"/>
              <a:gd name="connsiteX2" fmla="*/ 0 w 129214"/>
              <a:gd name="connsiteY2" fmla="*/ 5538 h 71992"/>
            </a:gdLst>
            <a:ahLst/>
            <a:cxnLst>
              <a:cxn ang="0">
                <a:pos x="connsiteX0" y="connsiteY0"/>
              </a:cxn>
              <a:cxn ang="0">
                <a:pos x="connsiteX1" y="connsiteY1"/>
              </a:cxn>
              <a:cxn ang="0">
                <a:pos x="connsiteX2" y="connsiteY2"/>
              </a:cxn>
            </a:cxnLst>
            <a:rect l="l" t="t" r="r" b="b"/>
            <a:pathLst>
              <a:path w="129214" h="71992">
                <a:moveTo>
                  <a:pt x="110755" y="71992"/>
                </a:moveTo>
                <a:cubicBezTo>
                  <a:pt x="119984" y="47072"/>
                  <a:pt x="129214" y="22152"/>
                  <a:pt x="110755" y="11076"/>
                </a:cubicBezTo>
                <a:cubicBezTo>
                  <a:pt x="92296" y="0"/>
                  <a:pt x="15690" y="11999"/>
                  <a:pt x="0" y="5538"/>
                </a:cubicBezTo>
              </a:path>
            </a:pathLst>
          </a:custGeom>
          <a:noFill/>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cxnSp macro="">
        <xdr:nvCxnSpPr>
          <xdr:cNvPr id="1182" name="Straight Connector 1181"/>
          <xdr:cNvCxnSpPr/>
        </xdr:nvCxnSpPr>
        <xdr:spPr>
          <a:xfrm rot="5400000">
            <a:off x="6886474" y="15548709"/>
            <a:ext cx="223753"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184" name="Straight Connector 1183"/>
          <xdr:cNvCxnSpPr/>
        </xdr:nvCxnSpPr>
        <xdr:spPr>
          <a:xfrm rot="5400000">
            <a:off x="7107984" y="15554245"/>
            <a:ext cx="223753"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186" name="Straight Connector 1185"/>
          <xdr:cNvCxnSpPr/>
        </xdr:nvCxnSpPr>
        <xdr:spPr>
          <a:xfrm rot="5400000">
            <a:off x="7351646" y="15554246"/>
            <a:ext cx="223753"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188" name="Straight Connector 1187"/>
          <xdr:cNvCxnSpPr/>
        </xdr:nvCxnSpPr>
        <xdr:spPr>
          <a:xfrm rot="5400000">
            <a:off x="7599184" y="15548709"/>
            <a:ext cx="223753"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190" name="Straight Connector 1189"/>
          <xdr:cNvCxnSpPr/>
        </xdr:nvCxnSpPr>
        <xdr:spPr>
          <a:xfrm rot="5400000">
            <a:off x="7859460" y="15554246"/>
            <a:ext cx="223753"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192" name="Straight Connector 1191"/>
          <xdr:cNvCxnSpPr/>
        </xdr:nvCxnSpPr>
        <xdr:spPr>
          <a:xfrm rot="5400000">
            <a:off x="8114197" y="15554246"/>
            <a:ext cx="223753"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193" name="Straight Connector 1192"/>
          <xdr:cNvCxnSpPr/>
        </xdr:nvCxnSpPr>
        <xdr:spPr>
          <a:xfrm rot="5400000">
            <a:off x="8367273" y="15554246"/>
            <a:ext cx="223753"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194" name="Straight Connector 1193"/>
          <xdr:cNvCxnSpPr/>
        </xdr:nvCxnSpPr>
        <xdr:spPr>
          <a:xfrm rot="5400000">
            <a:off x="8616474" y="15554246"/>
            <a:ext cx="223753"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195" name="Straight Connector 1194"/>
          <xdr:cNvCxnSpPr/>
        </xdr:nvCxnSpPr>
        <xdr:spPr>
          <a:xfrm rot="5400000">
            <a:off x="8849060" y="15554246"/>
            <a:ext cx="223753"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196" name="Straight Connector 1195"/>
          <xdr:cNvCxnSpPr/>
        </xdr:nvCxnSpPr>
        <xdr:spPr>
          <a:xfrm rot="5400000">
            <a:off x="6723789" y="15746904"/>
            <a:ext cx="151753" cy="1588"/>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197" name="Straight Connector 1196"/>
          <xdr:cNvCxnSpPr/>
        </xdr:nvCxnSpPr>
        <xdr:spPr>
          <a:xfrm rot="5400000">
            <a:off x="6921675" y="15746719"/>
            <a:ext cx="151753" cy="1588"/>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199" name="Straight Connector 1198"/>
          <xdr:cNvCxnSpPr/>
        </xdr:nvCxnSpPr>
        <xdr:spPr>
          <a:xfrm rot="5400000">
            <a:off x="7143186" y="15746719"/>
            <a:ext cx="151753" cy="1588"/>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200" name="Straight Connector 1199"/>
          <xdr:cNvCxnSpPr/>
        </xdr:nvCxnSpPr>
        <xdr:spPr>
          <a:xfrm rot="5400000">
            <a:off x="7386849" y="15746719"/>
            <a:ext cx="151753" cy="1588"/>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201" name="Straight Connector 1200"/>
          <xdr:cNvCxnSpPr/>
        </xdr:nvCxnSpPr>
        <xdr:spPr>
          <a:xfrm rot="5400000">
            <a:off x="7634389" y="15746719"/>
            <a:ext cx="151753" cy="1588"/>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202" name="Straight Connector 1201"/>
          <xdr:cNvCxnSpPr/>
        </xdr:nvCxnSpPr>
        <xdr:spPr>
          <a:xfrm rot="5400000">
            <a:off x="7894665" y="15746719"/>
            <a:ext cx="151753" cy="1588"/>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203" name="Straight Connector 1202"/>
          <xdr:cNvCxnSpPr/>
        </xdr:nvCxnSpPr>
        <xdr:spPr>
          <a:xfrm rot="5400000">
            <a:off x="8148726" y="15746719"/>
            <a:ext cx="151753" cy="1588"/>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204" name="Straight Connector 1203"/>
          <xdr:cNvCxnSpPr/>
        </xdr:nvCxnSpPr>
        <xdr:spPr>
          <a:xfrm rot="5400000">
            <a:off x="8407340" y="15746719"/>
            <a:ext cx="151753" cy="1588"/>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206" name="Straight Connector 1205"/>
          <xdr:cNvCxnSpPr/>
        </xdr:nvCxnSpPr>
        <xdr:spPr>
          <a:xfrm rot="5400000">
            <a:off x="8651681" y="15746719"/>
            <a:ext cx="151753" cy="1588"/>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208" name="Straight Connector 1207"/>
          <xdr:cNvCxnSpPr/>
        </xdr:nvCxnSpPr>
        <xdr:spPr>
          <a:xfrm rot="5400000">
            <a:off x="8884268" y="15742537"/>
            <a:ext cx="151753" cy="1588"/>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210" name="Straight Connector 1209"/>
          <xdr:cNvCxnSpPr/>
        </xdr:nvCxnSpPr>
        <xdr:spPr>
          <a:xfrm rot="5400000">
            <a:off x="9129773" y="15746906"/>
            <a:ext cx="151753" cy="1588"/>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1212" name="Flowchart: Connector 1211"/>
          <xdr:cNvSpPr/>
        </xdr:nvSpPr>
        <xdr:spPr>
          <a:xfrm>
            <a:off x="6500272" y="15408270"/>
            <a:ext cx="10800" cy="10800"/>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214" name="Flowchart: Connector 1213"/>
          <xdr:cNvSpPr/>
        </xdr:nvSpPr>
        <xdr:spPr>
          <a:xfrm>
            <a:off x="6732348" y="15408271"/>
            <a:ext cx="10800" cy="10800"/>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216" name="Flowchart: Connector 1215"/>
          <xdr:cNvSpPr/>
        </xdr:nvSpPr>
        <xdr:spPr>
          <a:xfrm>
            <a:off x="6507819" y="15914357"/>
            <a:ext cx="10800" cy="10800"/>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218" name="Flowchart: Connector 1217"/>
          <xdr:cNvSpPr/>
        </xdr:nvSpPr>
        <xdr:spPr>
          <a:xfrm>
            <a:off x="6733027" y="15911859"/>
            <a:ext cx="10800" cy="10800"/>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220" name="Flowchart: Connector 1219"/>
          <xdr:cNvSpPr/>
        </xdr:nvSpPr>
        <xdr:spPr>
          <a:xfrm>
            <a:off x="6510644" y="15839536"/>
            <a:ext cx="10800" cy="10800"/>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222" name="Flowchart: Connector 1221"/>
          <xdr:cNvSpPr/>
        </xdr:nvSpPr>
        <xdr:spPr>
          <a:xfrm>
            <a:off x="6732279" y="15839467"/>
            <a:ext cx="10800" cy="10800"/>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224" name="Flowchart: Connector 1223"/>
          <xdr:cNvSpPr/>
        </xdr:nvSpPr>
        <xdr:spPr>
          <a:xfrm>
            <a:off x="9261524" y="15410499"/>
            <a:ext cx="10800" cy="10800"/>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226" name="Flowchart: Connector 1225"/>
          <xdr:cNvSpPr/>
        </xdr:nvSpPr>
        <xdr:spPr>
          <a:xfrm>
            <a:off x="9487201" y="15409391"/>
            <a:ext cx="10800" cy="10800"/>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228" name="Flowchart: Connector 1227"/>
          <xdr:cNvSpPr/>
        </xdr:nvSpPr>
        <xdr:spPr>
          <a:xfrm>
            <a:off x="9256109" y="15922256"/>
            <a:ext cx="10800" cy="10800"/>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230" name="Flowchart: Connector 1229"/>
          <xdr:cNvSpPr/>
        </xdr:nvSpPr>
        <xdr:spPr>
          <a:xfrm>
            <a:off x="9490113" y="15921578"/>
            <a:ext cx="10800" cy="10800"/>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232" name="Flowchart: Connector 1231"/>
          <xdr:cNvSpPr/>
        </xdr:nvSpPr>
        <xdr:spPr>
          <a:xfrm>
            <a:off x="9262876" y="15841416"/>
            <a:ext cx="10800" cy="10800"/>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234" name="Flowchart: Connector 1233"/>
          <xdr:cNvSpPr/>
        </xdr:nvSpPr>
        <xdr:spPr>
          <a:xfrm>
            <a:off x="9489926" y="15839153"/>
            <a:ext cx="10800" cy="10800"/>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grpSp>
    <xdr:clientData/>
  </xdr:twoCellAnchor>
  <xdr:twoCellAnchor>
    <xdr:from>
      <xdr:col>0</xdr:col>
      <xdr:colOff>163217</xdr:colOff>
      <xdr:row>133</xdr:row>
      <xdr:rowOff>55294</xdr:rowOff>
    </xdr:from>
    <xdr:to>
      <xdr:col>17</xdr:col>
      <xdr:colOff>104791</xdr:colOff>
      <xdr:row>157</xdr:row>
      <xdr:rowOff>121352</xdr:rowOff>
    </xdr:to>
    <xdr:grpSp>
      <xdr:nvGrpSpPr>
        <xdr:cNvPr id="1246" name="Group 1245"/>
        <xdr:cNvGrpSpPr/>
      </xdr:nvGrpSpPr>
      <xdr:grpSpPr>
        <a:xfrm>
          <a:off x="163217" y="24946646"/>
          <a:ext cx="8261370" cy="4498099"/>
          <a:chOff x="772053" y="27650366"/>
          <a:chExt cx="8297457" cy="4492017"/>
        </a:xfrm>
      </xdr:grpSpPr>
      <xdr:cxnSp macro="">
        <xdr:nvCxnSpPr>
          <xdr:cNvPr id="1821" name="Straight Connector 1820"/>
          <xdr:cNvCxnSpPr/>
        </xdr:nvCxnSpPr>
        <xdr:spPr>
          <a:xfrm rot="5400000" flipH="1" flipV="1">
            <a:off x="8580723" y="30893926"/>
            <a:ext cx="223157" cy="160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grpSp>
        <xdr:nvGrpSpPr>
          <xdr:cNvPr id="1950" name="Group 1949"/>
          <xdr:cNvGrpSpPr/>
        </xdr:nvGrpSpPr>
        <xdr:grpSpPr>
          <a:xfrm>
            <a:off x="772053" y="27650366"/>
            <a:ext cx="8297457" cy="4492017"/>
            <a:chOff x="770799" y="27660712"/>
            <a:chExt cx="8259833" cy="4548452"/>
          </a:xfrm>
        </xdr:grpSpPr>
        <xdr:grpSp>
          <xdr:nvGrpSpPr>
            <xdr:cNvPr id="912" name="Group 911"/>
            <xdr:cNvGrpSpPr/>
          </xdr:nvGrpSpPr>
          <xdr:grpSpPr>
            <a:xfrm>
              <a:off x="770799" y="27848411"/>
              <a:ext cx="5443033" cy="4360753"/>
              <a:chOff x="1183912" y="11491524"/>
              <a:chExt cx="5467859" cy="4099033"/>
            </a:xfrm>
          </xdr:grpSpPr>
          <xdr:grpSp>
            <xdr:nvGrpSpPr>
              <xdr:cNvPr id="913" name="Group 327"/>
              <xdr:cNvGrpSpPr/>
            </xdr:nvGrpSpPr>
            <xdr:grpSpPr>
              <a:xfrm>
                <a:off x="1240778" y="11491524"/>
                <a:ext cx="5410993" cy="4099033"/>
                <a:chOff x="1369219" y="11787188"/>
                <a:chExt cx="5404121" cy="3964579"/>
              </a:xfrm>
            </xdr:grpSpPr>
            <xdr:cxnSp macro="">
              <xdr:nvCxnSpPr>
                <xdr:cNvPr id="935" name="Straight Connector 934"/>
                <xdr:cNvCxnSpPr/>
              </xdr:nvCxnSpPr>
              <xdr:spPr>
                <a:xfrm rot="5400000">
                  <a:off x="2744033" y="12868858"/>
                  <a:ext cx="338093" cy="1573"/>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36" name="Straight Connector 935"/>
                <xdr:cNvCxnSpPr/>
              </xdr:nvCxnSpPr>
              <xdr:spPr>
                <a:xfrm>
                  <a:off x="2916556" y="13039766"/>
                  <a:ext cx="434520" cy="1477"/>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37" name="Straight Connector 936"/>
                <xdr:cNvCxnSpPr/>
              </xdr:nvCxnSpPr>
              <xdr:spPr>
                <a:xfrm rot="5400000">
                  <a:off x="3193810" y="13190936"/>
                  <a:ext cx="300898" cy="1573"/>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38" name="Straight Connector 937"/>
                <xdr:cNvCxnSpPr/>
              </xdr:nvCxnSpPr>
              <xdr:spPr>
                <a:xfrm rot="5400000">
                  <a:off x="3631333" y="13487606"/>
                  <a:ext cx="287208" cy="1573"/>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39" name="Straight Connector 938"/>
                <xdr:cNvCxnSpPr/>
              </xdr:nvCxnSpPr>
              <xdr:spPr>
                <a:xfrm rot="5400000">
                  <a:off x="4050099" y="13776489"/>
                  <a:ext cx="300184" cy="1573"/>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40" name="Straight Connector 939"/>
                <xdr:cNvCxnSpPr/>
              </xdr:nvCxnSpPr>
              <xdr:spPr>
                <a:xfrm rot="5400000">
                  <a:off x="4485265" y="14081951"/>
                  <a:ext cx="297816" cy="1573"/>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41" name="Straight Connector 940"/>
                <xdr:cNvCxnSpPr/>
              </xdr:nvCxnSpPr>
              <xdr:spPr>
                <a:xfrm rot="5400000">
                  <a:off x="4909712" y="14401970"/>
                  <a:ext cx="323956" cy="1573"/>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42" name="Straight Connector 941"/>
                <xdr:cNvCxnSpPr/>
              </xdr:nvCxnSpPr>
              <xdr:spPr>
                <a:xfrm>
                  <a:off x="3346949" y="13340685"/>
                  <a:ext cx="430400" cy="1477"/>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43" name="Straight Connector 942"/>
                <xdr:cNvCxnSpPr/>
              </xdr:nvCxnSpPr>
              <xdr:spPr>
                <a:xfrm>
                  <a:off x="3778333" y="13623835"/>
                  <a:ext cx="426344" cy="1477"/>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44" name="Straight Connector 943"/>
                <xdr:cNvCxnSpPr/>
              </xdr:nvCxnSpPr>
              <xdr:spPr>
                <a:xfrm>
                  <a:off x="4202880" y="13929770"/>
                  <a:ext cx="434522" cy="1477"/>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45" name="Straight Connector 944"/>
                <xdr:cNvCxnSpPr/>
              </xdr:nvCxnSpPr>
              <xdr:spPr>
                <a:xfrm>
                  <a:off x="4635225" y="14233329"/>
                  <a:ext cx="440374" cy="1477"/>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46" name="Straight Connector 945"/>
                <xdr:cNvCxnSpPr/>
              </xdr:nvCxnSpPr>
              <xdr:spPr>
                <a:xfrm rot="10800000">
                  <a:off x="2415362" y="12952611"/>
                  <a:ext cx="2652327" cy="1829788"/>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47" name="Straight Connector 946"/>
                <xdr:cNvCxnSpPr/>
              </xdr:nvCxnSpPr>
              <xdr:spPr>
                <a:xfrm>
                  <a:off x="2472698" y="12881702"/>
                  <a:ext cx="2523875" cy="1746149"/>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948" name="Straight Connector 947"/>
                <xdr:cNvCxnSpPr/>
              </xdr:nvCxnSpPr>
              <xdr:spPr>
                <a:xfrm>
                  <a:off x="2558767" y="12754749"/>
                  <a:ext cx="306804" cy="0"/>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949" name="Straight Connector 948"/>
                <xdr:cNvCxnSpPr/>
              </xdr:nvCxnSpPr>
              <xdr:spPr>
                <a:xfrm rot="5400000">
                  <a:off x="2702408" y="12917910"/>
                  <a:ext cx="317258" cy="1573"/>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950" name="Straight Connector 949"/>
                <xdr:cNvCxnSpPr/>
              </xdr:nvCxnSpPr>
              <xdr:spPr>
                <a:xfrm>
                  <a:off x="2856503" y="13082539"/>
                  <a:ext cx="434520" cy="1477"/>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951" name="Straight Connector 950"/>
                <xdr:cNvCxnSpPr/>
              </xdr:nvCxnSpPr>
              <xdr:spPr>
                <a:xfrm rot="5400000">
                  <a:off x="3141288" y="13237699"/>
                  <a:ext cx="302654" cy="1573"/>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952" name="Straight Connector 951"/>
                <xdr:cNvCxnSpPr/>
              </xdr:nvCxnSpPr>
              <xdr:spPr>
                <a:xfrm>
                  <a:off x="3288849" y="13388055"/>
                  <a:ext cx="430400" cy="1477"/>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953" name="Straight Connector 952"/>
                <xdr:cNvCxnSpPr/>
              </xdr:nvCxnSpPr>
              <xdr:spPr>
                <a:xfrm rot="16200000" flipH="1">
                  <a:off x="3570694" y="13539966"/>
                  <a:ext cx="297163" cy="0"/>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954" name="Straight Connector 953"/>
                <xdr:cNvCxnSpPr/>
              </xdr:nvCxnSpPr>
              <xdr:spPr>
                <a:xfrm>
                  <a:off x="3719274" y="13688258"/>
                  <a:ext cx="423543" cy="1477"/>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955" name="Straight Connector 954"/>
                <xdr:cNvCxnSpPr/>
              </xdr:nvCxnSpPr>
              <xdr:spPr>
                <a:xfrm rot="5400000">
                  <a:off x="3997890" y="13830441"/>
                  <a:ext cx="289514" cy="1573"/>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956" name="Straight Connector 955"/>
                <xdr:cNvCxnSpPr/>
              </xdr:nvCxnSpPr>
              <xdr:spPr>
                <a:xfrm>
                  <a:off x="4144009" y="13971664"/>
                  <a:ext cx="434522" cy="1477"/>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957" name="Straight Connector 956"/>
                <xdr:cNvCxnSpPr/>
              </xdr:nvCxnSpPr>
              <xdr:spPr>
                <a:xfrm rot="5400000">
                  <a:off x="4423949" y="14127119"/>
                  <a:ext cx="302481" cy="1573"/>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958" name="Straight Connector 957"/>
                <xdr:cNvCxnSpPr/>
              </xdr:nvCxnSpPr>
              <xdr:spPr>
                <a:xfrm>
                  <a:off x="4574024" y="14276447"/>
                  <a:ext cx="434551" cy="1477"/>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959" name="Straight Connector 958"/>
                <xdr:cNvCxnSpPr/>
              </xdr:nvCxnSpPr>
              <xdr:spPr>
                <a:xfrm rot="5400000">
                  <a:off x="4902023" y="14375720"/>
                  <a:ext cx="211655" cy="1573"/>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sp macro="" textlink="">
              <xdr:nvSpPr>
                <xdr:cNvPr id="960" name="Flowchart: Connector 959"/>
                <xdr:cNvSpPr/>
              </xdr:nvSpPr>
              <xdr:spPr>
                <a:xfrm>
                  <a:off x="3267015" y="13096488"/>
                  <a:ext cx="10692" cy="10046"/>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961" name="Flowchart: Connector 960"/>
                <xdr:cNvSpPr/>
              </xdr:nvSpPr>
              <xdr:spPr>
                <a:xfrm>
                  <a:off x="2878640" y="13062018"/>
                  <a:ext cx="10692" cy="10046"/>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962" name="Flowchart: Connector 961"/>
                <xdr:cNvSpPr/>
              </xdr:nvSpPr>
              <xdr:spPr>
                <a:xfrm>
                  <a:off x="2840171" y="12771829"/>
                  <a:ext cx="10692" cy="10046"/>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963" name="Flowchart: Connector 962"/>
                <xdr:cNvSpPr/>
              </xdr:nvSpPr>
              <xdr:spPr>
                <a:xfrm>
                  <a:off x="3302200" y="13368582"/>
                  <a:ext cx="10692" cy="10046"/>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964" name="Flowchart: Connector 963"/>
                <xdr:cNvSpPr/>
              </xdr:nvSpPr>
              <xdr:spPr>
                <a:xfrm>
                  <a:off x="3733158" y="13662766"/>
                  <a:ext cx="10692" cy="10046"/>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965" name="Flowchart: Connector 964"/>
                <xdr:cNvSpPr/>
              </xdr:nvSpPr>
              <xdr:spPr>
                <a:xfrm>
                  <a:off x="4127519" y="13697135"/>
                  <a:ext cx="10692" cy="10046"/>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966" name="Flowchart: Connector 965"/>
                <xdr:cNvSpPr/>
              </xdr:nvSpPr>
              <xdr:spPr>
                <a:xfrm>
                  <a:off x="4551644" y="13980706"/>
                  <a:ext cx="10692" cy="10046"/>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967" name="Flowchart: Connector 966"/>
                <xdr:cNvSpPr/>
              </xdr:nvSpPr>
              <xdr:spPr>
                <a:xfrm>
                  <a:off x="4153907" y="13947313"/>
                  <a:ext cx="10692" cy="10046"/>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968" name="Flowchart: Connector 967"/>
                <xdr:cNvSpPr/>
              </xdr:nvSpPr>
              <xdr:spPr>
                <a:xfrm>
                  <a:off x="4585159" y="14253506"/>
                  <a:ext cx="10692" cy="10046"/>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969" name="Flowchart: Connector 968"/>
                <xdr:cNvSpPr/>
              </xdr:nvSpPr>
              <xdr:spPr>
                <a:xfrm>
                  <a:off x="4980856" y="14291860"/>
                  <a:ext cx="14900" cy="5467"/>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970" name="Flowchart: Connector 969"/>
                <xdr:cNvSpPr/>
              </xdr:nvSpPr>
              <xdr:spPr>
                <a:xfrm>
                  <a:off x="3692577" y="13400512"/>
                  <a:ext cx="10692" cy="10046"/>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971" name="Freeform 970"/>
                <xdr:cNvSpPr/>
              </xdr:nvSpPr>
              <xdr:spPr>
                <a:xfrm>
                  <a:off x="4956927" y="14410442"/>
                  <a:ext cx="57066" cy="94233"/>
                </a:xfrm>
                <a:custGeom>
                  <a:avLst/>
                  <a:gdLst>
                    <a:gd name="connsiteX0" fmla="*/ 82615 w 82615"/>
                    <a:gd name="connsiteY0" fmla="*/ 87474 h 102053"/>
                    <a:gd name="connsiteX1" fmla="*/ 9719 w 82615"/>
                    <a:gd name="connsiteY1" fmla="*/ 87474 h 102053"/>
                    <a:gd name="connsiteX2" fmla="*/ 24298 w 82615"/>
                    <a:gd name="connsiteY2" fmla="*/ 0 h 102053"/>
                  </a:gdLst>
                  <a:ahLst/>
                  <a:cxnLst>
                    <a:cxn ang="0">
                      <a:pos x="connsiteX0" y="connsiteY0"/>
                    </a:cxn>
                    <a:cxn ang="0">
                      <a:pos x="connsiteX1" y="connsiteY1"/>
                    </a:cxn>
                    <a:cxn ang="0">
                      <a:pos x="connsiteX2" y="connsiteY2"/>
                    </a:cxn>
                  </a:cxnLst>
                  <a:rect l="l" t="t" r="r" b="b"/>
                  <a:pathLst>
                    <a:path w="82615" h="102053">
                      <a:moveTo>
                        <a:pt x="82615" y="87474"/>
                      </a:moveTo>
                      <a:cubicBezTo>
                        <a:pt x="51026" y="94763"/>
                        <a:pt x="19438" y="102053"/>
                        <a:pt x="9719" y="87474"/>
                      </a:cubicBezTo>
                      <a:cubicBezTo>
                        <a:pt x="0" y="72895"/>
                        <a:pt x="16199" y="17819"/>
                        <a:pt x="24298" y="0"/>
                      </a:cubicBezTo>
                    </a:path>
                  </a:pathLst>
                </a:custGeom>
                <a:ln>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rtlCol="0" anchor="ctr"/>
                <a:lstStyle/>
                <a:p>
                  <a:pPr algn="ctr"/>
                  <a:endParaRPr lang="th-TH" sz="1100"/>
                </a:p>
              </xdr:txBody>
            </xdr:sp>
            <xdr:cxnSp macro="">
              <xdr:nvCxnSpPr>
                <xdr:cNvPr id="972" name="Straight Arrow Connector 971"/>
                <xdr:cNvCxnSpPr/>
              </xdr:nvCxnSpPr>
              <xdr:spPr>
                <a:xfrm rot="5400000">
                  <a:off x="3086332" y="12898260"/>
                  <a:ext cx="391126" cy="0"/>
                </a:xfrm>
                <a:prstGeom prst="straightConnector1">
                  <a:avLst/>
                </a:prstGeom>
                <a:ln w="3175">
                  <a:solidFill>
                    <a:schemeClr val="tx1">
                      <a:lumMod val="65000"/>
                      <a:lumOff val="35000"/>
                    </a:schemeClr>
                  </a:solidFill>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973" name="Flowchart: Connector 972"/>
                <xdr:cNvSpPr/>
              </xdr:nvSpPr>
              <xdr:spPr>
                <a:xfrm>
                  <a:off x="4606939" y="14333592"/>
                  <a:ext cx="10748" cy="9947"/>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974" name="Flowchart: Connector 973"/>
                <xdr:cNvSpPr/>
              </xdr:nvSpPr>
              <xdr:spPr>
                <a:xfrm>
                  <a:off x="4924632" y="14554361"/>
                  <a:ext cx="10748" cy="9947"/>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975" name="Flowchart: Connector 974"/>
                <xdr:cNvSpPr/>
              </xdr:nvSpPr>
              <xdr:spPr>
                <a:xfrm>
                  <a:off x="4418765" y="14205969"/>
                  <a:ext cx="10748" cy="9947"/>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976" name="Flowchart: Connector 975"/>
                <xdr:cNvSpPr/>
              </xdr:nvSpPr>
              <xdr:spPr>
                <a:xfrm>
                  <a:off x="4774418" y="14446807"/>
                  <a:ext cx="10748" cy="9947"/>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977" name="Flowchart: Connector 976"/>
                <xdr:cNvSpPr/>
              </xdr:nvSpPr>
              <xdr:spPr>
                <a:xfrm>
                  <a:off x="2624621" y="12966319"/>
                  <a:ext cx="10744" cy="10039"/>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978" name="Flowchart: Connector 977"/>
                <xdr:cNvSpPr/>
              </xdr:nvSpPr>
              <xdr:spPr>
                <a:xfrm>
                  <a:off x="2905111" y="13159695"/>
                  <a:ext cx="10744" cy="10039"/>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979" name="Flowchart: Connector 978"/>
                <xdr:cNvSpPr/>
              </xdr:nvSpPr>
              <xdr:spPr>
                <a:xfrm>
                  <a:off x="3117299" y="13316152"/>
                  <a:ext cx="10744" cy="10039"/>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980" name="Flowchart: Connector 979"/>
                <xdr:cNvSpPr/>
              </xdr:nvSpPr>
              <xdr:spPr>
                <a:xfrm>
                  <a:off x="3362532" y="13477563"/>
                  <a:ext cx="10744" cy="10039"/>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981" name="Flowchart: Connector 980"/>
                <xdr:cNvSpPr/>
              </xdr:nvSpPr>
              <xdr:spPr>
                <a:xfrm>
                  <a:off x="3566248" y="13612025"/>
                  <a:ext cx="10744" cy="10039"/>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982" name="Flowchart: Connector 981"/>
                <xdr:cNvSpPr/>
              </xdr:nvSpPr>
              <xdr:spPr>
                <a:xfrm>
                  <a:off x="3787595" y="13764802"/>
                  <a:ext cx="10744" cy="10039"/>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983" name="Flowchart: Connector 982"/>
                <xdr:cNvSpPr/>
              </xdr:nvSpPr>
              <xdr:spPr>
                <a:xfrm>
                  <a:off x="4002504" y="13917579"/>
                  <a:ext cx="10744" cy="10039"/>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984" name="Flowchart: Connector 983"/>
                <xdr:cNvSpPr/>
              </xdr:nvSpPr>
              <xdr:spPr>
                <a:xfrm>
                  <a:off x="4208943" y="14060530"/>
                  <a:ext cx="10744" cy="10039"/>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985" name="Freeform 984"/>
                <xdr:cNvSpPr/>
              </xdr:nvSpPr>
              <xdr:spPr>
                <a:xfrm>
                  <a:off x="4955363" y="14534196"/>
                  <a:ext cx="75957" cy="90622"/>
                </a:xfrm>
                <a:custGeom>
                  <a:avLst/>
                  <a:gdLst>
                    <a:gd name="connsiteX0" fmla="*/ 36951 w 75954"/>
                    <a:gd name="connsiteY0" fmla="*/ 90324 h 90324"/>
                    <a:gd name="connsiteX1" fmla="*/ 69795 w 75954"/>
                    <a:gd name="connsiteY1" fmla="*/ 49268 h 90324"/>
                    <a:gd name="connsiteX2" fmla="*/ 0 w 75954"/>
                    <a:gd name="connsiteY2" fmla="*/ 0 h 90324"/>
                  </a:gdLst>
                  <a:ahLst/>
                  <a:cxnLst>
                    <a:cxn ang="0">
                      <a:pos x="connsiteX0" y="connsiteY0"/>
                    </a:cxn>
                    <a:cxn ang="0">
                      <a:pos x="connsiteX1" y="connsiteY1"/>
                    </a:cxn>
                    <a:cxn ang="0">
                      <a:pos x="connsiteX2" y="connsiteY2"/>
                    </a:cxn>
                  </a:cxnLst>
                  <a:rect l="l" t="t" r="r" b="b"/>
                  <a:pathLst>
                    <a:path w="75954" h="90324">
                      <a:moveTo>
                        <a:pt x="36951" y="90324"/>
                      </a:moveTo>
                      <a:cubicBezTo>
                        <a:pt x="56452" y="77323"/>
                        <a:pt x="75954" y="64322"/>
                        <a:pt x="69795" y="49268"/>
                      </a:cubicBezTo>
                      <a:cubicBezTo>
                        <a:pt x="63637" y="34214"/>
                        <a:pt x="10948" y="10264"/>
                        <a:pt x="0" y="0"/>
                      </a:cubicBezTo>
                    </a:path>
                  </a:pathLst>
                </a:custGeom>
                <a:ln>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rtlCol="0" anchor="ctr"/>
                <a:lstStyle/>
                <a:p>
                  <a:pPr algn="ctr"/>
                  <a:endParaRPr lang="th-TH" sz="1100"/>
                </a:p>
              </xdr:txBody>
            </xdr:sp>
            <xdr:cxnSp macro="">
              <xdr:nvCxnSpPr>
                <xdr:cNvPr id="986" name="Straight Arrow Connector 985"/>
                <xdr:cNvCxnSpPr/>
              </xdr:nvCxnSpPr>
              <xdr:spPr>
                <a:xfrm rot="16200000" flipH="1">
                  <a:off x="3621836" y="13560819"/>
                  <a:ext cx="536915" cy="2328"/>
                </a:xfrm>
                <a:prstGeom prst="straightConnector1">
                  <a:avLst/>
                </a:prstGeom>
                <a:ln w="3175">
                  <a:solidFill>
                    <a:schemeClr val="tx1">
                      <a:lumMod val="65000"/>
                      <a:lumOff val="35000"/>
                    </a:schemeClr>
                  </a:solidFill>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987" name="Straight Arrow Connector 986"/>
                <xdr:cNvCxnSpPr/>
              </xdr:nvCxnSpPr>
              <xdr:spPr>
                <a:xfrm rot="16200000" flipH="1">
                  <a:off x="3405395" y="13177167"/>
                  <a:ext cx="427798" cy="0"/>
                </a:xfrm>
                <a:prstGeom prst="straightConnector1">
                  <a:avLst/>
                </a:prstGeom>
                <a:ln w="3175">
                  <a:solidFill>
                    <a:schemeClr val="tx1">
                      <a:lumMod val="65000"/>
                      <a:lumOff val="35000"/>
                    </a:schemeClr>
                  </a:solidFill>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988" name="Straight Connector 987"/>
                <xdr:cNvCxnSpPr/>
              </xdr:nvCxnSpPr>
              <xdr:spPr>
                <a:xfrm>
                  <a:off x="3889572" y="13292260"/>
                  <a:ext cx="1322273" cy="1619"/>
                </a:xfrm>
                <a:prstGeom prst="line">
                  <a:avLst/>
                </a:prstGeom>
                <a:ln w="3175">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89" name="Straight Connector 988"/>
                <xdr:cNvCxnSpPr/>
              </xdr:nvCxnSpPr>
              <xdr:spPr>
                <a:xfrm>
                  <a:off x="3619294" y="12955378"/>
                  <a:ext cx="488982" cy="0"/>
                </a:xfrm>
                <a:prstGeom prst="line">
                  <a:avLst/>
                </a:prstGeom>
                <a:ln w="3175">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90" name="Straight Connector 989"/>
                <xdr:cNvCxnSpPr/>
              </xdr:nvCxnSpPr>
              <xdr:spPr>
                <a:xfrm>
                  <a:off x="3286413" y="12700958"/>
                  <a:ext cx="824452" cy="1619"/>
                </a:xfrm>
                <a:prstGeom prst="line">
                  <a:avLst/>
                </a:prstGeom>
                <a:ln w="3175">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91" name="Straight Arrow Connector 990"/>
                <xdr:cNvCxnSpPr/>
              </xdr:nvCxnSpPr>
              <xdr:spPr>
                <a:xfrm rot="16200000" flipV="1">
                  <a:off x="3710170" y="14193478"/>
                  <a:ext cx="575402" cy="0"/>
                </a:xfrm>
                <a:prstGeom prst="straightConnector1">
                  <a:avLst/>
                </a:prstGeom>
                <a:ln w="3175">
                  <a:solidFill>
                    <a:schemeClr val="tx1">
                      <a:lumMod val="65000"/>
                      <a:lumOff val="35000"/>
                    </a:schemeClr>
                  </a:solidFill>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992" name="Straight Arrow Connector 991"/>
                <xdr:cNvCxnSpPr/>
              </xdr:nvCxnSpPr>
              <xdr:spPr>
                <a:xfrm rot="16200000" flipV="1">
                  <a:off x="2795516" y="13752631"/>
                  <a:ext cx="776110" cy="0"/>
                </a:xfrm>
                <a:prstGeom prst="straightConnector1">
                  <a:avLst/>
                </a:prstGeom>
                <a:ln w="3175">
                  <a:solidFill>
                    <a:schemeClr val="tx1">
                      <a:lumMod val="65000"/>
                      <a:lumOff val="35000"/>
                    </a:schemeClr>
                  </a:solidFill>
                  <a:headEnd type="none" w="sm" len="med"/>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993" name="Straight Connector 992"/>
                <xdr:cNvCxnSpPr/>
              </xdr:nvCxnSpPr>
              <xdr:spPr>
                <a:xfrm rot="10800000">
                  <a:off x="3443779" y="14483380"/>
                  <a:ext cx="557283" cy="0"/>
                </a:xfrm>
                <a:prstGeom prst="line">
                  <a:avLst/>
                </a:prstGeom>
                <a:ln w="3175">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994" name="Rectangle 993"/>
                <xdr:cNvSpPr/>
              </xdr:nvSpPr>
              <xdr:spPr>
                <a:xfrm>
                  <a:off x="1369219" y="11787188"/>
                  <a:ext cx="5404121" cy="39645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cxnSp macro="">
              <xdr:nvCxnSpPr>
                <xdr:cNvPr id="995" name="Straight Connector 994"/>
                <xdr:cNvCxnSpPr/>
              </xdr:nvCxnSpPr>
              <xdr:spPr>
                <a:xfrm>
                  <a:off x="2409581" y="13066034"/>
                  <a:ext cx="2658106" cy="1849054"/>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96" name="Straight Connector 995"/>
                <xdr:cNvCxnSpPr/>
              </xdr:nvCxnSpPr>
              <xdr:spPr>
                <a:xfrm>
                  <a:off x="2411016" y="12693894"/>
                  <a:ext cx="2656671" cy="1841056"/>
                </a:xfrm>
                <a:prstGeom prst="line">
                  <a:avLst/>
                </a:prstGeom>
                <a:ln w="6350">
                  <a:solidFill>
                    <a:schemeClr val="accent3">
                      <a:lumMod val="50000"/>
                    </a:schemeClr>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997" name="Straight Connector 996"/>
                <xdr:cNvCxnSpPr/>
              </xdr:nvCxnSpPr>
              <xdr:spPr>
                <a:xfrm>
                  <a:off x="2411016" y="12309230"/>
                  <a:ext cx="2657890" cy="1862495"/>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98" name="Straight Connector 997"/>
                <xdr:cNvCxnSpPr/>
              </xdr:nvCxnSpPr>
              <xdr:spPr>
                <a:xfrm rot="10800000">
                  <a:off x="2422519" y="12704641"/>
                  <a:ext cx="494511" cy="0"/>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99" name="Straight Connector 998"/>
                <xdr:cNvCxnSpPr/>
              </xdr:nvCxnSpPr>
              <xdr:spPr>
                <a:xfrm rot="5400000">
                  <a:off x="1908658" y="12765800"/>
                  <a:ext cx="1013876" cy="1588"/>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00" name="Straight Connector 999"/>
                <xdr:cNvCxnSpPr/>
              </xdr:nvCxnSpPr>
              <xdr:spPr>
                <a:xfrm rot="5400000">
                  <a:off x="4595134" y="14585157"/>
                  <a:ext cx="952500" cy="1588"/>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01" name="Straight Connector 1000"/>
                <xdr:cNvCxnSpPr/>
              </xdr:nvCxnSpPr>
              <xdr:spPr>
                <a:xfrm rot="5400000">
                  <a:off x="1509018" y="12754595"/>
                  <a:ext cx="1013876" cy="1588"/>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02" name="Straight Connector 1001"/>
                <xdr:cNvCxnSpPr/>
              </xdr:nvCxnSpPr>
              <xdr:spPr>
                <a:xfrm rot="5400000">
                  <a:off x="4973001" y="14587755"/>
                  <a:ext cx="957697" cy="1588"/>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003" name="Freeform 1002"/>
                <xdr:cNvSpPr/>
              </xdr:nvSpPr>
              <xdr:spPr>
                <a:xfrm>
                  <a:off x="2547291" y="12749011"/>
                  <a:ext cx="80332" cy="54000"/>
                </a:xfrm>
                <a:custGeom>
                  <a:avLst/>
                  <a:gdLst>
                    <a:gd name="connsiteX0" fmla="*/ 11476 w 80332"/>
                    <a:gd name="connsiteY0" fmla="*/ 0 h 61204"/>
                    <a:gd name="connsiteX1" fmla="*/ 11476 w 80332"/>
                    <a:gd name="connsiteY1" fmla="*/ 51641 h 61204"/>
                    <a:gd name="connsiteX2" fmla="*/ 80332 w 80332"/>
                    <a:gd name="connsiteY2" fmla="*/ 57379 h 61204"/>
                    <a:gd name="connsiteX3" fmla="*/ 80332 w 80332"/>
                    <a:gd name="connsiteY3" fmla="*/ 57379 h 61204"/>
                  </a:gdLst>
                  <a:ahLst/>
                  <a:cxnLst>
                    <a:cxn ang="0">
                      <a:pos x="connsiteX0" y="connsiteY0"/>
                    </a:cxn>
                    <a:cxn ang="0">
                      <a:pos x="connsiteX1" y="connsiteY1"/>
                    </a:cxn>
                    <a:cxn ang="0">
                      <a:pos x="connsiteX2" y="connsiteY2"/>
                    </a:cxn>
                    <a:cxn ang="0">
                      <a:pos x="connsiteX3" y="connsiteY3"/>
                    </a:cxn>
                  </a:cxnLst>
                  <a:rect l="l" t="t" r="r" b="b"/>
                  <a:pathLst>
                    <a:path w="80332" h="61204">
                      <a:moveTo>
                        <a:pt x="11476" y="0"/>
                      </a:moveTo>
                      <a:cubicBezTo>
                        <a:pt x="5738" y="21039"/>
                        <a:pt x="0" y="42078"/>
                        <a:pt x="11476" y="51641"/>
                      </a:cubicBezTo>
                      <a:cubicBezTo>
                        <a:pt x="22952" y="61204"/>
                        <a:pt x="80332" y="57379"/>
                        <a:pt x="80332" y="57379"/>
                      </a:cubicBezTo>
                      <a:lnTo>
                        <a:pt x="80332" y="57379"/>
                      </a:lnTo>
                    </a:path>
                  </a:pathLst>
                </a:cu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sp macro="" textlink="">
              <xdr:nvSpPr>
                <xdr:cNvPr id="1004" name="Freeform 1003"/>
                <xdr:cNvSpPr/>
              </xdr:nvSpPr>
              <xdr:spPr>
                <a:xfrm>
                  <a:off x="2470997" y="12852552"/>
                  <a:ext cx="109021" cy="41840"/>
                </a:xfrm>
                <a:custGeom>
                  <a:avLst/>
                  <a:gdLst>
                    <a:gd name="connsiteX0" fmla="*/ 0 w 109021"/>
                    <a:gd name="connsiteY0" fmla="*/ 41122 h 46860"/>
                    <a:gd name="connsiteX1" fmla="*/ 40166 w 109021"/>
                    <a:gd name="connsiteY1" fmla="*/ 956 h 46860"/>
                    <a:gd name="connsiteX2" fmla="*/ 109021 w 109021"/>
                    <a:gd name="connsiteY2" fmla="*/ 46860 h 46860"/>
                  </a:gdLst>
                  <a:ahLst/>
                  <a:cxnLst>
                    <a:cxn ang="0">
                      <a:pos x="connsiteX0" y="connsiteY0"/>
                    </a:cxn>
                    <a:cxn ang="0">
                      <a:pos x="connsiteX1" y="connsiteY1"/>
                    </a:cxn>
                    <a:cxn ang="0">
                      <a:pos x="connsiteX2" y="connsiteY2"/>
                    </a:cxn>
                  </a:cxnLst>
                  <a:rect l="l" t="t" r="r" b="b"/>
                  <a:pathLst>
                    <a:path w="109021" h="46860">
                      <a:moveTo>
                        <a:pt x="0" y="41122"/>
                      </a:moveTo>
                      <a:cubicBezTo>
                        <a:pt x="10998" y="20561"/>
                        <a:pt x="21996" y="0"/>
                        <a:pt x="40166" y="956"/>
                      </a:cubicBezTo>
                      <a:cubicBezTo>
                        <a:pt x="58336" y="1912"/>
                        <a:pt x="95633" y="41122"/>
                        <a:pt x="109021" y="46860"/>
                      </a:cubicBezTo>
                    </a:path>
                  </a:pathLst>
                </a:cu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grpSp>
          <xdr:sp macro="" textlink="'desigh Stairs'!$F$72">
            <xdr:nvSpPr>
              <xdr:cNvPr id="914" name="Rectangle 913"/>
              <xdr:cNvSpPr/>
            </xdr:nvSpPr>
            <xdr:spPr>
              <a:xfrm>
                <a:off x="2155022" y="14165152"/>
                <a:ext cx="810548" cy="2100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72211354-E58D-4335-B05D-EA1CD63BCB70}" type="TxLink">
                  <a:rPr lang="th-TH" sz="1050">
                    <a:solidFill>
                      <a:schemeClr val="tx2">
                        <a:lumMod val="60000"/>
                        <a:lumOff val="40000"/>
                      </a:schemeClr>
                    </a:solidFill>
                    <a:latin typeface="Times New Roman" pitchFamily="18" charset="0"/>
                  </a:rPr>
                  <a:pPr algn="ctr"/>
                  <a:t>12 mm.</a:t>
                </a:fld>
                <a:endParaRPr lang="th-TH" sz="1050">
                  <a:solidFill>
                    <a:schemeClr val="tx2">
                      <a:lumMod val="60000"/>
                      <a:lumOff val="40000"/>
                    </a:schemeClr>
                  </a:solidFill>
                  <a:latin typeface="Times New Roman" pitchFamily="18" charset="0"/>
                </a:endParaRPr>
              </a:p>
            </xdr:txBody>
          </xdr:sp>
          <xdr:sp macro="" textlink="'desigh Stairs'!$E$72">
            <xdr:nvSpPr>
              <xdr:cNvPr id="915" name="Rectangle 914"/>
              <xdr:cNvSpPr/>
            </xdr:nvSpPr>
            <xdr:spPr>
              <a:xfrm>
                <a:off x="2057263" y="14164148"/>
                <a:ext cx="353432" cy="2100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EABCC0FC-F39B-4783-8F5A-1A6A2CCE8C46}" type="TxLink">
                  <a:rPr lang="th-TH" sz="1100" b="1">
                    <a:solidFill>
                      <a:schemeClr val="tx2">
                        <a:lumMod val="60000"/>
                        <a:lumOff val="40000"/>
                      </a:schemeClr>
                    </a:solidFill>
                  </a:rPr>
                  <a:pPr algn="ctr"/>
                  <a:t>RB</a:t>
                </a:fld>
                <a:endParaRPr lang="th-TH" sz="1100" b="1">
                  <a:solidFill>
                    <a:schemeClr val="tx2">
                      <a:lumMod val="60000"/>
                      <a:lumOff val="40000"/>
                    </a:schemeClr>
                  </a:solidFill>
                </a:endParaRPr>
              </a:p>
            </xdr:txBody>
          </xdr:sp>
          <xdr:sp macro="" textlink="'desigh Stairs'!$H$72">
            <xdr:nvSpPr>
              <xdr:cNvPr id="916" name="Rectangle 915"/>
              <xdr:cNvSpPr/>
            </xdr:nvSpPr>
            <xdr:spPr>
              <a:xfrm>
                <a:off x="2779031" y="14163505"/>
                <a:ext cx="718319" cy="2100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A59B9426-CC36-49A1-AECD-9770DB243EE6}" type="TxLink">
                  <a:rPr lang="th-TH" sz="1050">
                    <a:solidFill>
                      <a:schemeClr val="tx2">
                        <a:lumMod val="60000"/>
                        <a:lumOff val="40000"/>
                      </a:schemeClr>
                    </a:solidFill>
                    <a:latin typeface="Times New Roman" pitchFamily="18" charset="0"/>
                  </a:rPr>
                  <a:pPr algn="ctr"/>
                  <a:t>11cm.</a:t>
                </a:fld>
                <a:endParaRPr lang="th-TH" sz="1050">
                  <a:solidFill>
                    <a:schemeClr val="tx2">
                      <a:lumMod val="60000"/>
                      <a:lumOff val="40000"/>
                    </a:schemeClr>
                  </a:solidFill>
                  <a:latin typeface="Times New Roman" pitchFamily="18" charset="0"/>
                </a:endParaRPr>
              </a:p>
            </xdr:txBody>
          </xdr:sp>
          <xdr:sp macro="" textlink="'desigh Stairs'!$G$72">
            <xdr:nvSpPr>
              <xdr:cNvPr id="917" name="Rectangle 916"/>
              <xdr:cNvSpPr/>
            </xdr:nvSpPr>
            <xdr:spPr>
              <a:xfrm>
                <a:off x="2689930" y="14179591"/>
                <a:ext cx="346652" cy="213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fld id="{8D6A2AAC-AC01-4C44-A5EB-50FEAFE3289C}" type="TxLink">
                  <a:rPr lang="th-TH" sz="1050">
                    <a:solidFill>
                      <a:schemeClr val="tx2">
                        <a:lumMod val="60000"/>
                        <a:lumOff val="40000"/>
                      </a:schemeClr>
                    </a:solidFill>
                  </a:rPr>
                  <a:pPr algn="ctr"/>
                  <a:t>@</a:t>
                </a:fld>
                <a:endParaRPr lang="th-TH" sz="1050">
                  <a:solidFill>
                    <a:schemeClr val="tx2">
                      <a:lumMod val="60000"/>
                      <a:lumOff val="40000"/>
                    </a:schemeClr>
                  </a:solidFill>
                </a:endParaRPr>
              </a:p>
            </xdr:txBody>
          </xdr:sp>
          <xdr:sp macro="" textlink="'desigh Stairs'!$F$72">
            <xdr:nvSpPr>
              <xdr:cNvPr id="918" name="Rectangle 917"/>
              <xdr:cNvSpPr/>
            </xdr:nvSpPr>
            <xdr:spPr>
              <a:xfrm>
                <a:off x="4029468" y="12340996"/>
                <a:ext cx="810548" cy="21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DBE18C5-54CE-4E6C-B7FF-91944D4EEA77}" type="TxLink">
                  <a:rPr lang="th-TH" sz="1050">
                    <a:solidFill>
                      <a:schemeClr val="tx2">
                        <a:lumMod val="60000"/>
                        <a:lumOff val="40000"/>
                      </a:schemeClr>
                    </a:solidFill>
                    <a:latin typeface="Times New Roman" pitchFamily="18" charset="0"/>
                  </a:rPr>
                  <a:pPr algn="ctr"/>
                  <a:t>12 mm.</a:t>
                </a:fld>
                <a:endParaRPr lang="th-TH" sz="1050">
                  <a:solidFill>
                    <a:schemeClr val="tx2">
                      <a:lumMod val="60000"/>
                      <a:lumOff val="40000"/>
                    </a:schemeClr>
                  </a:solidFill>
                  <a:latin typeface="Times New Roman" pitchFamily="18" charset="0"/>
                </a:endParaRPr>
              </a:p>
            </xdr:txBody>
          </xdr:sp>
          <xdr:sp macro="" textlink="'desigh Stairs'!$E$72">
            <xdr:nvSpPr>
              <xdr:cNvPr id="919" name="Rectangle 918"/>
              <xdr:cNvSpPr/>
            </xdr:nvSpPr>
            <xdr:spPr>
              <a:xfrm>
                <a:off x="3931709" y="12339991"/>
                <a:ext cx="350119" cy="21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B74B4C11-3032-469D-A88D-AE1991200376}" type="TxLink">
                  <a:rPr lang="th-TH" sz="1100" b="1">
                    <a:solidFill>
                      <a:schemeClr val="tx2">
                        <a:lumMod val="60000"/>
                        <a:lumOff val="40000"/>
                      </a:schemeClr>
                    </a:solidFill>
                  </a:rPr>
                  <a:pPr algn="ctr"/>
                  <a:t>RB</a:t>
                </a:fld>
                <a:endParaRPr lang="th-TH" sz="1100" b="1">
                  <a:solidFill>
                    <a:schemeClr val="tx2">
                      <a:lumMod val="60000"/>
                      <a:lumOff val="40000"/>
                    </a:schemeClr>
                  </a:solidFill>
                </a:endParaRPr>
              </a:p>
            </xdr:txBody>
          </xdr:sp>
          <xdr:sp macro="" textlink="'desigh Stairs'!$H$72">
            <xdr:nvSpPr>
              <xdr:cNvPr id="920" name="Rectangle 919"/>
              <xdr:cNvSpPr/>
            </xdr:nvSpPr>
            <xdr:spPr>
              <a:xfrm>
                <a:off x="4683258" y="12339348"/>
                <a:ext cx="721633" cy="21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EBE0B81E-3245-411E-AB9F-5FE19433E1EC}" type="TxLink">
                  <a:rPr lang="th-TH" sz="1050">
                    <a:solidFill>
                      <a:schemeClr val="tx2">
                        <a:lumMod val="60000"/>
                        <a:lumOff val="40000"/>
                      </a:schemeClr>
                    </a:solidFill>
                    <a:latin typeface="Times New Roman" pitchFamily="18" charset="0"/>
                  </a:rPr>
                  <a:pPr algn="ctr"/>
                  <a:t>11cm.</a:t>
                </a:fld>
                <a:endParaRPr lang="th-TH" sz="1050">
                  <a:solidFill>
                    <a:schemeClr val="tx2">
                      <a:lumMod val="60000"/>
                      <a:lumOff val="40000"/>
                    </a:schemeClr>
                  </a:solidFill>
                  <a:latin typeface="Times New Roman" pitchFamily="18" charset="0"/>
                </a:endParaRPr>
              </a:p>
            </xdr:txBody>
          </xdr:sp>
          <xdr:sp macro="" textlink="'desigh Stairs'!$G$72">
            <xdr:nvSpPr>
              <xdr:cNvPr id="921" name="Rectangle 920"/>
              <xdr:cNvSpPr/>
            </xdr:nvSpPr>
            <xdr:spPr>
              <a:xfrm>
                <a:off x="4561870" y="12358395"/>
                <a:ext cx="349158" cy="21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fld id="{E320E6C7-C4FE-4E5A-8C8E-23E90235C535}" type="TxLink">
                  <a:rPr lang="th-TH" sz="1050">
                    <a:solidFill>
                      <a:schemeClr val="tx2">
                        <a:lumMod val="60000"/>
                        <a:lumOff val="40000"/>
                      </a:schemeClr>
                    </a:solidFill>
                  </a:rPr>
                  <a:pPr algn="ctr"/>
                  <a:t>@</a:t>
                </a:fld>
                <a:endParaRPr lang="th-TH" sz="1050">
                  <a:solidFill>
                    <a:schemeClr val="tx2">
                      <a:lumMod val="60000"/>
                      <a:lumOff val="40000"/>
                    </a:schemeClr>
                  </a:solidFill>
                </a:endParaRPr>
              </a:p>
            </xdr:txBody>
          </xdr:sp>
          <xdr:cxnSp macro="">
            <xdr:nvCxnSpPr>
              <xdr:cNvPr id="922" name="Straight Connector 921"/>
              <xdr:cNvCxnSpPr/>
            </xdr:nvCxnSpPr>
            <xdr:spPr>
              <a:xfrm rot="10800000">
                <a:off x="2475593" y="13923491"/>
                <a:ext cx="579020" cy="1588"/>
              </a:xfrm>
              <a:prstGeom prst="line">
                <a:avLst/>
              </a:prstGeom>
              <a:ln w="317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desigh Stairs'!$J$72">
            <xdr:nvSpPr>
              <xdr:cNvPr id="923" name="Rectangle 922"/>
              <xdr:cNvSpPr/>
            </xdr:nvSpPr>
            <xdr:spPr>
              <a:xfrm>
                <a:off x="1277713" y="13806289"/>
                <a:ext cx="806390" cy="21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D22E04B-2EAA-41AA-AA49-71859D4EB09F}" type="TxLink">
                  <a:rPr lang="th-TH" sz="1050">
                    <a:solidFill>
                      <a:schemeClr val="tx2">
                        <a:lumMod val="60000"/>
                        <a:lumOff val="40000"/>
                      </a:schemeClr>
                    </a:solidFill>
                    <a:latin typeface="Times New Roman" pitchFamily="18" charset="0"/>
                  </a:rPr>
                  <a:pPr algn="ctr"/>
                  <a:t>9 mm.</a:t>
                </a:fld>
                <a:endParaRPr lang="th-TH" sz="1050">
                  <a:solidFill>
                    <a:schemeClr val="tx2">
                      <a:lumMod val="60000"/>
                      <a:lumOff val="40000"/>
                    </a:schemeClr>
                  </a:solidFill>
                  <a:latin typeface="Times New Roman" pitchFamily="18" charset="0"/>
                </a:endParaRPr>
              </a:p>
            </xdr:txBody>
          </xdr:sp>
          <xdr:sp macro="" textlink="'desigh Stairs'!$I$72">
            <xdr:nvSpPr>
              <xdr:cNvPr id="924" name="Rectangle 923"/>
              <xdr:cNvSpPr/>
            </xdr:nvSpPr>
            <xdr:spPr>
              <a:xfrm>
                <a:off x="1183912" y="13806283"/>
                <a:ext cx="351458" cy="21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06861803-68BD-4A91-9131-D4144F87044C}" type="TxLink">
                  <a:rPr lang="th-TH" sz="1100" b="1">
                    <a:solidFill>
                      <a:schemeClr val="tx2">
                        <a:lumMod val="60000"/>
                        <a:lumOff val="40000"/>
                      </a:schemeClr>
                    </a:solidFill>
                  </a:rPr>
                  <a:pPr algn="ctr"/>
                  <a:t>RB</a:t>
                </a:fld>
                <a:endParaRPr lang="th-TH" sz="1100" b="1">
                  <a:solidFill>
                    <a:schemeClr val="tx2">
                      <a:lumMod val="60000"/>
                      <a:lumOff val="40000"/>
                    </a:schemeClr>
                  </a:solidFill>
                </a:endParaRPr>
              </a:p>
            </xdr:txBody>
          </xdr:sp>
          <xdr:sp macro="" textlink="'desigh Stairs'!$L$72">
            <xdr:nvSpPr>
              <xdr:cNvPr id="925" name="Rectangle 924"/>
              <xdr:cNvSpPr/>
            </xdr:nvSpPr>
            <xdr:spPr>
              <a:xfrm>
                <a:off x="1859286" y="13805606"/>
                <a:ext cx="722235" cy="2172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0642AE5-1ED2-429E-A423-05F88265E124}" type="TxLink">
                  <a:rPr lang="th-TH" sz="1050">
                    <a:solidFill>
                      <a:schemeClr val="tx2">
                        <a:lumMod val="60000"/>
                        <a:lumOff val="40000"/>
                      </a:schemeClr>
                    </a:solidFill>
                    <a:latin typeface="Times New Roman" pitchFamily="18" charset="0"/>
                  </a:rPr>
                  <a:pPr algn="ctr"/>
                  <a:t>17cm.</a:t>
                </a:fld>
                <a:endParaRPr lang="th-TH" sz="1050">
                  <a:solidFill>
                    <a:schemeClr val="tx2">
                      <a:lumMod val="60000"/>
                      <a:lumOff val="40000"/>
                    </a:schemeClr>
                  </a:solidFill>
                  <a:latin typeface="Times New Roman" pitchFamily="18" charset="0"/>
                </a:endParaRPr>
              </a:p>
            </xdr:txBody>
          </xdr:sp>
          <xdr:sp macro="" textlink="'desigh Stairs'!$K$72">
            <xdr:nvSpPr>
              <xdr:cNvPr id="926" name="Rectangle 925"/>
              <xdr:cNvSpPr/>
            </xdr:nvSpPr>
            <xdr:spPr>
              <a:xfrm>
                <a:off x="1770499" y="13805599"/>
                <a:ext cx="348869" cy="21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FE3642E3-D0AE-4462-9282-852A3AE0828E}" type="TxLink">
                  <a:rPr lang="th-TH" sz="1050">
                    <a:solidFill>
                      <a:schemeClr val="tx2">
                        <a:lumMod val="60000"/>
                        <a:lumOff val="40000"/>
                      </a:schemeClr>
                    </a:solidFill>
                  </a:rPr>
                  <a:pPr algn="ctr"/>
                  <a:t>@</a:t>
                </a:fld>
                <a:endParaRPr lang="th-TH" sz="1050">
                  <a:solidFill>
                    <a:schemeClr val="tx2">
                      <a:lumMod val="60000"/>
                      <a:lumOff val="40000"/>
                    </a:schemeClr>
                  </a:solidFill>
                </a:endParaRPr>
              </a:p>
            </xdr:txBody>
          </xdr:sp>
          <xdr:sp macro="" textlink="'desigh Stairs'!$J$72">
            <xdr:nvSpPr>
              <xdr:cNvPr id="927" name="Rectangle 926"/>
              <xdr:cNvSpPr/>
            </xdr:nvSpPr>
            <xdr:spPr>
              <a:xfrm>
                <a:off x="4045576" y="12607111"/>
                <a:ext cx="806390" cy="207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B4EA3C82-43CC-4FDF-92E2-0B1F731446E1}" type="TxLink">
                  <a:rPr lang="th-TH" sz="1050">
                    <a:solidFill>
                      <a:schemeClr val="tx2">
                        <a:lumMod val="60000"/>
                        <a:lumOff val="40000"/>
                      </a:schemeClr>
                    </a:solidFill>
                    <a:latin typeface="Times New Roman" pitchFamily="18" charset="0"/>
                  </a:rPr>
                  <a:pPr algn="ctr"/>
                  <a:t>9 mm.</a:t>
                </a:fld>
                <a:endParaRPr lang="th-TH" sz="1050">
                  <a:solidFill>
                    <a:schemeClr val="tx2">
                      <a:lumMod val="60000"/>
                      <a:lumOff val="40000"/>
                    </a:schemeClr>
                  </a:solidFill>
                  <a:latin typeface="Times New Roman" pitchFamily="18" charset="0"/>
                </a:endParaRPr>
              </a:p>
            </xdr:txBody>
          </xdr:sp>
          <xdr:sp macro="" textlink="'desigh Stairs'!$I$72">
            <xdr:nvSpPr>
              <xdr:cNvPr id="928" name="Rectangle 927"/>
              <xdr:cNvSpPr/>
            </xdr:nvSpPr>
            <xdr:spPr>
              <a:xfrm>
                <a:off x="3943689" y="12607104"/>
                <a:ext cx="348952" cy="207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178031DA-F658-4AFD-A741-796B05EE9385}" type="TxLink">
                  <a:rPr lang="th-TH" sz="1100" b="1">
                    <a:solidFill>
                      <a:schemeClr val="tx2">
                        <a:lumMod val="60000"/>
                        <a:lumOff val="40000"/>
                      </a:schemeClr>
                    </a:solidFill>
                  </a:rPr>
                  <a:pPr algn="ctr"/>
                  <a:t>RB</a:t>
                </a:fld>
                <a:endParaRPr lang="th-TH" sz="1100" b="1">
                  <a:solidFill>
                    <a:schemeClr val="tx2">
                      <a:lumMod val="60000"/>
                      <a:lumOff val="40000"/>
                    </a:schemeClr>
                  </a:solidFill>
                </a:endParaRPr>
              </a:p>
            </xdr:txBody>
          </xdr:sp>
          <xdr:sp macro="" textlink="'desigh Stairs'!$L$72">
            <xdr:nvSpPr>
              <xdr:cNvPr id="929" name="Rectangle 928"/>
              <xdr:cNvSpPr/>
            </xdr:nvSpPr>
            <xdr:spPr>
              <a:xfrm>
                <a:off x="4665074" y="12606428"/>
                <a:ext cx="724741" cy="2172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6BE8BD7E-393D-4846-90CE-A48075B6FAE9}" type="TxLink">
                  <a:rPr lang="th-TH" sz="1050">
                    <a:solidFill>
                      <a:schemeClr val="tx2">
                        <a:lumMod val="60000"/>
                        <a:lumOff val="40000"/>
                      </a:schemeClr>
                    </a:solidFill>
                    <a:latin typeface="Times New Roman" pitchFamily="18" charset="0"/>
                  </a:rPr>
                  <a:pPr algn="ctr"/>
                  <a:t>17cm.</a:t>
                </a:fld>
                <a:endParaRPr lang="th-TH" sz="1050">
                  <a:solidFill>
                    <a:schemeClr val="tx2">
                      <a:lumMod val="60000"/>
                      <a:lumOff val="40000"/>
                    </a:schemeClr>
                  </a:solidFill>
                  <a:latin typeface="Times New Roman" pitchFamily="18" charset="0"/>
                </a:endParaRPr>
              </a:p>
            </xdr:txBody>
          </xdr:sp>
          <xdr:sp macro="" textlink="'desigh Stairs'!$K$72">
            <xdr:nvSpPr>
              <xdr:cNvPr id="930" name="Rectangle 929"/>
              <xdr:cNvSpPr/>
            </xdr:nvSpPr>
            <xdr:spPr>
              <a:xfrm>
                <a:off x="4576287" y="12606421"/>
                <a:ext cx="351375" cy="207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14D5C428-8B6B-4E1D-B6CA-B1ACB5B82D82}" type="TxLink">
                  <a:rPr lang="th-TH" sz="1050">
                    <a:solidFill>
                      <a:schemeClr val="tx2">
                        <a:lumMod val="60000"/>
                        <a:lumOff val="40000"/>
                      </a:schemeClr>
                    </a:solidFill>
                  </a:rPr>
                  <a:pPr algn="ctr"/>
                  <a:t>@</a:t>
                </a:fld>
                <a:endParaRPr lang="th-TH" sz="1050">
                  <a:solidFill>
                    <a:schemeClr val="tx2">
                      <a:lumMod val="60000"/>
                      <a:lumOff val="40000"/>
                    </a:schemeClr>
                  </a:solidFill>
                </a:endParaRPr>
              </a:p>
            </xdr:txBody>
          </xdr:sp>
          <xdr:cxnSp macro="">
            <xdr:nvCxnSpPr>
              <xdr:cNvPr id="931" name="Straight Connector 930"/>
              <xdr:cNvCxnSpPr/>
            </xdr:nvCxnSpPr>
            <xdr:spPr>
              <a:xfrm rot="5400000" flipH="1" flipV="1">
                <a:off x="3650424" y="13524471"/>
                <a:ext cx="217920" cy="193592"/>
              </a:xfrm>
              <a:prstGeom prst="line">
                <a:avLst/>
              </a:prstGeom>
              <a:ln w="3175">
                <a:solidFill>
                  <a:schemeClr val="tx2">
                    <a:lumMod val="75000"/>
                  </a:schemeClr>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932" name="Straight Connector 931"/>
              <xdr:cNvCxnSpPr/>
            </xdr:nvCxnSpPr>
            <xdr:spPr>
              <a:xfrm rot="16200000" flipH="1">
                <a:off x="3647332" y="13688374"/>
                <a:ext cx="75664" cy="20410"/>
              </a:xfrm>
              <a:prstGeom prst="line">
                <a:avLst/>
              </a:prstGeom>
              <a:ln w="3175">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33" name="Straight Connector 932"/>
              <xdr:cNvCxnSpPr/>
            </xdr:nvCxnSpPr>
            <xdr:spPr>
              <a:xfrm rot="16200000" flipH="1">
                <a:off x="3787424" y="13523952"/>
                <a:ext cx="81850" cy="30925"/>
              </a:xfrm>
              <a:prstGeom prst="line">
                <a:avLst/>
              </a:prstGeom>
              <a:ln w="3175">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sp macro="" textlink="'desigh Stairs'!$M$72">
            <xdr:nvSpPr>
              <xdr:cNvPr id="934" name="Rectangle 933"/>
              <xdr:cNvSpPr/>
            </xdr:nvSpPr>
            <xdr:spPr>
              <a:xfrm>
                <a:off x="5009234" y="12940546"/>
                <a:ext cx="921355" cy="2071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E99224CB-BB45-449F-A128-137654FF3171}" type="TxLink">
                  <a:rPr lang="th-TH" sz="1050">
                    <a:solidFill>
                      <a:schemeClr val="tx2">
                        <a:lumMod val="60000"/>
                        <a:lumOff val="40000"/>
                      </a:schemeClr>
                    </a:solidFill>
                    <a:latin typeface="Times New Roman" pitchFamily="18" charset="0"/>
                  </a:rPr>
                  <a:pPr algn="ctr"/>
                  <a:t>t = 15.0 cm.</a:t>
                </a:fld>
                <a:endParaRPr lang="th-TH" sz="1050">
                  <a:solidFill>
                    <a:schemeClr val="tx2">
                      <a:lumMod val="60000"/>
                      <a:lumOff val="40000"/>
                    </a:schemeClr>
                  </a:solidFill>
                  <a:latin typeface="Times New Roman" pitchFamily="18" charset="0"/>
                </a:endParaRPr>
              </a:p>
            </xdr:txBody>
          </xdr:sp>
        </xdr:grpSp>
        <xdr:grpSp>
          <xdr:nvGrpSpPr>
            <xdr:cNvPr id="1608" name="Group 1607"/>
            <xdr:cNvGrpSpPr/>
          </xdr:nvGrpSpPr>
          <xdr:grpSpPr>
            <a:xfrm>
              <a:off x="5897581" y="30105222"/>
              <a:ext cx="3008006" cy="1298195"/>
              <a:chOff x="6156613" y="29624150"/>
              <a:chExt cx="2904998" cy="1331659"/>
            </a:xfrm>
          </xdr:grpSpPr>
          <xdr:cxnSp macro="">
            <xdr:nvCxnSpPr>
              <xdr:cNvPr id="1238" name="Straight Connector 1237"/>
              <xdr:cNvCxnSpPr/>
            </xdr:nvCxnSpPr>
            <xdr:spPr>
              <a:xfrm>
                <a:off x="6158905" y="30281883"/>
                <a:ext cx="349565" cy="1532"/>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40" name="Straight Connector 1239"/>
              <xdr:cNvCxnSpPr/>
            </xdr:nvCxnSpPr>
            <xdr:spPr>
              <a:xfrm rot="5400000">
                <a:off x="5815580" y="30613215"/>
                <a:ext cx="683627" cy="1561"/>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42" name="Straight Connector 1241"/>
              <xdr:cNvCxnSpPr/>
            </xdr:nvCxnSpPr>
            <xdr:spPr>
              <a:xfrm>
                <a:off x="6157189" y="30953044"/>
                <a:ext cx="349565" cy="1532"/>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48" name="Straight Connector 1247"/>
              <xdr:cNvCxnSpPr/>
            </xdr:nvCxnSpPr>
            <xdr:spPr>
              <a:xfrm>
                <a:off x="6493358" y="30629200"/>
                <a:ext cx="2562348" cy="0"/>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61" name="Straight Connector 1260"/>
              <xdr:cNvCxnSpPr/>
            </xdr:nvCxnSpPr>
            <xdr:spPr>
              <a:xfrm>
                <a:off x="6499187" y="30842250"/>
                <a:ext cx="2562424" cy="0"/>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62" name="Straight Connector 1261"/>
              <xdr:cNvCxnSpPr/>
            </xdr:nvCxnSpPr>
            <xdr:spPr>
              <a:xfrm flipV="1">
                <a:off x="6480885" y="30313708"/>
                <a:ext cx="2573592" cy="0"/>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63" name="Straight Connector 1262"/>
              <xdr:cNvCxnSpPr/>
            </xdr:nvCxnSpPr>
            <xdr:spPr>
              <a:xfrm>
                <a:off x="6192563" y="30324848"/>
                <a:ext cx="278786" cy="1532"/>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65" name="Straight Connector 1264"/>
              <xdr:cNvCxnSpPr/>
            </xdr:nvCxnSpPr>
            <xdr:spPr>
              <a:xfrm rot="16200000" flipH="1">
                <a:off x="5891056" y="30620735"/>
                <a:ext cx="608956" cy="0"/>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66" name="Straight Connector 1265"/>
              <xdr:cNvCxnSpPr/>
            </xdr:nvCxnSpPr>
            <xdr:spPr>
              <a:xfrm rot="16200000" flipH="1">
                <a:off x="6162780" y="30624372"/>
                <a:ext cx="601685" cy="1"/>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67" name="Straight Connector 1266"/>
              <xdr:cNvCxnSpPr/>
            </xdr:nvCxnSpPr>
            <xdr:spPr>
              <a:xfrm>
                <a:off x="6187930" y="30914379"/>
                <a:ext cx="278786" cy="1532"/>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69" name="Straight Connector 1268"/>
              <xdr:cNvCxnSpPr/>
            </xdr:nvCxnSpPr>
            <xdr:spPr>
              <a:xfrm rot="16200000" flipH="1">
                <a:off x="8941630" y="30732101"/>
                <a:ext cx="224562" cy="0"/>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73" name="Straight Connector 1272"/>
              <xdr:cNvCxnSpPr/>
            </xdr:nvCxnSpPr>
            <xdr:spPr>
              <a:xfrm>
                <a:off x="6244741" y="30708471"/>
                <a:ext cx="2766175"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275" name="Straight Connector 1274"/>
              <xdr:cNvCxnSpPr/>
            </xdr:nvCxnSpPr>
            <xdr:spPr>
              <a:xfrm rot="5400000">
                <a:off x="6329598" y="30452119"/>
                <a:ext cx="341814" cy="1561"/>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79" name="Straight Connector 1278"/>
              <xdr:cNvCxnSpPr/>
            </xdr:nvCxnSpPr>
            <xdr:spPr>
              <a:xfrm rot="5400000">
                <a:off x="6440689" y="30896109"/>
                <a:ext cx="118811" cy="0"/>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40" name="Straight Connector 1339"/>
              <xdr:cNvCxnSpPr/>
            </xdr:nvCxnSpPr>
            <xdr:spPr>
              <a:xfrm>
                <a:off x="6243241" y="30388542"/>
                <a:ext cx="2758954"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401" name="Straight Connector 1400"/>
              <xdr:cNvCxnSpPr/>
            </xdr:nvCxnSpPr>
            <xdr:spPr>
              <a:xfrm rot="5400000">
                <a:off x="6587786" y="30499713"/>
                <a:ext cx="220809"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402" name="Straight Connector 1401"/>
              <xdr:cNvCxnSpPr/>
            </xdr:nvCxnSpPr>
            <xdr:spPr>
              <a:xfrm rot="5400000">
                <a:off x="6805539" y="30505053"/>
                <a:ext cx="220809"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403" name="Straight Connector 1402"/>
              <xdr:cNvCxnSpPr/>
            </xdr:nvCxnSpPr>
            <xdr:spPr>
              <a:xfrm rot="5400000">
                <a:off x="7031461" y="30505054"/>
                <a:ext cx="220809"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404" name="Straight Connector 1403"/>
              <xdr:cNvCxnSpPr/>
            </xdr:nvCxnSpPr>
            <xdr:spPr>
              <a:xfrm rot="5400000">
                <a:off x="7274801" y="30499713"/>
                <a:ext cx="220809"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405" name="Straight Connector 1404"/>
              <xdr:cNvCxnSpPr/>
            </xdr:nvCxnSpPr>
            <xdr:spPr>
              <a:xfrm rot="5400000">
                <a:off x="7517054" y="30505054"/>
                <a:ext cx="220809"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406" name="Straight Connector 1405"/>
              <xdr:cNvCxnSpPr/>
            </xdr:nvCxnSpPr>
            <xdr:spPr>
              <a:xfrm rot="5400000">
                <a:off x="7767471" y="30505054"/>
                <a:ext cx="220809"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407" name="Straight Connector 1406"/>
              <xdr:cNvCxnSpPr/>
            </xdr:nvCxnSpPr>
            <xdr:spPr>
              <a:xfrm rot="5400000">
                <a:off x="8016254" y="30505054"/>
                <a:ext cx="220809"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408" name="Straight Connector 1407"/>
              <xdr:cNvCxnSpPr/>
            </xdr:nvCxnSpPr>
            <xdr:spPr>
              <a:xfrm rot="5400000">
                <a:off x="8247622" y="30505054"/>
                <a:ext cx="220809"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409" name="Straight Connector 1408"/>
              <xdr:cNvCxnSpPr/>
            </xdr:nvCxnSpPr>
            <xdr:spPr>
              <a:xfrm rot="5400000">
                <a:off x="8470194" y="30505054"/>
                <a:ext cx="220809"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410" name="Straight Connector 1409"/>
              <xdr:cNvCxnSpPr/>
            </xdr:nvCxnSpPr>
            <xdr:spPr>
              <a:xfrm rot="5400000">
                <a:off x="6460417" y="30670706"/>
                <a:ext cx="84916" cy="1561"/>
              </a:xfrm>
              <a:prstGeom prst="line">
                <a:avLst/>
              </a:prstGeom>
              <a:ln w="127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411" name="Straight Connector 1410"/>
              <xdr:cNvCxnSpPr/>
            </xdr:nvCxnSpPr>
            <xdr:spPr>
              <a:xfrm rot="5400000">
                <a:off x="6654947" y="30670528"/>
                <a:ext cx="84916" cy="1561"/>
              </a:xfrm>
              <a:prstGeom prst="line">
                <a:avLst/>
              </a:prstGeom>
              <a:ln w="127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412" name="Straight Connector 1411"/>
              <xdr:cNvCxnSpPr/>
            </xdr:nvCxnSpPr>
            <xdr:spPr>
              <a:xfrm rot="5400000">
                <a:off x="6872701" y="30670528"/>
                <a:ext cx="84916" cy="1561"/>
              </a:xfrm>
              <a:prstGeom prst="line">
                <a:avLst/>
              </a:prstGeom>
              <a:ln w="127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413" name="Straight Connector 1412"/>
              <xdr:cNvCxnSpPr/>
            </xdr:nvCxnSpPr>
            <xdr:spPr>
              <a:xfrm rot="5400000">
                <a:off x="7098624" y="30670528"/>
                <a:ext cx="84916" cy="1561"/>
              </a:xfrm>
              <a:prstGeom prst="line">
                <a:avLst/>
              </a:prstGeom>
              <a:ln w="127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414" name="Straight Connector 1413"/>
              <xdr:cNvCxnSpPr/>
            </xdr:nvCxnSpPr>
            <xdr:spPr>
              <a:xfrm rot="5400000">
                <a:off x="7341966" y="30670528"/>
                <a:ext cx="84916" cy="1561"/>
              </a:xfrm>
              <a:prstGeom prst="line">
                <a:avLst/>
              </a:prstGeom>
              <a:ln w="127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415" name="Straight Connector 1414"/>
              <xdr:cNvCxnSpPr/>
            </xdr:nvCxnSpPr>
            <xdr:spPr>
              <a:xfrm rot="5400000">
                <a:off x="7584219" y="30670528"/>
                <a:ext cx="84916" cy="1561"/>
              </a:xfrm>
              <a:prstGeom prst="line">
                <a:avLst/>
              </a:prstGeom>
              <a:ln w="127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416" name="Straight Connector 1415"/>
              <xdr:cNvCxnSpPr/>
            </xdr:nvCxnSpPr>
            <xdr:spPr>
              <a:xfrm rot="5400000">
                <a:off x="7833971" y="30670528"/>
                <a:ext cx="84916" cy="1561"/>
              </a:xfrm>
              <a:prstGeom prst="line">
                <a:avLst/>
              </a:prstGeom>
              <a:ln w="127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417" name="Straight Connector 1416"/>
              <xdr:cNvCxnSpPr/>
            </xdr:nvCxnSpPr>
            <xdr:spPr>
              <a:xfrm rot="5400000">
                <a:off x="8088199" y="30670528"/>
                <a:ext cx="84916" cy="1561"/>
              </a:xfrm>
              <a:prstGeom prst="line">
                <a:avLst/>
              </a:prstGeom>
              <a:ln w="127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418" name="Straight Connector 1417"/>
              <xdr:cNvCxnSpPr/>
            </xdr:nvCxnSpPr>
            <xdr:spPr>
              <a:xfrm rot="5400000">
                <a:off x="8314788" y="30670528"/>
                <a:ext cx="84916" cy="1561"/>
              </a:xfrm>
              <a:prstGeom prst="line">
                <a:avLst/>
              </a:prstGeom>
              <a:ln w="127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419" name="Straight Connector 1418"/>
              <xdr:cNvCxnSpPr/>
            </xdr:nvCxnSpPr>
            <xdr:spPr>
              <a:xfrm rot="5400000">
                <a:off x="8543431" y="30666493"/>
                <a:ext cx="84916" cy="1561"/>
              </a:xfrm>
              <a:prstGeom prst="line">
                <a:avLst/>
              </a:prstGeom>
              <a:ln w="127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420" name="Straight Connector 1419"/>
              <xdr:cNvCxnSpPr/>
            </xdr:nvCxnSpPr>
            <xdr:spPr>
              <a:xfrm rot="5400000">
                <a:off x="8784772" y="30670708"/>
                <a:ext cx="84916" cy="1561"/>
              </a:xfrm>
              <a:prstGeom prst="line">
                <a:avLst/>
              </a:prstGeom>
              <a:ln w="127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sp macro="" textlink="">
            <xdr:nvSpPr>
              <xdr:cNvPr id="1421" name="Flowchart: Connector 1420"/>
              <xdr:cNvSpPr/>
            </xdr:nvSpPr>
            <xdr:spPr>
              <a:xfrm>
                <a:off x="6218240" y="30345700"/>
                <a:ext cx="10617" cy="10419"/>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422" name="Flowchart: Connector 1421"/>
              <xdr:cNvSpPr/>
            </xdr:nvSpPr>
            <xdr:spPr>
              <a:xfrm>
                <a:off x="6425998" y="30345701"/>
                <a:ext cx="10617" cy="10419"/>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423" name="Flowchart: Connector 1422"/>
              <xdr:cNvSpPr/>
            </xdr:nvSpPr>
            <xdr:spPr>
              <a:xfrm>
                <a:off x="6214957" y="30875536"/>
                <a:ext cx="10617" cy="10419"/>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424" name="Flowchart: Connector 1423"/>
              <xdr:cNvSpPr/>
            </xdr:nvSpPr>
            <xdr:spPr>
              <a:xfrm>
                <a:off x="6426665" y="30878477"/>
                <a:ext cx="10617" cy="10419"/>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425" name="Flowchart: Connector 1424"/>
              <xdr:cNvSpPr/>
            </xdr:nvSpPr>
            <xdr:spPr>
              <a:xfrm>
                <a:off x="6217734" y="30787704"/>
                <a:ext cx="10617" cy="10419"/>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426" name="Flowchart: Connector 1425"/>
              <xdr:cNvSpPr/>
            </xdr:nvSpPr>
            <xdr:spPr>
              <a:xfrm>
                <a:off x="6425930" y="30792988"/>
                <a:ext cx="10617" cy="10419"/>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cxnSp macro="">
            <xdr:nvCxnSpPr>
              <xdr:cNvPr id="1564" name="Straight Connector 1563"/>
              <xdr:cNvCxnSpPr/>
            </xdr:nvCxnSpPr>
            <xdr:spPr>
              <a:xfrm rot="16200000" flipH="1">
                <a:off x="6160737" y="30798826"/>
                <a:ext cx="188562"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1567" name="Freeform 1566"/>
              <xdr:cNvSpPr/>
            </xdr:nvSpPr>
            <xdr:spPr>
              <a:xfrm>
                <a:off x="6249579" y="30825682"/>
                <a:ext cx="48160" cy="78126"/>
              </a:xfrm>
              <a:custGeom>
                <a:avLst/>
                <a:gdLst>
                  <a:gd name="connsiteX0" fmla="*/ 0 w 74915"/>
                  <a:gd name="connsiteY0" fmla="*/ 64214 h 80267"/>
                  <a:gd name="connsiteX1" fmla="*/ 64213 w 74915"/>
                  <a:gd name="connsiteY1" fmla="*/ 69565 h 80267"/>
                  <a:gd name="connsiteX2" fmla="*/ 64213 w 74915"/>
                  <a:gd name="connsiteY2" fmla="*/ 0 h 80267"/>
                </a:gdLst>
                <a:ahLst/>
                <a:cxnLst>
                  <a:cxn ang="0">
                    <a:pos x="connsiteX0" y="connsiteY0"/>
                  </a:cxn>
                  <a:cxn ang="0">
                    <a:pos x="connsiteX1" y="connsiteY1"/>
                  </a:cxn>
                  <a:cxn ang="0">
                    <a:pos x="connsiteX2" y="connsiteY2"/>
                  </a:cxn>
                </a:cxnLst>
                <a:rect l="l" t="t" r="r" b="b"/>
                <a:pathLst>
                  <a:path w="74915" h="80267">
                    <a:moveTo>
                      <a:pt x="0" y="64214"/>
                    </a:moveTo>
                    <a:cubicBezTo>
                      <a:pt x="26755" y="72240"/>
                      <a:pt x="53511" y="80267"/>
                      <a:pt x="64213" y="69565"/>
                    </a:cubicBezTo>
                    <a:cubicBezTo>
                      <a:pt x="74915" y="58863"/>
                      <a:pt x="67780" y="20513"/>
                      <a:pt x="64213" y="0"/>
                    </a:cubicBezTo>
                  </a:path>
                </a:pathLst>
              </a:cu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sp macro="" textlink="">
            <xdr:nvSpPr>
              <xdr:cNvPr id="1570" name="Freeform 1569"/>
              <xdr:cNvSpPr/>
            </xdr:nvSpPr>
            <xdr:spPr>
              <a:xfrm>
                <a:off x="8932630" y="30707370"/>
                <a:ext cx="87401" cy="45719"/>
              </a:xfrm>
              <a:custGeom>
                <a:avLst/>
                <a:gdLst>
                  <a:gd name="connsiteX0" fmla="*/ 107023 w 124860"/>
                  <a:gd name="connsiteY0" fmla="*/ 0 h 69564"/>
                  <a:gd name="connsiteX1" fmla="*/ 107023 w 124860"/>
                  <a:gd name="connsiteY1" fmla="*/ 58862 h 69564"/>
                  <a:gd name="connsiteX2" fmla="*/ 0 w 124860"/>
                  <a:gd name="connsiteY2" fmla="*/ 64213 h 69564"/>
                </a:gdLst>
                <a:ahLst/>
                <a:cxnLst>
                  <a:cxn ang="0">
                    <a:pos x="connsiteX0" y="connsiteY0"/>
                  </a:cxn>
                  <a:cxn ang="0">
                    <a:pos x="connsiteX1" y="connsiteY1"/>
                  </a:cxn>
                  <a:cxn ang="0">
                    <a:pos x="connsiteX2" y="connsiteY2"/>
                  </a:cxn>
                </a:cxnLst>
                <a:rect l="l" t="t" r="r" b="b"/>
                <a:pathLst>
                  <a:path w="124860" h="69564">
                    <a:moveTo>
                      <a:pt x="107023" y="0"/>
                    </a:moveTo>
                    <a:cubicBezTo>
                      <a:pt x="115941" y="24080"/>
                      <a:pt x="124860" y="48160"/>
                      <a:pt x="107023" y="58862"/>
                    </a:cubicBezTo>
                    <a:cubicBezTo>
                      <a:pt x="89186" y="69564"/>
                      <a:pt x="16053" y="64213"/>
                      <a:pt x="0" y="64213"/>
                    </a:cubicBezTo>
                  </a:path>
                </a:pathLst>
              </a:cu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cxnSp macro="">
            <xdr:nvCxnSpPr>
              <xdr:cNvPr id="1573" name="Straight Connector 1572"/>
              <xdr:cNvCxnSpPr/>
            </xdr:nvCxnSpPr>
            <xdr:spPr>
              <a:xfrm rot="5400000">
                <a:off x="6131946" y="30508804"/>
                <a:ext cx="224561" cy="1588"/>
              </a:xfrm>
              <a:prstGeom prst="line">
                <a:avLst/>
              </a:prstGeom>
              <a:ln w="317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582" name="Straight Connector 1581"/>
              <xdr:cNvCxnSpPr/>
            </xdr:nvCxnSpPr>
            <xdr:spPr>
              <a:xfrm rot="5400000">
                <a:off x="8900804" y="30470367"/>
                <a:ext cx="308224" cy="1588"/>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585" name="Freeform 1584"/>
              <xdr:cNvSpPr/>
            </xdr:nvSpPr>
            <xdr:spPr>
              <a:xfrm>
                <a:off x="6249579" y="30549564"/>
                <a:ext cx="45719" cy="74916"/>
              </a:xfrm>
              <a:custGeom>
                <a:avLst/>
                <a:gdLst>
                  <a:gd name="connsiteX0" fmla="*/ 0 w 82942"/>
                  <a:gd name="connsiteY0" fmla="*/ 74916 h 87402"/>
                  <a:gd name="connsiteX1" fmla="*/ 64213 w 82942"/>
                  <a:gd name="connsiteY1" fmla="*/ 74916 h 87402"/>
                  <a:gd name="connsiteX2" fmla="*/ 69564 w 82942"/>
                  <a:gd name="connsiteY2" fmla="*/ 0 h 87402"/>
                </a:gdLst>
                <a:ahLst/>
                <a:cxnLst>
                  <a:cxn ang="0">
                    <a:pos x="connsiteX0" y="connsiteY0"/>
                  </a:cxn>
                  <a:cxn ang="0">
                    <a:pos x="connsiteX1" y="connsiteY1"/>
                  </a:cxn>
                  <a:cxn ang="0">
                    <a:pos x="connsiteX2" y="connsiteY2"/>
                  </a:cxn>
                </a:cxnLst>
                <a:rect l="l" t="t" r="r" b="b"/>
                <a:pathLst>
                  <a:path w="82942" h="87402">
                    <a:moveTo>
                      <a:pt x="0" y="74916"/>
                    </a:moveTo>
                    <a:cubicBezTo>
                      <a:pt x="26309" y="81159"/>
                      <a:pt x="52619" y="87402"/>
                      <a:pt x="64213" y="74916"/>
                    </a:cubicBezTo>
                    <a:cubicBezTo>
                      <a:pt x="75807" y="62430"/>
                      <a:pt x="82942" y="28539"/>
                      <a:pt x="69564" y="0"/>
                    </a:cubicBezTo>
                  </a:path>
                </a:pathLst>
              </a:custGeom>
              <a:ln w="3175">
                <a:solidFill>
                  <a:srgbClr val="FF0000"/>
                </a:solidFill>
                <a:prstDash val="dash"/>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sp macro="" textlink="">
            <xdr:nvSpPr>
              <xdr:cNvPr id="1589" name="Freeform 1588"/>
              <xdr:cNvSpPr/>
            </xdr:nvSpPr>
            <xdr:spPr>
              <a:xfrm>
                <a:off x="8916576" y="30391172"/>
                <a:ext cx="93645" cy="48160"/>
              </a:xfrm>
              <a:custGeom>
                <a:avLst/>
                <a:gdLst>
                  <a:gd name="connsiteX0" fmla="*/ 112374 w 120401"/>
                  <a:gd name="connsiteY0" fmla="*/ 0 h 75807"/>
                  <a:gd name="connsiteX1" fmla="*/ 101672 w 120401"/>
                  <a:gd name="connsiteY1" fmla="*/ 64213 h 75807"/>
                  <a:gd name="connsiteX2" fmla="*/ 0 w 120401"/>
                  <a:gd name="connsiteY2" fmla="*/ 69564 h 75807"/>
                </a:gdLst>
                <a:ahLst/>
                <a:cxnLst>
                  <a:cxn ang="0">
                    <a:pos x="connsiteX0" y="connsiteY0"/>
                  </a:cxn>
                  <a:cxn ang="0">
                    <a:pos x="connsiteX1" y="connsiteY1"/>
                  </a:cxn>
                  <a:cxn ang="0">
                    <a:pos x="connsiteX2" y="connsiteY2"/>
                  </a:cxn>
                </a:cxnLst>
                <a:rect l="l" t="t" r="r" b="b"/>
                <a:pathLst>
                  <a:path w="120401" h="75807">
                    <a:moveTo>
                      <a:pt x="112374" y="0"/>
                    </a:moveTo>
                    <a:cubicBezTo>
                      <a:pt x="116387" y="26309"/>
                      <a:pt x="120401" y="52619"/>
                      <a:pt x="101672" y="64213"/>
                    </a:cubicBezTo>
                    <a:cubicBezTo>
                      <a:pt x="82943" y="75807"/>
                      <a:pt x="13378" y="68672"/>
                      <a:pt x="0" y="69564"/>
                    </a:cubicBezTo>
                  </a:path>
                </a:pathLst>
              </a:custGeom>
              <a:ln w="3175">
                <a:solidFill>
                  <a:srgbClr val="FF0000"/>
                </a:solidFill>
                <a:prstDash val="dash"/>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cxnSp macro="">
            <xdr:nvCxnSpPr>
              <xdr:cNvPr id="1593" name="Straight Connector 1592"/>
              <xdr:cNvCxnSpPr/>
            </xdr:nvCxnSpPr>
            <xdr:spPr>
              <a:xfrm rot="5400000" flipH="1" flipV="1">
                <a:off x="5837324" y="29956986"/>
                <a:ext cx="639817" cy="0"/>
              </a:xfrm>
              <a:prstGeom prst="line">
                <a:avLst/>
              </a:prstGeom>
              <a:ln w="127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595" name="Straight Connector 1594"/>
              <xdr:cNvCxnSpPr/>
            </xdr:nvCxnSpPr>
            <xdr:spPr>
              <a:xfrm rot="5400000" flipH="1" flipV="1">
                <a:off x="6178815" y="29956982"/>
                <a:ext cx="639817" cy="1588"/>
              </a:xfrm>
              <a:prstGeom prst="line">
                <a:avLst/>
              </a:prstGeom>
              <a:ln w="127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597" name="Straight Connector 1596"/>
              <xdr:cNvCxnSpPr/>
            </xdr:nvCxnSpPr>
            <xdr:spPr>
              <a:xfrm rot="16200000" flipV="1">
                <a:off x="8708054" y="29966695"/>
                <a:ext cx="685089" cy="0"/>
              </a:xfrm>
              <a:prstGeom prst="line">
                <a:avLst/>
              </a:prstGeom>
              <a:ln w="127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00" name="Straight Connector 1599"/>
              <xdr:cNvCxnSpPr/>
            </xdr:nvCxnSpPr>
            <xdr:spPr>
              <a:xfrm>
                <a:off x="6504157" y="29992792"/>
                <a:ext cx="2548992" cy="1588"/>
              </a:xfrm>
              <a:prstGeom prst="line">
                <a:avLst/>
              </a:prstGeom>
              <a:ln w="127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02" name="Straight Connector 1601"/>
              <xdr:cNvCxnSpPr/>
            </xdr:nvCxnSpPr>
            <xdr:spPr>
              <a:xfrm>
                <a:off x="6504157" y="29718000"/>
                <a:ext cx="2553206" cy="1588"/>
              </a:xfrm>
              <a:prstGeom prst="line">
                <a:avLst/>
              </a:prstGeom>
              <a:ln w="127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664" name="Straight Connector 1663"/>
            <xdr:cNvCxnSpPr/>
          </xdr:nvCxnSpPr>
          <xdr:spPr>
            <a:xfrm rot="5400000">
              <a:off x="5905207" y="31641426"/>
              <a:ext cx="304992" cy="1595"/>
            </a:xfrm>
            <a:prstGeom prst="line">
              <a:avLst/>
            </a:prstGeom>
            <a:ln w="3175">
              <a:solidFill>
                <a:schemeClr val="tx1">
                  <a:lumMod val="85000"/>
                  <a:lumOff val="1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66" name="Straight Connector 1665"/>
            <xdr:cNvCxnSpPr/>
          </xdr:nvCxnSpPr>
          <xdr:spPr>
            <a:xfrm>
              <a:off x="6058806" y="31773221"/>
              <a:ext cx="2837767" cy="1667"/>
            </a:xfrm>
            <a:prstGeom prst="line">
              <a:avLst/>
            </a:prstGeom>
            <a:ln w="3175">
              <a:solidFill>
                <a:schemeClr val="tx1">
                  <a:lumMod val="85000"/>
                  <a:lumOff val="15000"/>
                </a:schemeClr>
              </a:solidFill>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1668" name="Straight Connector 1667"/>
            <xdr:cNvCxnSpPr/>
          </xdr:nvCxnSpPr>
          <xdr:spPr>
            <a:xfrm rot="5400000">
              <a:off x="8693751" y="31603143"/>
              <a:ext cx="383274" cy="1595"/>
            </a:xfrm>
            <a:prstGeom prst="line">
              <a:avLst/>
            </a:prstGeom>
            <a:ln w="3175">
              <a:solidFill>
                <a:schemeClr val="tx1">
                  <a:lumMod val="85000"/>
                  <a:lumOff val="15000"/>
                </a:schemeClr>
              </a:solidFill>
            </a:ln>
          </xdr:spPr>
          <xdr:style>
            <a:lnRef idx="1">
              <a:schemeClr val="accent1"/>
            </a:lnRef>
            <a:fillRef idx="0">
              <a:schemeClr val="accent1"/>
            </a:fillRef>
            <a:effectRef idx="0">
              <a:schemeClr val="accent1"/>
            </a:effectRef>
            <a:fontRef idx="minor">
              <a:schemeClr val="tx1"/>
            </a:fontRef>
          </xdr:style>
        </xdr:cxnSp>
        <xdr:sp macro="" textlink="'desigh Stairs'!$N$15">
          <xdr:nvSpPr>
            <xdr:cNvPr id="1669" name="Rectangle 1668"/>
            <xdr:cNvSpPr/>
          </xdr:nvSpPr>
          <xdr:spPr>
            <a:xfrm>
              <a:off x="7080949" y="31742384"/>
              <a:ext cx="1018368" cy="2564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FDEF1ED8-10E8-4325-B712-B3B5FC47EB83}" type="TxLink">
                <a:rPr lang="th-TH" sz="1050" b="0">
                  <a:solidFill>
                    <a:srgbClr val="0070C0"/>
                  </a:solidFill>
                </a:rPr>
                <a:pPr algn="ctr"/>
                <a:t>1.50 m.</a:t>
              </a:fld>
              <a:endParaRPr lang="th-TH" sz="1050" b="0">
                <a:solidFill>
                  <a:srgbClr val="0070C0"/>
                </a:solidFill>
              </a:endParaRPr>
            </a:p>
          </xdr:txBody>
        </xdr:sp>
        <xdr:grpSp>
          <xdr:nvGrpSpPr>
            <xdr:cNvPr id="1893" name="Group 1892"/>
            <xdr:cNvGrpSpPr/>
          </xdr:nvGrpSpPr>
          <xdr:grpSpPr>
            <a:xfrm>
              <a:off x="5757441" y="27660712"/>
              <a:ext cx="3273191" cy="2281771"/>
              <a:chOff x="5642199" y="35913741"/>
              <a:chExt cx="3256906" cy="2270557"/>
            </a:xfrm>
          </xdr:grpSpPr>
          <xdr:grpSp>
            <xdr:nvGrpSpPr>
              <xdr:cNvPr id="1894" name="Group 1135"/>
              <xdr:cNvGrpSpPr/>
            </xdr:nvGrpSpPr>
            <xdr:grpSpPr>
              <a:xfrm>
                <a:off x="5695932" y="35981016"/>
                <a:ext cx="3106289" cy="2203282"/>
                <a:chOff x="6271344" y="13876118"/>
                <a:chExt cx="3155246" cy="2090942"/>
              </a:xfrm>
            </xdr:grpSpPr>
            <xdr:grpSp>
              <xdr:nvGrpSpPr>
                <xdr:cNvPr id="1896" name="Group 465"/>
                <xdr:cNvGrpSpPr/>
              </xdr:nvGrpSpPr>
              <xdr:grpSpPr>
                <a:xfrm>
                  <a:off x="6271344" y="13876118"/>
                  <a:ext cx="2018276" cy="2090942"/>
                  <a:chOff x="14473235" y="4892399"/>
                  <a:chExt cx="3598082" cy="4480145"/>
                </a:xfrm>
              </xdr:grpSpPr>
              <xdr:grpSp>
                <xdr:nvGrpSpPr>
                  <xdr:cNvPr id="1917" name="Group 460"/>
                  <xdr:cNvGrpSpPr/>
                </xdr:nvGrpSpPr>
                <xdr:grpSpPr>
                  <a:xfrm>
                    <a:off x="14473235" y="4892399"/>
                    <a:ext cx="3598082" cy="4480145"/>
                    <a:chOff x="14473235" y="4892399"/>
                    <a:chExt cx="3598082" cy="4480145"/>
                  </a:xfrm>
                  <a:noFill/>
                </xdr:grpSpPr>
                <xdr:grpSp>
                  <xdr:nvGrpSpPr>
                    <xdr:cNvPr id="1921" name="Group 448"/>
                    <xdr:cNvGrpSpPr/>
                  </xdr:nvGrpSpPr>
                  <xdr:grpSpPr>
                    <a:xfrm>
                      <a:off x="14473235" y="4892399"/>
                      <a:ext cx="3598082" cy="4480145"/>
                      <a:chOff x="14473235" y="4892399"/>
                      <a:chExt cx="3598082" cy="4480145"/>
                    </a:xfrm>
                    <a:grpFill/>
                  </xdr:grpSpPr>
                  <xdr:grpSp>
                    <xdr:nvGrpSpPr>
                      <xdr:cNvPr id="1932" name="Group 428"/>
                      <xdr:cNvGrpSpPr/>
                    </xdr:nvGrpSpPr>
                    <xdr:grpSpPr>
                      <a:xfrm>
                        <a:off x="14473235" y="4892399"/>
                        <a:ext cx="3598082" cy="4480145"/>
                        <a:chOff x="14511335" y="4905099"/>
                        <a:chExt cx="3598082" cy="4480145"/>
                      </a:xfrm>
                      <a:grpFill/>
                    </xdr:grpSpPr>
                    <xdr:grpSp>
                      <xdr:nvGrpSpPr>
                        <xdr:cNvPr id="1936" name="Group 418"/>
                        <xdr:cNvGrpSpPr/>
                      </xdr:nvGrpSpPr>
                      <xdr:grpSpPr>
                        <a:xfrm>
                          <a:off x="14511335" y="5057696"/>
                          <a:ext cx="3598082" cy="4327548"/>
                          <a:chOff x="14511331" y="5057696"/>
                          <a:chExt cx="3598082" cy="4327548"/>
                        </a:xfrm>
                        <a:grpFill/>
                      </xdr:grpSpPr>
                      <xdr:grpSp>
                        <xdr:nvGrpSpPr>
                          <xdr:cNvPr id="1938" name="Group 406"/>
                          <xdr:cNvGrpSpPr/>
                        </xdr:nvGrpSpPr>
                        <xdr:grpSpPr>
                          <a:xfrm>
                            <a:off x="14511331" y="5057696"/>
                            <a:ext cx="3598082" cy="4327548"/>
                            <a:chOff x="14479741" y="4930696"/>
                            <a:chExt cx="3600004" cy="4327548"/>
                          </a:xfrm>
                          <a:grpFill/>
                        </xdr:grpSpPr>
                        <xdr:graphicFrame macro="">
                          <xdr:nvGraphicFramePr>
                            <xdr:cNvPr id="1948" name="Chart 1947"/>
                            <xdr:cNvGraphicFramePr/>
                          </xdr:nvGraphicFramePr>
                          <xdr:xfrm>
                            <a:off x="14479743" y="4930698"/>
                            <a:ext cx="3600002" cy="4320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1949" name="Chart 1948"/>
                            <xdr:cNvGraphicFramePr/>
                          </xdr:nvGraphicFramePr>
                          <xdr:xfrm>
                            <a:off x="14479741" y="4930696"/>
                            <a:ext cx="3600002" cy="4327548"/>
                          </xdr:xfrm>
                          <a:graphic>
                            <a:graphicData uri="http://schemas.openxmlformats.org/drawingml/2006/chart">
                              <c:chart xmlns:c="http://schemas.openxmlformats.org/drawingml/2006/chart" xmlns:r="http://schemas.openxmlformats.org/officeDocument/2006/relationships" r:id="rId4"/>
                            </a:graphicData>
                          </a:graphic>
                        </xdr:graphicFrame>
                      </xdr:grpSp>
                      <xdr:sp macro="" textlink="'desigh Stairs'!$BG$21">
                        <xdr:nvSpPr>
                          <xdr:cNvPr id="1939" name="Rectangle 1938"/>
                          <xdr:cNvSpPr>
                            <a:spLocks noChangeAspect="1"/>
                          </xdr:cNvSpPr>
                        </xdr:nvSpPr>
                        <xdr:spPr>
                          <a:xfrm>
                            <a:off x="14871694" y="7434913"/>
                            <a:ext cx="967499" cy="458288"/>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8E446B01-D646-46CD-B11E-32D7D97B7812}" type="TxLink">
                              <a:rPr lang="th-TH" sz="800">
                                <a:solidFill>
                                  <a:schemeClr val="tx1"/>
                                </a:solidFill>
                              </a:rPr>
                              <a:pPr algn="l"/>
                              <a:t> </a:t>
                            </a:fld>
                            <a:endParaRPr lang="th-TH" sz="800">
                              <a:solidFill>
                                <a:schemeClr val="tx1"/>
                              </a:solidFill>
                            </a:endParaRPr>
                          </a:p>
                        </xdr:txBody>
                      </xdr:sp>
                      <xdr:sp macro="" textlink="'desigh Stairs'!$BG$22">
                        <xdr:nvSpPr>
                          <xdr:cNvPr id="1940" name="Rectangle 1939"/>
                          <xdr:cNvSpPr>
                            <a:spLocks/>
                          </xdr:cNvSpPr>
                        </xdr:nvSpPr>
                        <xdr:spPr>
                          <a:xfrm>
                            <a:off x="14858992" y="7193173"/>
                            <a:ext cx="1056007" cy="41558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CAF885F0-F42C-4703-8D01-964A8D059A74}" type="TxLink">
                              <a:rPr lang="th-TH" sz="800">
                                <a:solidFill>
                                  <a:schemeClr val="tx1"/>
                                </a:solidFill>
                              </a:rPr>
                              <a:pPr algn="l"/>
                              <a:t> </a:t>
                            </a:fld>
                            <a:endParaRPr lang="th-TH" sz="800">
                              <a:solidFill>
                                <a:schemeClr val="tx1"/>
                              </a:solidFill>
                            </a:endParaRPr>
                          </a:p>
                        </xdr:txBody>
                      </xdr:sp>
                      <xdr:sp macro="" textlink="'desigh Stairs'!$BG$24">
                        <xdr:nvSpPr>
                          <xdr:cNvPr id="1941" name="Rectangle 1940"/>
                          <xdr:cNvSpPr>
                            <a:spLocks/>
                          </xdr:cNvSpPr>
                        </xdr:nvSpPr>
                        <xdr:spPr>
                          <a:xfrm>
                            <a:off x="14676556" y="6617614"/>
                            <a:ext cx="1319366" cy="364656"/>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B750A037-2408-42E2-8154-D1B71C1891A5}" type="TxLink">
                              <a:rPr lang="th-TH" sz="900">
                                <a:solidFill>
                                  <a:schemeClr val="tx1"/>
                                </a:solidFill>
                              </a:rPr>
                              <a:pPr algn="l"/>
                              <a:t>30 cm.</a:t>
                            </a:fld>
                            <a:endParaRPr lang="th-TH" sz="900">
                              <a:solidFill>
                                <a:schemeClr val="tx1"/>
                              </a:solidFill>
                            </a:endParaRPr>
                          </a:p>
                        </xdr:txBody>
                      </xdr:sp>
                      <xdr:sp macro="" textlink="'desigh Stairs'!BG$25">
                        <xdr:nvSpPr>
                          <xdr:cNvPr id="1942" name="Rectangle 1941"/>
                          <xdr:cNvSpPr>
                            <a:spLocks/>
                          </xdr:cNvSpPr>
                        </xdr:nvSpPr>
                        <xdr:spPr>
                          <a:xfrm>
                            <a:off x="14876504" y="6386871"/>
                            <a:ext cx="1002175" cy="349403"/>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4D49D5FC-594C-4656-8955-A362048B0A6B}" type="TxLink">
                              <a:rPr lang="th-TH" sz="800">
                                <a:solidFill>
                                  <a:schemeClr val="tx1"/>
                                </a:solidFill>
                              </a:rPr>
                              <a:pPr algn="l"/>
                              <a:t> </a:t>
                            </a:fld>
                            <a:endParaRPr lang="th-TH" sz="800">
                              <a:solidFill>
                                <a:schemeClr val="tx1"/>
                              </a:solidFill>
                            </a:endParaRPr>
                          </a:p>
                        </xdr:txBody>
                      </xdr:sp>
                      <xdr:sp macro="" textlink="'desigh Stairs'!$BG$26">
                        <xdr:nvSpPr>
                          <xdr:cNvPr id="1943" name="Rectangle 1942"/>
                          <xdr:cNvSpPr>
                            <a:spLocks noChangeAspect="1"/>
                          </xdr:cNvSpPr>
                        </xdr:nvSpPr>
                        <xdr:spPr>
                          <a:xfrm>
                            <a:off x="14740168" y="6110358"/>
                            <a:ext cx="932255" cy="332183"/>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7AC1A92D-0833-49C3-937C-5EDB995EE40B}" type="TxLink">
                              <a:rPr lang="th-TH" sz="800">
                                <a:solidFill>
                                  <a:schemeClr val="tx1"/>
                                </a:solidFill>
                              </a:rPr>
                              <a:pPr algn="l"/>
                              <a:t> </a:t>
                            </a:fld>
                            <a:endParaRPr lang="th-TH" sz="800">
                              <a:solidFill>
                                <a:schemeClr val="tx1"/>
                              </a:solidFill>
                            </a:endParaRPr>
                          </a:p>
                        </xdr:txBody>
                      </xdr:sp>
                      <xdr:sp macro="" textlink="'desigh Stairs'!BG$27">
                        <xdr:nvSpPr>
                          <xdr:cNvPr id="1944" name="Rectangle 1943"/>
                          <xdr:cNvSpPr>
                            <a:spLocks noChangeAspect="1"/>
                          </xdr:cNvSpPr>
                        </xdr:nvSpPr>
                        <xdr:spPr>
                          <a:xfrm>
                            <a:off x="14858990" y="5841210"/>
                            <a:ext cx="1313750" cy="364442"/>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F4EDD874-8ED4-4D43-A9B4-4BA7354CFCC8}" type="TxLink">
                              <a:rPr lang="th-TH" sz="800">
                                <a:solidFill>
                                  <a:schemeClr val="tx1"/>
                                </a:solidFill>
                              </a:rPr>
                              <a:pPr algn="l"/>
                              <a:t> </a:t>
                            </a:fld>
                            <a:endParaRPr lang="th-TH" sz="800">
                              <a:solidFill>
                                <a:schemeClr val="tx1"/>
                              </a:solidFill>
                            </a:endParaRPr>
                          </a:p>
                        </xdr:txBody>
                      </xdr:sp>
                      <xdr:sp macro="" textlink="'desigh Stairs'!$BG$28">
                        <xdr:nvSpPr>
                          <xdr:cNvPr id="1945" name="Rectangle 1944"/>
                          <xdr:cNvSpPr>
                            <a:spLocks noChangeAspect="1"/>
                          </xdr:cNvSpPr>
                        </xdr:nvSpPr>
                        <xdr:spPr>
                          <a:xfrm>
                            <a:off x="14815971" y="5484194"/>
                            <a:ext cx="947418" cy="375243"/>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45FBCF9B-D3C1-4BA9-87A8-C7AC14DDD3A6}" type="TxLink">
                              <a:rPr lang="th-TH" sz="900">
                                <a:solidFill>
                                  <a:schemeClr val="tx1"/>
                                </a:solidFill>
                              </a:rPr>
                              <a:pPr algn="l"/>
                              <a:t> </a:t>
                            </a:fld>
                            <a:endParaRPr lang="th-TH" sz="900">
                              <a:solidFill>
                                <a:schemeClr val="tx1"/>
                              </a:solidFill>
                            </a:endParaRPr>
                          </a:p>
                        </xdr:txBody>
                      </xdr:sp>
                      <xdr:sp macro="" textlink="'desigh Stairs'!BG$29">
                        <xdr:nvSpPr>
                          <xdr:cNvPr id="1946" name="Rectangle 1945"/>
                          <xdr:cNvSpPr>
                            <a:spLocks noChangeAspect="1"/>
                          </xdr:cNvSpPr>
                        </xdr:nvSpPr>
                        <xdr:spPr>
                          <a:xfrm>
                            <a:off x="14601262" y="5199970"/>
                            <a:ext cx="1071171" cy="457153"/>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fld id="{00D0F0A3-DD45-4F14-B6E8-8FFAD20657EE}" type="TxLink">
                              <a:rPr lang="th-TH" sz="800">
                                <a:solidFill>
                                  <a:schemeClr val="tx1"/>
                                </a:solidFill>
                              </a:rPr>
                              <a:pPr algn="r"/>
                              <a:t> </a:t>
                            </a:fld>
                            <a:endParaRPr lang="th-TH" sz="800">
                              <a:solidFill>
                                <a:schemeClr val="tx1"/>
                              </a:solidFill>
                            </a:endParaRPr>
                          </a:p>
                        </xdr:txBody>
                      </xdr:sp>
                      <xdr:sp macro="" textlink="'desigh Stairs'!$BG23">
                        <xdr:nvSpPr>
                          <xdr:cNvPr id="1947" name="Rectangle 1946"/>
                          <xdr:cNvSpPr>
                            <a:spLocks noChangeAspect="1"/>
                          </xdr:cNvSpPr>
                        </xdr:nvSpPr>
                        <xdr:spPr>
                          <a:xfrm>
                            <a:off x="14858998" y="6847676"/>
                            <a:ext cx="919550" cy="52824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46BCD274-7976-4A0B-80B2-D5B002495FCC}" type="TxLink">
                              <a:rPr lang="th-TH" sz="800">
                                <a:solidFill>
                                  <a:schemeClr val="tx1"/>
                                </a:solidFill>
                              </a:rPr>
                              <a:pPr algn="l"/>
                              <a:t> </a:t>
                            </a:fld>
                            <a:endParaRPr lang="th-TH" sz="800">
                              <a:solidFill>
                                <a:schemeClr val="tx1"/>
                              </a:solidFill>
                            </a:endParaRPr>
                          </a:p>
                        </xdr:txBody>
                      </xdr:sp>
                    </xdr:grpSp>
                    <xdr:sp macro="" textlink="'desigh Stairs'!BG$30">
                      <xdr:nvSpPr>
                        <xdr:cNvPr id="1937" name="Rectangle 1936"/>
                        <xdr:cNvSpPr>
                          <a:spLocks noChangeAspect="1"/>
                        </xdr:cNvSpPr>
                      </xdr:nvSpPr>
                      <xdr:spPr>
                        <a:xfrm>
                          <a:off x="14768037" y="4905099"/>
                          <a:ext cx="995358" cy="54916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CCE6BECA-819B-4E86-8D26-B1DF02D090DC}" type="TxLink">
                            <a:rPr lang="th-TH" sz="800">
                              <a:solidFill>
                                <a:schemeClr val="tx1"/>
                              </a:solidFill>
                            </a:rPr>
                            <a:pPr algn="l"/>
                            <a:t> </a:t>
                          </a:fld>
                          <a:endParaRPr lang="th-TH" sz="800">
                            <a:solidFill>
                              <a:schemeClr val="tx1"/>
                            </a:solidFill>
                          </a:endParaRPr>
                        </a:p>
                      </xdr:txBody>
                    </xdr:sp>
                  </xdr:grpSp>
                  <xdr:sp macro="" textlink="'desigh Stairs'!$BH$21">
                    <xdr:nvSpPr>
                      <xdr:cNvPr id="1933" name="Rectangle 1932"/>
                      <xdr:cNvSpPr/>
                    </xdr:nvSpPr>
                    <xdr:spPr>
                      <a:xfrm>
                        <a:off x="16443247" y="8160924"/>
                        <a:ext cx="449460" cy="100221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b"/>
                      <a:lstStyle/>
                      <a:p>
                        <a:pPr algn="ctr"/>
                        <a:fld id="{D107DDE9-83C4-4322-B19A-3D3042A4CA3C}" type="TxLink">
                          <a:rPr lang="th-TH" sz="800">
                            <a:solidFill>
                              <a:schemeClr val="tx1"/>
                            </a:solidFill>
                          </a:rPr>
                          <a:pPr algn="ctr"/>
                          <a:t> </a:t>
                        </a:fld>
                        <a:endParaRPr lang="th-TH" sz="800">
                          <a:solidFill>
                            <a:schemeClr val="tx1"/>
                          </a:solidFill>
                        </a:endParaRPr>
                      </a:p>
                    </xdr:txBody>
                  </xdr:sp>
                  <xdr:sp macro="" textlink="'desigh Stairs'!BH$22">
                    <xdr:nvSpPr>
                      <xdr:cNvPr id="1934" name="Rectangle 1933"/>
                      <xdr:cNvSpPr/>
                    </xdr:nvSpPr>
                    <xdr:spPr>
                      <a:xfrm>
                        <a:off x="16195293" y="7687160"/>
                        <a:ext cx="424517" cy="892879"/>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fld id="{09162708-5A99-48BF-82E8-2F9910D4D582}" type="TxLink">
                          <a:rPr lang="th-TH" sz="800">
                            <a:solidFill>
                              <a:schemeClr val="tx1"/>
                            </a:solidFill>
                          </a:rPr>
                          <a:pPr algn="ctr"/>
                          <a:t> </a:t>
                        </a:fld>
                        <a:endParaRPr lang="th-TH" sz="800">
                          <a:solidFill>
                            <a:schemeClr val="tx1"/>
                          </a:solidFill>
                        </a:endParaRPr>
                      </a:p>
                    </xdr:txBody>
                  </xdr:sp>
                  <xdr:sp macro="" textlink="'desigh Stairs'!BH$23">
                    <xdr:nvSpPr>
                      <xdr:cNvPr id="1935" name="Rectangle 1934"/>
                      <xdr:cNvSpPr/>
                    </xdr:nvSpPr>
                    <xdr:spPr>
                      <a:xfrm>
                        <a:off x="16286260" y="7151209"/>
                        <a:ext cx="394195" cy="1137286"/>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t"/>
                      <a:lstStyle/>
                      <a:p>
                        <a:pPr algn="ctr"/>
                        <a:fld id="{DE391D4B-392C-42E0-9A9B-E29FAF866332}" type="TxLink">
                          <a:rPr lang="th-TH" sz="800">
                            <a:solidFill>
                              <a:schemeClr val="tx1"/>
                            </a:solidFill>
                          </a:rPr>
                          <a:pPr algn="ctr"/>
                          <a:t> </a:t>
                        </a:fld>
                        <a:endParaRPr lang="th-TH" sz="800">
                          <a:solidFill>
                            <a:schemeClr val="tx1"/>
                          </a:solidFill>
                        </a:endParaRPr>
                      </a:p>
                    </xdr:txBody>
                  </xdr:sp>
                </xdr:grpSp>
                <xdr:sp macro="" textlink="'desigh Stairs'!BF$21">
                  <xdr:nvSpPr>
                    <xdr:cNvPr id="1922" name="Rectangle 1921"/>
                    <xdr:cNvSpPr/>
                  </xdr:nvSpPr>
                  <xdr:spPr>
                    <a:xfrm>
                      <a:off x="15011399" y="7395606"/>
                      <a:ext cx="1062601" cy="364442"/>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89A4AF04-06ED-458D-9DA6-347F6404F4B8}" type="TxLink">
                        <a:rPr lang="th-TH" sz="800">
                          <a:solidFill>
                            <a:schemeClr val="tx1"/>
                          </a:solidFill>
                        </a:rPr>
                        <a:pPr algn="ctr"/>
                        <a:t> </a:t>
                      </a:fld>
                      <a:endParaRPr lang="th-TH" sz="800">
                        <a:solidFill>
                          <a:schemeClr val="tx1"/>
                        </a:solidFill>
                      </a:endParaRPr>
                    </a:p>
                  </xdr:txBody>
                </xdr:sp>
                <xdr:sp macro="" textlink="'desigh Stairs'!BF$22">
                  <xdr:nvSpPr>
                    <xdr:cNvPr id="1923" name="Rectangle 1922"/>
                    <xdr:cNvSpPr/>
                  </xdr:nvSpPr>
                  <xdr:spPr>
                    <a:xfrm>
                      <a:off x="15011399" y="7067607"/>
                      <a:ext cx="1092924" cy="474536"/>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fld id="{8842CF78-47A1-414A-B7C2-D2B2F94EC2CC}" type="TxLink">
                        <a:rPr lang="th-TH" sz="800">
                          <a:solidFill>
                            <a:schemeClr val="tx1"/>
                          </a:solidFill>
                        </a:rPr>
                        <a:pPr algn="ctr"/>
                        <a:t> </a:t>
                      </a:fld>
                      <a:endParaRPr lang="th-TH" sz="800">
                        <a:solidFill>
                          <a:schemeClr val="tx1"/>
                        </a:solidFill>
                      </a:endParaRPr>
                    </a:p>
                  </xdr:txBody>
                </xdr:sp>
                <xdr:sp macro="" textlink="'desigh Stairs'!BF$23">
                  <xdr:nvSpPr>
                    <xdr:cNvPr id="1924" name="Rectangle 1923"/>
                    <xdr:cNvSpPr/>
                  </xdr:nvSpPr>
                  <xdr:spPr>
                    <a:xfrm>
                      <a:off x="15011399" y="6867163"/>
                      <a:ext cx="1077763" cy="437329"/>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1DBC0138-0309-4DF8-B156-ADFB342B5837}" type="TxLink">
                        <a:rPr lang="th-TH" sz="800">
                          <a:solidFill>
                            <a:schemeClr val="tx1"/>
                          </a:solidFill>
                        </a:rPr>
                        <a:pPr algn="ctr"/>
                        <a:t> </a:t>
                      </a:fld>
                      <a:endParaRPr lang="th-TH" sz="800">
                        <a:solidFill>
                          <a:schemeClr val="tx1"/>
                        </a:solidFill>
                      </a:endParaRPr>
                    </a:p>
                  </xdr:txBody>
                </xdr:sp>
                <xdr:sp macro="" textlink="'desigh Stairs'!BF$24">
                  <xdr:nvSpPr>
                    <xdr:cNvPr id="1925" name="Rectangle 1924"/>
                    <xdr:cNvSpPr/>
                  </xdr:nvSpPr>
                  <xdr:spPr>
                    <a:xfrm>
                      <a:off x="14950757" y="6593839"/>
                      <a:ext cx="986795" cy="398343"/>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657B89E-140C-4CFB-A145-B0DA415F8278}" type="TxLink">
                        <a:rPr lang="th-TH" sz="800">
                          <a:solidFill>
                            <a:schemeClr val="tx1"/>
                          </a:solidFill>
                        </a:rPr>
                        <a:pPr algn="ctr"/>
                        <a:t> </a:t>
                      </a:fld>
                      <a:endParaRPr lang="th-TH" sz="800">
                        <a:solidFill>
                          <a:schemeClr val="tx1"/>
                        </a:solidFill>
                      </a:endParaRPr>
                    </a:p>
                  </xdr:txBody>
                </xdr:sp>
                <xdr:sp macro="" textlink="'desigh Stairs'!BF$25">
                  <xdr:nvSpPr>
                    <xdr:cNvPr id="1926" name="Rectangle 1925"/>
                    <xdr:cNvSpPr/>
                  </xdr:nvSpPr>
                  <xdr:spPr>
                    <a:xfrm>
                      <a:off x="14950757" y="6302287"/>
                      <a:ext cx="956472" cy="404973"/>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2067E2CD-2001-4AC8-B100-0D8CFD1B9937}" type="TxLink">
                        <a:rPr lang="th-TH" sz="800">
                          <a:solidFill>
                            <a:schemeClr val="tx1"/>
                          </a:solidFill>
                        </a:rPr>
                        <a:pPr algn="ctr"/>
                        <a:t> </a:t>
                      </a:fld>
                      <a:endParaRPr lang="th-TH" sz="800">
                        <a:solidFill>
                          <a:schemeClr val="tx1"/>
                        </a:solidFill>
                      </a:endParaRPr>
                    </a:p>
                  </xdr:txBody>
                </xdr:sp>
                <xdr:sp macro="" textlink="'desigh Stairs'!BF$26">
                  <xdr:nvSpPr>
                    <xdr:cNvPr id="1927" name="Rectangle 1926"/>
                    <xdr:cNvSpPr/>
                  </xdr:nvSpPr>
                  <xdr:spPr>
                    <a:xfrm>
                      <a:off x="14996239" y="6065400"/>
                      <a:ext cx="986795" cy="346219"/>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18D6AAD5-D983-4C8A-8686-4EA77FB6637D}" type="TxLink">
                        <a:rPr lang="th-TH" sz="800">
                          <a:solidFill>
                            <a:schemeClr val="tx1"/>
                          </a:solidFill>
                        </a:rPr>
                        <a:pPr algn="ctr"/>
                        <a:t> </a:t>
                      </a:fld>
                      <a:endParaRPr lang="th-TH" sz="800">
                        <a:solidFill>
                          <a:schemeClr val="tx1"/>
                        </a:solidFill>
                      </a:endParaRPr>
                    </a:p>
                  </xdr:txBody>
                </xdr:sp>
                <xdr:sp macro="" textlink="'desigh Stairs'!BF$30">
                  <xdr:nvSpPr>
                    <xdr:cNvPr id="1928" name="Rectangle 1927"/>
                    <xdr:cNvSpPr/>
                  </xdr:nvSpPr>
                  <xdr:spPr>
                    <a:xfrm>
                      <a:off x="14996239" y="5008520"/>
                      <a:ext cx="986795" cy="346219"/>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C71362F-94C5-4287-B245-090970997AF8}" type="TxLink">
                        <a:rPr lang="th-TH" sz="900">
                          <a:solidFill>
                            <a:schemeClr val="tx1"/>
                          </a:solidFill>
                        </a:rPr>
                        <a:pPr algn="ctr"/>
                        <a:t> </a:t>
                      </a:fld>
                      <a:endParaRPr lang="th-TH" sz="900">
                        <a:solidFill>
                          <a:schemeClr val="tx1"/>
                        </a:solidFill>
                      </a:endParaRPr>
                    </a:p>
                  </xdr:txBody>
                </xdr:sp>
                <xdr:sp macro="" textlink="'desigh Stairs'!BF$27">
                  <xdr:nvSpPr>
                    <xdr:cNvPr id="1929" name="Rectangle 1928"/>
                    <xdr:cNvSpPr/>
                  </xdr:nvSpPr>
                  <xdr:spPr>
                    <a:xfrm>
                      <a:off x="14981078" y="5773844"/>
                      <a:ext cx="941312" cy="40088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1B247BB0-B14F-4E03-B558-AD5F99C8DBAE}" type="TxLink">
                        <a:rPr lang="th-TH" sz="800">
                          <a:solidFill>
                            <a:schemeClr val="tx1"/>
                          </a:solidFill>
                        </a:rPr>
                        <a:pPr algn="ctr"/>
                        <a:t> </a:t>
                      </a:fld>
                      <a:endParaRPr lang="th-TH" sz="800">
                        <a:solidFill>
                          <a:schemeClr val="tx1"/>
                        </a:solidFill>
                      </a:endParaRPr>
                    </a:p>
                  </xdr:txBody>
                </xdr:sp>
                <xdr:sp macro="" textlink="'desigh Stairs'!BF$28">
                  <xdr:nvSpPr>
                    <xdr:cNvPr id="1930" name="Rectangle 1929"/>
                    <xdr:cNvSpPr/>
                  </xdr:nvSpPr>
                  <xdr:spPr>
                    <a:xfrm>
                      <a:off x="15011399" y="5518735"/>
                      <a:ext cx="986795" cy="412166"/>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E58CC30F-977D-415C-BE70-B11B87E8505B}" type="TxLink">
                        <a:rPr lang="th-TH" sz="800">
                          <a:solidFill>
                            <a:schemeClr val="tx1"/>
                          </a:solidFill>
                        </a:rPr>
                        <a:pPr algn="ctr"/>
                        <a:t> </a:t>
                      </a:fld>
                      <a:endParaRPr lang="th-TH" sz="800">
                        <a:solidFill>
                          <a:schemeClr val="tx1"/>
                        </a:solidFill>
                      </a:endParaRPr>
                    </a:p>
                  </xdr:txBody>
                </xdr:sp>
                <xdr:sp macro="" textlink="'desigh Stairs'!BF$29">
                  <xdr:nvSpPr>
                    <xdr:cNvPr id="1931" name="Rectangle 1930"/>
                    <xdr:cNvSpPr/>
                  </xdr:nvSpPr>
                  <xdr:spPr>
                    <a:xfrm>
                      <a:off x="14981077" y="5281851"/>
                      <a:ext cx="1001956" cy="364442"/>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7AD39ED0-C8A3-498E-8324-4DC44A924B22}" type="TxLink">
                        <a:rPr lang="th-TH" sz="800">
                          <a:solidFill>
                            <a:schemeClr val="tx1"/>
                          </a:solidFill>
                        </a:rPr>
                        <a:pPr algn="ctr"/>
                        <a:t> </a:t>
                      </a:fld>
                      <a:endParaRPr lang="th-TH" sz="800">
                        <a:solidFill>
                          <a:schemeClr val="tx1"/>
                        </a:solidFill>
                      </a:endParaRPr>
                    </a:p>
                  </xdr:txBody>
                </xdr:sp>
              </xdr:grpSp>
              <xdr:sp macro="" textlink="'desigh Stairs'!$BI$21">
                <xdr:nvSpPr>
                  <xdr:cNvPr id="1918" name="Rectangle 1917"/>
                  <xdr:cNvSpPr/>
                </xdr:nvSpPr>
                <xdr:spPr>
                  <a:xfrm>
                    <a:off x="15867617" y="7915977"/>
                    <a:ext cx="448966" cy="9920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b"/>
                  <a:lstStyle/>
                  <a:p>
                    <a:pPr algn="ctr"/>
                    <a:fld id="{669449AC-3EA9-470B-8BD0-087F230B04FC}" type="TxLink">
                      <a:rPr lang="th-TH" sz="800">
                        <a:solidFill>
                          <a:schemeClr val="tx1"/>
                        </a:solidFill>
                      </a:rPr>
                      <a:pPr algn="ctr"/>
                      <a:t> </a:t>
                    </a:fld>
                    <a:endParaRPr lang="th-TH" sz="800">
                      <a:solidFill>
                        <a:schemeClr val="tx1"/>
                      </a:solidFill>
                    </a:endParaRPr>
                  </a:p>
                </xdr:txBody>
              </xdr:sp>
              <xdr:sp macro="" textlink="'desigh Stairs'!$BI$22">
                <xdr:nvSpPr>
                  <xdr:cNvPr id="1919" name="Rectangle 1918"/>
                  <xdr:cNvSpPr/>
                </xdr:nvSpPr>
                <xdr:spPr>
                  <a:xfrm>
                    <a:off x="15913098" y="7797797"/>
                    <a:ext cx="327671" cy="9644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b"/>
                  <a:lstStyle/>
                  <a:p>
                    <a:pPr algn="ctr"/>
                    <a:fld id="{80F8210D-5289-48E2-9755-DEAE641992D0}" type="TxLink">
                      <a:rPr lang="th-TH" sz="800">
                        <a:solidFill>
                          <a:schemeClr val="tx1"/>
                        </a:solidFill>
                      </a:rPr>
                      <a:pPr algn="ctr"/>
                      <a:t>60 cm.</a:t>
                    </a:fld>
                    <a:endParaRPr lang="th-TH" sz="800">
                      <a:solidFill>
                        <a:schemeClr val="tx1"/>
                      </a:solidFill>
                    </a:endParaRPr>
                  </a:p>
                </xdr:txBody>
              </xdr:sp>
              <xdr:sp macro="" textlink="'desigh Stairs'!$BI$23">
                <xdr:nvSpPr>
                  <xdr:cNvPr id="1920" name="Rectangle 1919"/>
                  <xdr:cNvSpPr/>
                </xdr:nvSpPr>
                <xdr:spPr>
                  <a:xfrm>
                    <a:off x="15963899" y="7277098"/>
                    <a:ext cx="383006" cy="10660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fld id="{CE37101E-14B2-4F1C-B5A9-A32D3DEC4ABE}" type="TxLink">
                      <a:rPr lang="th-TH" sz="800">
                        <a:solidFill>
                          <a:schemeClr val="tx1"/>
                        </a:solidFill>
                      </a:rPr>
                      <a:pPr algn="ctr"/>
                      <a:t> </a:t>
                    </a:fld>
                    <a:endParaRPr lang="th-TH" sz="800">
                      <a:solidFill>
                        <a:schemeClr val="tx1"/>
                      </a:solidFill>
                    </a:endParaRPr>
                  </a:p>
                </xdr:txBody>
              </xdr:sp>
            </xdr:grpSp>
            <xdr:sp macro="" textlink="'desigh Stairs'!BJ$21">
              <xdr:nvSpPr>
                <xdr:cNvPr id="1897" name="Rectangle 1896"/>
                <xdr:cNvSpPr/>
              </xdr:nvSpPr>
              <xdr:spPr>
                <a:xfrm>
                  <a:off x="7534933" y="15360448"/>
                  <a:ext cx="178615" cy="3898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fld id="{0AAFA5E5-D0E6-4512-8C4B-CD60E06ACB13}" type="TxLink">
                    <a:rPr lang="th-TH" sz="800">
                      <a:solidFill>
                        <a:schemeClr val="tx1"/>
                      </a:solidFill>
                    </a:rPr>
                    <a:pPr algn="ctr"/>
                    <a:t> </a:t>
                  </a:fld>
                  <a:endParaRPr lang="th-TH" sz="800">
                    <a:solidFill>
                      <a:schemeClr val="tx1"/>
                    </a:solidFill>
                  </a:endParaRPr>
                </a:p>
              </xdr:txBody>
            </xdr:sp>
            <xdr:sp macro="" textlink="'desigh Stairs'!BJ$22">
              <xdr:nvSpPr>
                <xdr:cNvPr id="1898" name="Rectangle 1897"/>
                <xdr:cNvSpPr/>
              </xdr:nvSpPr>
              <xdr:spPr>
                <a:xfrm>
                  <a:off x="7536715" y="15151125"/>
                  <a:ext cx="151321" cy="395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fld id="{6F729D04-3F22-4197-96AA-9663ED455B60}" type="TxLink">
                    <a:rPr lang="th-TH" sz="800">
                      <a:solidFill>
                        <a:schemeClr val="tx1"/>
                      </a:solidFill>
                    </a:rPr>
                    <a:pPr algn="ctr"/>
                    <a:t> </a:t>
                  </a:fld>
                  <a:endParaRPr lang="th-TH" sz="800">
                    <a:solidFill>
                      <a:schemeClr val="tx1"/>
                    </a:solidFill>
                  </a:endParaRPr>
                </a:p>
              </xdr:txBody>
            </xdr:sp>
            <xdr:sp macro="" textlink="'desigh Stairs'!BJ$23">
              <xdr:nvSpPr>
                <xdr:cNvPr id="1899" name="Rectangle 1898"/>
                <xdr:cNvSpPr/>
              </xdr:nvSpPr>
              <xdr:spPr>
                <a:xfrm>
                  <a:off x="7451398" y="15013572"/>
                  <a:ext cx="188500" cy="5070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fld id="{36B306EA-64FE-444D-8F19-A431A13BECC1}" type="TxLink">
                    <a:rPr lang="th-TH" sz="800">
                      <a:solidFill>
                        <a:schemeClr val="tx1"/>
                      </a:solidFill>
                    </a:rPr>
                    <a:pPr algn="ctr"/>
                    <a:t> </a:t>
                  </a:fld>
                  <a:endParaRPr lang="th-TH" sz="800">
                    <a:solidFill>
                      <a:schemeClr val="tx1"/>
                    </a:solidFill>
                  </a:endParaRPr>
                </a:p>
              </xdr:txBody>
            </xdr:sp>
            <xdr:sp macro="" textlink="">
              <xdr:nvSpPr>
                <xdr:cNvPr id="1900" name="TextBox 1899"/>
                <xdr:cNvSpPr txBox="1"/>
              </xdr:nvSpPr>
              <xdr:spPr>
                <a:xfrm>
                  <a:off x="7644171" y="13930326"/>
                  <a:ext cx="1645401" cy="20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th-TH" sz="1100"/>
                </a:p>
              </xdr:txBody>
            </xdr:sp>
            <xdr:sp macro="" textlink="'desigh Stairs'!$BF$32">
              <xdr:nvSpPr>
                <xdr:cNvPr id="1901" name="Rectangle 1900"/>
                <xdr:cNvSpPr/>
              </xdr:nvSpPr>
              <xdr:spPr>
                <a:xfrm>
                  <a:off x="7955637" y="15646827"/>
                  <a:ext cx="367325" cy="1970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2C65E761-A148-4559-A928-7869921559DF}" type="TxLink">
                    <a:rPr lang="th-TH" sz="900" b="1">
                      <a:solidFill>
                        <a:schemeClr val="tx1"/>
                      </a:solidFill>
                    </a:rPr>
                    <a:pPr algn="ctr"/>
                    <a:t>DB</a:t>
                  </a:fld>
                  <a:endParaRPr lang="th-TH" sz="900" b="1">
                    <a:solidFill>
                      <a:schemeClr val="tx1"/>
                    </a:solidFill>
                  </a:endParaRPr>
                </a:p>
              </xdr:txBody>
            </xdr:sp>
            <xdr:sp macro="" textlink="'desigh Stairs'!$BG$32">
              <xdr:nvSpPr>
                <xdr:cNvPr id="1902" name="Rectangle 1901"/>
                <xdr:cNvSpPr/>
              </xdr:nvSpPr>
              <xdr:spPr>
                <a:xfrm>
                  <a:off x="8146191" y="15614281"/>
                  <a:ext cx="748055" cy="2380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E0491B15-43B6-42C7-BCE4-BC9650C88FDF}" type="TxLink">
                    <a:rPr lang="th-TH" sz="900" b="0">
                      <a:solidFill>
                        <a:schemeClr val="tx1"/>
                      </a:solidFill>
                    </a:rPr>
                    <a:pPr algn="ctr"/>
                    <a:t>ø  12 mm.</a:t>
                  </a:fld>
                  <a:endParaRPr lang="th-TH" sz="900" b="0">
                    <a:solidFill>
                      <a:schemeClr val="tx1"/>
                    </a:solidFill>
                  </a:endParaRPr>
                </a:p>
              </xdr:txBody>
            </xdr:sp>
            <xdr:sp macro="" textlink="'desigh Stairs'!$BH$32">
              <xdr:nvSpPr>
                <xdr:cNvPr id="1903" name="Rectangle 1902"/>
                <xdr:cNvSpPr/>
              </xdr:nvSpPr>
              <xdr:spPr>
                <a:xfrm>
                  <a:off x="8589926" y="15649264"/>
                  <a:ext cx="836664" cy="1762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273DC38D-3240-42E8-A79F-23F2E0D170B4}" type="TxLink">
                    <a:rPr lang="th-TH" sz="900">
                      <a:solidFill>
                        <a:schemeClr val="tx1"/>
                      </a:solidFill>
                    </a:rPr>
                    <a:pPr algn="ctr"/>
                    <a:t>@9.0 cm.</a:t>
                  </a:fld>
                  <a:endParaRPr lang="th-TH" sz="900">
                    <a:solidFill>
                      <a:schemeClr val="tx1"/>
                    </a:solidFill>
                  </a:endParaRPr>
                </a:p>
              </xdr:txBody>
            </xdr:sp>
            <xdr:sp macro="" textlink="">
              <xdr:nvSpPr>
                <xdr:cNvPr id="1904" name="Rectangle 1903"/>
                <xdr:cNvSpPr/>
              </xdr:nvSpPr>
              <xdr:spPr>
                <a:xfrm>
                  <a:off x="7882860" y="15412059"/>
                  <a:ext cx="582917" cy="2191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lang="en-US" sz="900" b="1">
                      <a:solidFill>
                        <a:srgbClr val="FF0000"/>
                      </a:solidFill>
                    </a:rPr>
                    <a:t>Strirup</a:t>
                  </a:r>
                  <a:endParaRPr lang="th-TH" sz="900" b="1">
                    <a:solidFill>
                      <a:srgbClr val="FF0000"/>
                    </a:solidFill>
                  </a:endParaRPr>
                </a:p>
              </xdr:txBody>
            </xdr:sp>
            <xdr:sp macro="" textlink="'desigh Stairs'!$BF$34">
              <xdr:nvSpPr>
                <xdr:cNvPr id="1905" name="Rectangle 1904"/>
                <xdr:cNvSpPr/>
              </xdr:nvSpPr>
              <xdr:spPr>
                <a:xfrm>
                  <a:off x="7869075" y="15083163"/>
                  <a:ext cx="652438" cy="1738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D5BD28D2-11F2-49B4-8F03-FAE0CE3208D5}" type="TxLink">
                    <a:rPr lang="th-TH" sz="900" b="1">
                      <a:solidFill>
                        <a:srgbClr val="FF0000"/>
                      </a:solidFill>
                    </a:rPr>
                    <a:pPr algn="l"/>
                    <a:t>Under</a:t>
                  </a:fld>
                  <a:endParaRPr lang="th-TH" sz="900" b="1">
                    <a:solidFill>
                      <a:srgbClr val="FF0000"/>
                    </a:solidFill>
                  </a:endParaRPr>
                </a:p>
              </xdr:txBody>
            </xdr:sp>
            <xdr:sp macro="" textlink="'desigh Stairs'!$BG$34">
              <xdr:nvSpPr>
                <xdr:cNvPr id="1906" name="Rectangle 1905"/>
                <xdr:cNvSpPr/>
              </xdr:nvSpPr>
              <xdr:spPr>
                <a:xfrm>
                  <a:off x="7902898" y="15292243"/>
                  <a:ext cx="454990" cy="1993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EC5D3EC2-7291-4045-B62F-2ED4C87DB417}" type="TxLink">
                    <a:rPr lang="th-TH" sz="900">
                      <a:solidFill>
                        <a:schemeClr val="tx1"/>
                      </a:solidFill>
                    </a:rPr>
                    <a:pPr algn="ctr"/>
                    <a:t>5</a:t>
                  </a:fld>
                  <a:endParaRPr lang="th-TH" sz="900">
                    <a:solidFill>
                      <a:schemeClr val="tx1"/>
                    </a:solidFill>
                  </a:endParaRPr>
                </a:p>
              </xdr:txBody>
            </xdr:sp>
            <xdr:sp macro="" textlink="'desigh Stairs'!$BH$34">
              <xdr:nvSpPr>
                <xdr:cNvPr id="1907" name="Rectangle 1906"/>
                <xdr:cNvSpPr/>
              </xdr:nvSpPr>
              <xdr:spPr>
                <a:xfrm>
                  <a:off x="8154999" y="15277339"/>
                  <a:ext cx="414655" cy="2052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8FAC1534-48A2-42D1-BB15-B65B461A4CE4}" type="TxLink">
                    <a:rPr lang="th-TH" sz="900" b="1">
                      <a:solidFill>
                        <a:schemeClr val="bg2">
                          <a:lumMod val="10000"/>
                        </a:schemeClr>
                      </a:solidFill>
                    </a:rPr>
                    <a:pPr algn="ctr"/>
                    <a:t>DB</a:t>
                  </a:fld>
                  <a:endParaRPr lang="th-TH" sz="900" b="1">
                    <a:solidFill>
                      <a:schemeClr val="bg2">
                        <a:lumMod val="10000"/>
                      </a:schemeClr>
                    </a:solidFill>
                  </a:endParaRPr>
                </a:p>
              </xdr:txBody>
            </xdr:sp>
            <xdr:sp macro="" textlink="'desigh Stairs'!$BI$34">
              <xdr:nvSpPr>
                <xdr:cNvPr id="1908" name="Rectangle 1907"/>
                <xdr:cNvSpPr/>
              </xdr:nvSpPr>
              <xdr:spPr>
                <a:xfrm>
                  <a:off x="8411675" y="15258744"/>
                  <a:ext cx="777762" cy="2238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fld id="{15A25C24-04A2-4EE6-BF7B-7B37FE8FDFE2}" type="TxLink">
                    <a:rPr lang="th-TH" sz="900">
                      <a:solidFill>
                        <a:schemeClr val="tx1"/>
                      </a:solidFill>
                    </a:rPr>
                    <a:pPr algn="l"/>
                    <a:t>ø  20 mm.</a:t>
                  </a:fld>
                  <a:endParaRPr lang="th-TH" sz="900">
                    <a:solidFill>
                      <a:schemeClr val="tx1"/>
                    </a:solidFill>
                  </a:endParaRPr>
                </a:p>
              </xdr:txBody>
            </xdr:sp>
            <xdr:sp macro="" textlink="$BF$36">
              <xdr:nvSpPr>
                <xdr:cNvPr id="1909" name="Rectangle 1908"/>
                <xdr:cNvSpPr/>
              </xdr:nvSpPr>
              <xdr:spPr>
                <a:xfrm>
                  <a:off x="7867919" y="14627045"/>
                  <a:ext cx="688761" cy="17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365B3782-2254-4162-9968-5274578FD380}" type="TxLink">
                    <a:rPr lang="th-TH" sz="900" b="1">
                      <a:solidFill>
                        <a:srgbClr val="FF0000"/>
                      </a:solidFill>
                    </a:rPr>
                    <a:pPr algn="l"/>
                    <a:t> </a:t>
                  </a:fld>
                  <a:endParaRPr lang="th-TH" sz="900" b="1">
                    <a:solidFill>
                      <a:srgbClr val="FF0000"/>
                    </a:solidFill>
                  </a:endParaRPr>
                </a:p>
              </xdr:txBody>
            </xdr:sp>
            <xdr:sp macro="" textlink="'desigh Stairs'!$BG$36">
              <xdr:nvSpPr>
                <xdr:cNvPr id="1910" name="Rectangle 1909"/>
                <xdr:cNvSpPr/>
              </xdr:nvSpPr>
              <xdr:spPr>
                <a:xfrm>
                  <a:off x="8015197" y="14775570"/>
                  <a:ext cx="200155" cy="1752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1F23372B-FBEC-4514-AC01-E4A95A900D41}" type="TxLink">
                    <a:rPr lang="th-TH" sz="900">
                      <a:solidFill>
                        <a:schemeClr val="tx1"/>
                      </a:solidFill>
                    </a:rPr>
                    <a:pPr algn="ctr"/>
                    <a:t>4</a:t>
                  </a:fld>
                  <a:endParaRPr lang="th-TH" sz="900">
                    <a:solidFill>
                      <a:schemeClr val="tx1"/>
                    </a:solidFill>
                  </a:endParaRPr>
                </a:p>
              </xdr:txBody>
            </xdr:sp>
            <xdr:sp macro="" textlink="'desigh Stairs'!$BI$36">
              <xdr:nvSpPr>
                <xdr:cNvPr id="1911" name="Rectangle 1910"/>
                <xdr:cNvSpPr/>
              </xdr:nvSpPr>
              <xdr:spPr>
                <a:xfrm>
                  <a:off x="8090671" y="14770970"/>
                  <a:ext cx="595846" cy="1758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A5C4208D-8FE5-4A99-B8E8-94EFC9F985BB}" type="TxLink">
                    <a:rPr lang="th-TH" sz="900" b="1">
                      <a:solidFill>
                        <a:schemeClr val="tx1"/>
                      </a:solidFill>
                    </a:rPr>
                    <a:pPr algn="ctr"/>
                    <a:t>DB</a:t>
                  </a:fld>
                  <a:endParaRPr lang="th-TH" sz="900" b="1">
                    <a:solidFill>
                      <a:schemeClr val="tx1"/>
                    </a:solidFill>
                  </a:endParaRPr>
                </a:p>
              </xdr:txBody>
            </xdr:sp>
            <xdr:sp macro="" textlink="'desigh Stairs'!$BH$36">
              <xdr:nvSpPr>
                <xdr:cNvPr id="1912" name="Rectangle 1911"/>
                <xdr:cNvSpPr/>
              </xdr:nvSpPr>
              <xdr:spPr>
                <a:xfrm>
                  <a:off x="8434764" y="14764468"/>
                  <a:ext cx="783628" cy="2119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fld id="{3EE0BA95-241C-4C7F-95B1-9E56A43D3646}" type="TxLink">
                    <a:rPr lang="th-TH" sz="800">
                      <a:solidFill>
                        <a:schemeClr val="tx1"/>
                      </a:solidFill>
                    </a:rPr>
                    <a:pPr algn="l"/>
                    <a:t>ø  16 mm.</a:t>
                  </a:fld>
                  <a:endParaRPr lang="th-TH" sz="800">
                    <a:solidFill>
                      <a:schemeClr val="tx1"/>
                    </a:solidFill>
                  </a:endParaRPr>
                </a:p>
              </xdr:txBody>
            </xdr:sp>
            <xdr:sp macro="" textlink="'desigh Stairs'!$BF$38">
              <xdr:nvSpPr>
                <xdr:cNvPr id="1913" name="Rectangle 1912"/>
                <xdr:cNvSpPr/>
              </xdr:nvSpPr>
              <xdr:spPr>
                <a:xfrm>
                  <a:off x="7883473" y="14138649"/>
                  <a:ext cx="1109726" cy="2066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84781EC1-4B1B-4ABA-A63F-51AC5E8CD7F3}" type="TxLink">
                    <a:rPr lang="th-TH" sz="900" b="1">
                      <a:solidFill>
                        <a:srgbClr val="FF0000"/>
                      </a:solidFill>
                    </a:rPr>
                    <a:pPr algn="l"/>
                    <a:t>Top</a:t>
                  </a:fld>
                  <a:endParaRPr lang="th-TH" sz="900" b="1">
                    <a:solidFill>
                      <a:srgbClr val="FF0000"/>
                    </a:solidFill>
                  </a:endParaRPr>
                </a:p>
              </xdr:txBody>
            </xdr:sp>
            <xdr:sp macro="" textlink="'desigh Stairs'!$BG$38">
              <xdr:nvSpPr>
                <xdr:cNvPr id="1914" name="Rectangle 1913"/>
                <xdr:cNvSpPr/>
              </xdr:nvSpPr>
              <xdr:spPr>
                <a:xfrm>
                  <a:off x="7933082" y="14358358"/>
                  <a:ext cx="376888" cy="1639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6C76F6AA-0992-48B4-ACCA-E82249314883}" type="TxLink">
                    <a:rPr lang="th-TH" sz="900">
                      <a:solidFill>
                        <a:schemeClr val="tx1"/>
                      </a:solidFill>
                    </a:rPr>
                    <a:pPr algn="ctr"/>
                    <a:t>5</a:t>
                  </a:fld>
                  <a:endParaRPr lang="th-TH" sz="900">
                    <a:solidFill>
                      <a:schemeClr val="tx1"/>
                    </a:solidFill>
                  </a:endParaRPr>
                </a:p>
              </xdr:txBody>
            </xdr:sp>
            <xdr:sp macro="" textlink="'desigh Stairs'!$BH$38">
              <xdr:nvSpPr>
                <xdr:cNvPr id="1915" name="Rectangle 1914"/>
                <xdr:cNvSpPr/>
              </xdr:nvSpPr>
              <xdr:spPr>
                <a:xfrm>
                  <a:off x="8120820" y="14345886"/>
                  <a:ext cx="481255" cy="1797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4E7B634C-CDBE-406F-9FA7-8B4240336CB0}" type="TxLink">
                    <a:rPr lang="th-TH" sz="900" b="1">
                      <a:solidFill>
                        <a:schemeClr val="tx1"/>
                      </a:solidFill>
                    </a:rPr>
                    <a:pPr algn="ctr"/>
                    <a:t>DB</a:t>
                  </a:fld>
                  <a:endParaRPr lang="th-TH" sz="900" b="1">
                    <a:solidFill>
                      <a:schemeClr val="tx1"/>
                    </a:solidFill>
                  </a:endParaRPr>
                </a:p>
              </xdr:txBody>
            </xdr:sp>
            <xdr:sp macro="" textlink="'desigh Stairs'!$BI$38">
              <xdr:nvSpPr>
                <xdr:cNvPr id="1916" name="Rectangle 1915"/>
                <xdr:cNvSpPr/>
              </xdr:nvSpPr>
              <xdr:spPr>
                <a:xfrm>
                  <a:off x="8401577" y="14319615"/>
                  <a:ext cx="885410" cy="1781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fld id="{F06DE34C-E89E-484E-BC3F-30926B1ECA3D}" type="TxLink">
                    <a:rPr lang="th-TH" sz="900">
                      <a:solidFill>
                        <a:schemeClr val="tx1"/>
                      </a:solidFill>
                    </a:rPr>
                    <a:pPr algn="l"/>
                    <a:t>ø  16 mm.</a:t>
                  </a:fld>
                  <a:endParaRPr lang="th-TH" sz="900">
                    <a:solidFill>
                      <a:schemeClr val="tx1"/>
                    </a:solidFill>
                  </a:endParaRPr>
                </a:p>
              </xdr:txBody>
            </xdr:sp>
          </xdr:grpSp>
          <xdr:sp macro="" textlink="">
            <xdr:nvSpPr>
              <xdr:cNvPr id="1895" name="Rectangle 1894"/>
              <xdr:cNvSpPr/>
            </xdr:nvSpPr>
            <xdr:spPr>
              <a:xfrm>
                <a:off x="5642199" y="35913741"/>
                <a:ext cx="3256906" cy="2258027"/>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grpSp>
      </xdr:grpSp>
    </xdr:grpSp>
    <xdr:clientData/>
  </xdr:twoCellAnchor>
  <xdr:twoCellAnchor>
    <xdr:from>
      <xdr:col>0</xdr:col>
      <xdr:colOff>255207</xdr:colOff>
      <xdr:row>101</xdr:row>
      <xdr:rowOff>32989</xdr:rowOff>
    </xdr:from>
    <xdr:to>
      <xdr:col>17</xdr:col>
      <xdr:colOff>120492</xdr:colOff>
      <xdr:row>125</xdr:row>
      <xdr:rowOff>59665</xdr:rowOff>
    </xdr:to>
    <xdr:grpSp>
      <xdr:nvGrpSpPr>
        <xdr:cNvPr id="2008" name="Group 2007"/>
        <xdr:cNvGrpSpPr/>
      </xdr:nvGrpSpPr>
      <xdr:grpSpPr>
        <a:xfrm>
          <a:off x="255207" y="18946918"/>
          <a:ext cx="8185081" cy="4458716"/>
          <a:chOff x="784159" y="17905500"/>
          <a:chExt cx="8184799" cy="4461227"/>
        </a:xfrm>
      </xdr:grpSpPr>
      <xdr:grpSp>
        <xdr:nvGrpSpPr>
          <xdr:cNvPr id="910" name="Group 909"/>
          <xdr:cNvGrpSpPr/>
        </xdr:nvGrpSpPr>
        <xdr:grpSpPr>
          <a:xfrm>
            <a:off x="784159" y="17905500"/>
            <a:ext cx="5424710" cy="4369578"/>
            <a:chOff x="780292" y="17760336"/>
            <a:chExt cx="5430099" cy="4323031"/>
          </a:xfrm>
        </xdr:grpSpPr>
        <xdr:cxnSp macro="">
          <xdr:nvCxnSpPr>
            <xdr:cNvPr id="893" name="Straight Connector 892"/>
            <xdr:cNvCxnSpPr/>
          </xdr:nvCxnSpPr>
          <xdr:spPr>
            <a:xfrm>
              <a:off x="3565842" y="19126380"/>
              <a:ext cx="690811" cy="1588"/>
            </a:xfrm>
            <a:prstGeom prst="line">
              <a:avLst/>
            </a:prstGeom>
            <a:ln>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grpSp>
          <xdr:nvGrpSpPr>
            <xdr:cNvPr id="909" name="Group 908"/>
            <xdr:cNvGrpSpPr/>
          </xdr:nvGrpSpPr>
          <xdr:grpSpPr>
            <a:xfrm>
              <a:off x="780292" y="17760336"/>
              <a:ext cx="5430099" cy="4323031"/>
              <a:chOff x="780292" y="17760336"/>
              <a:chExt cx="5430099" cy="4323031"/>
            </a:xfrm>
          </xdr:grpSpPr>
          <xdr:grpSp>
            <xdr:nvGrpSpPr>
              <xdr:cNvPr id="908" name="Group 907"/>
              <xdr:cNvGrpSpPr/>
            </xdr:nvGrpSpPr>
            <xdr:grpSpPr>
              <a:xfrm>
                <a:off x="780292" y="17760336"/>
                <a:ext cx="5430099" cy="4323031"/>
                <a:chOff x="780292" y="17760336"/>
                <a:chExt cx="5430099" cy="4323031"/>
              </a:xfrm>
            </xdr:grpSpPr>
            <xdr:grpSp>
              <xdr:nvGrpSpPr>
                <xdr:cNvPr id="888" name="Group 887"/>
                <xdr:cNvGrpSpPr/>
              </xdr:nvGrpSpPr>
              <xdr:grpSpPr>
                <a:xfrm>
                  <a:off x="780292" y="17760336"/>
                  <a:ext cx="5430099" cy="4323031"/>
                  <a:chOff x="689400" y="17176546"/>
                  <a:chExt cx="5428978" cy="4076135"/>
                </a:xfrm>
              </xdr:grpSpPr>
              <xdr:grpSp>
                <xdr:nvGrpSpPr>
                  <xdr:cNvPr id="389" name="Group 388"/>
                  <xdr:cNvGrpSpPr/>
                </xdr:nvGrpSpPr>
                <xdr:grpSpPr>
                  <a:xfrm>
                    <a:off x="689400" y="17176546"/>
                    <a:ext cx="5428978" cy="4076135"/>
                    <a:chOff x="1384403" y="6994189"/>
                    <a:chExt cx="5399754" cy="4080008"/>
                  </a:xfrm>
                </xdr:grpSpPr>
                <xdr:grpSp>
                  <xdr:nvGrpSpPr>
                    <xdr:cNvPr id="391" name="Group 485"/>
                    <xdr:cNvGrpSpPr/>
                  </xdr:nvGrpSpPr>
                  <xdr:grpSpPr>
                    <a:xfrm>
                      <a:off x="1384403" y="6994189"/>
                      <a:ext cx="5399754" cy="4080008"/>
                      <a:chOff x="1374963" y="6981608"/>
                      <a:chExt cx="5389698" cy="4080008"/>
                    </a:xfrm>
                  </xdr:grpSpPr>
                  <xdr:cxnSp macro="">
                    <xdr:nvCxnSpPr>
                      <xdr:cNvPr id="401" name="Straight Connector 400"/>
                      <xdr:cNvCxnSpPr/>
                    </xdr:nvCxnSpPr>
                    <xdr:spPr>
                      <a:xfrm>
                        <a:off x="2260938" y="7928974"/>
                        <a:ext cx="654033" cy="0"/>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02" name="Straight Connector 401"/>
                      <xdr:cNvCxnSpPr/>
                    </xdr:nvCxnSpPr>
                    <xdr:spPr>
                      <a:xfrm rot="5400000">
                        <a:off x="2740704" y="8100985"/>
                        <a:ext cx="344500" cy="1561"/>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04" name="Straight Connector 403"/>
                      <xdr:cNvCxnSpPr/>
                    </xdr:nvCxnSpPr>
                    <xdr:spPr>
                      <a:xfrm>
                        <a:off x="2914704" y="8270883"/>
                        <a:ext cx="431060" cy="1483"/>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06" name="Straight Connector 405"/>
                      <xdr:cNvCxnSpPr/>
                    </xdr:nvCxnSpPr>
                    <xdr:spPr>
                      <a:xfrm rot="5400000">
                        <a:off x="3189158" y="8424904"/>
                        <a:ext cx="306580" cy="1561"/>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08" name="Straight Connector 407"/>
                      <xdr:cNvCxnSpPr/>
                    </xdr:nvCxnSpPr>
                    <xdr:spPr>
                      <a:xfrm rot="5400000">
                        <a:off x="3625066" y="8724945"/>
                        <a:ext cx="297437" cy="1561"/>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10" name="Straight Connector 409"/>
                      <xdr:cNvCxnSpPr/>
                    </xdr:nvCxnSpPr>
                    <xdr:spPr>
                      <a:xfrm rot="5400000">
                        <a:off x="4046810" y="9026361"/>
                        <a:ext cx="305863" cy="1561"/>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15" name="Straight Connector 414"/>
                      <xdr:cNvCxnSpPr/>
                    </xdr:nvCxnSpPr>
                    <xdr:spPr>
                      <a:xfrm rot="5400000">
                        <a:off x="4476224" y="9339819"/>
                        <a:ext cx="308085" cy="1561"/>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17" name="Straight Connector 416"/>
                      <xdr:cNvCxnSpPr/>
                    </xdr:nvCxnSpPr>
                    <xdr:spPr>
                      <a:xfrm rot="16200000" flipH="1">
                        <a:off x="4897858" y="9664093"/>
                        <a:ext cx="348058" cy="0"/>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19" name="Straight Connector 418"/>
                      <xdr:cNvCxnSpPr/>
                    </xdr:nvCxnSpPr>
                    <xdr:spPr>
                      <a:xfrm>
                        <a:off x="3341669" y="8577484"/>
                        <a:ext cx="431062" cy="1483"/>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21" name="Straight Connector 420"/>
                      <xdr:cNvCxnSpPr/>
                    </xdr:nvCxnSpPr>
                    <xdr:spPr>
                      <a:xfrm>
                        <a:off x="3773706" y="8876260"/>
                        <a:ext cx="427038" cy="1483"/>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22" name="Straight Connector 421"/>
                      <xdr:cNvCxnSpPr/>
                    </xdr:nvCxnSpPr>
                    <xdr:spPr>
                      <a:xfrm>
                        <a:off x="4198961" y="9182484"/>
                        <a:ext cx="431062" cy="1483"/>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23" name="Straight Connector 422"/>
                      <xdr:cNvCxnSpPr/>
                    </xdr:nvCxnSpPr>
                    <xdr:spPr>
                      <a:xfrm>
                        <a:off x="4631311" y="9490185"/>
                        <a:ext cx="434789" cy="1483"/>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24" name="Straight Connector 423"/>
                      <xdr:cNvCxnSpPr/>
                    </xdr:nvCxnSpPr>
                    <xdr:spPr>
                      <a:xfrm flipV="1">
                        <a:off x="5072671" y="9840039"/>
                        <a:ext cx="503317" cy="0"/>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26" name="Straight Connector 425"/>
                      <xdr:cNvCxnSpPr/>
                    </xdr:nvCxnSpPr>
                    <xdr:spPr>
                      <a:xfrm rot="5400000">
                        <a:off x="2544993" y="8336789"/>
                        <a:ext cx="306291" cy="2"/>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31" name="Straight Connector 430"/>
                      <xdr:cNvCxnSpPr/>
                    </xdr:nvCxnSpPr>
                    <xdr:spPr>
                      <a:xfrm>
                        <a:off x="2253935" y="8189459"/>
                        <a:ext cx="442020" cy="0"/>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436" name="Flowchart: Connector 435"/>
                      <xdr:cNvSpPr/>
                    </xdr:nvSpPr>
                    <xdr:spPr>
                      <a:xfrm>
                        <a:off x="3282106" y="8311053"/>
                        <a:ext cx="10607" cy="10083"/>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438" name="Flowchart: Connector 437"/>
                      <xdr:cNvSpPr/>
                    </xdr:nvSpPr>
                    <xdr:spPr>
                      <a:xfrm>
                        <a:off x="2859067" y="7973714"/>
                        <a:ext cx="10607" cy="10083"/>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440" name="Flowchart: Connector 439"/>
                      <xdr:cNvSpPr/>
                    </xdr:nvSpPr>
                    <xdr:spPr>
                      <a:xfrm>
                        <a:off x="3716811" y="8622059"/>
                        <a:ext cx="10607" cy="10083"/>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444" name="Flowchart: Connector 443"/>
                      <xdr:cNvSpPr/>
                    </xdr:nvSpPr>
                    <xdr:spPr>
                      <a:xfrm>
                        <a:off x="2740270" y="8428637"/>
                        <a:ext cx="10607" cy="10083"/>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446" name="Flowchart: Connector 445"/>
                      <xdr:cNvSpPr/>
                    </xdr:nvSpPr>
                    <xdr:spPr>
                      <a:xfrm>
                        <a:off x="4128561" y="8928916"/>
                        <a:ext cx="10607" cy="10083"/>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450" name="Flowchart: Connector 449"/>
                      <xdr:cNvSpPr/>
                    </xdr:nvSpPr>
                    <xdr:spPr>
                      <a:xfrm>
                        <a:off x="4552091" y="9243091"/>
                        <a:ext cx="10607" cy="10083"/>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451" name="Flowchart: Connector 450"/>
                      <xdr:cNvSpPr/>
                    </xdr:nvSpPr>
                    <xdr:spPr>
                      <a:xfrm>
                        <a:off x="4048112" y="9329789"/>
                        <a:ext cx="10607" cy="10083"/>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469" name="Flowchart: Connector 468"/>
                      <xdr:cNvSpPr/>
                    </xdr:nvSpPr>
                    <xdr:spPr>
                      <a:xfrm>
                        <a:off x="3189888" y="8735533"/>
                        <a:ext cx="10658" cy="1007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471" name="Flowchart: Connector 470"/>
                      <xdr:cNvSpPr/>
                    </xdr:nvSpPr>
                    <xdr:spPr>
                      <a:xfrm>
                        <a:off x="5016870" y="9532607"/>
                        <a:ext cx="10658" cy="1007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472" name="Flowchart: Connector 471"/>
                      <xdr:cNvSpPr/>
                    </xdr:nvSpPr>
                    <xdr:spPr>
                      <a:xfrm>
                        <a:off x="4459348" y="9640851"/>
                        <a:ext cx="10658" cy="1007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473" name="Flowchart: Connector 472"/>
                      <xdr:cNvSpPr/>
                    </xdr:nvSpPr>
                    <xdr:spPr>
                      <a:xfrm>
                        <a:off x="3623447" y="9023447"/>
                        <a:ext cx="10658" cy="1007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474" name="Flowchart: Connector 473"/>
                      <xdr:cNvSpPr/>
                    </xdr:nvSpPr>
                    <xdr:spPr>
                      <a:xfrm>
                        <a:off x="4894780" y="9987725"/>
                        <a:ext cx="10658" cy="1007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cxnSp macro="">
                    <xdr:nvCxnSpPr>
                      <xdr:cNvPr id="476" name="Straight Arrow Connector 475"/>
                      <xdr:cNvCxnSpPr/>
                    </xdr:nvCxnSpPr>
                    <xdr:spPr>
                      <a:xfrm rot="16200000" flipH="1">
                        <a:off x="3809180" y="8607551"/>
                        <a:ext cx="665297" cy="3350"/>
                      </a:xfrm>
                      <a:prstGeom prst="straightConnector1">
                        <a:avLst/>
                      </a:prstGeom>
                      <a:ln w="3175" cap="flat">
                        <a:solidFill>
                          <a:schemeClr val="tx1">
                            <a:lumMod val="65000"/>
                            <a:lumOff val="35000"/>
                          </a:schemeClr>
                        </a:solidFill>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482" name="Straight Arrow Connector 481"/>
                      <xdr:cNvCxnSpPr/>
                    </xdr:nvCxnSpPr>
                    <xdr:spPr>
                      <a:xfrm rot="16200000" flipH="1">
                        <a:off x="3454078" y="8466348"/>
                        <a:ext cx="972255" cy="11083"/>
                      </a:xfrm>
                      <a:prstGeom prst="straightConnector1">
                        <a:avLst/>
                      </a:prstGeom>
                      <a:ln w="3175" cap="flat">
                        <a:solidFill>
                          <a:schemeClr val="tx1">
                            <a:lumMod val="65000"/>
                            <a:lumOff val="35000"/>
                          </a:schemeClr>
                        </a:solidFill>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483" name="Straight Connector 482"/>
                      <xdr:cNvCxnSpPr/>
                    </xdr:nvCxnSpPr>
                    <xdr:spPr>
                      <a:xfrm flipV="1">
                        <a:off x="3934939" y="7988562"/>
                        <a:ext cx="884206" cy="0"/>
                      </a:xfrm>
                      <a:prstGeom prst="line">
                        <a:avLst/>
                      </a:prstGeom>
                      <a:ln w="3175">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484" name="Rectangle 483"/>
                      <xdr:cNvSpPr/>
                    </xdr:nvSpPr>
                    <xdr:spPr>
                      <a:xfrm>
                        <a:off x="1374963" y="6981608"/>
                        <a:ext cx="5389698" cy="40800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cxnSp macro="">
                    <xdr:nvCxnSpPr>
                      <xdr:cNvPr id="489" name="Straight Connector 488"/>
                      <xdr:cNvCxnSpPr/>
                    </xdr:nvCxnSpPr>
                    <xdr:spPr>
                      <a:xfrm>
                        <a:off x="2695616" y="8490989"/>
                        <a:ext cx="431195" cy="1588"/>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90" name="Straight Connector 489"/>
                      <xdr:cNvCxnSpPr/>
                    </xdr:nvCxnSpPr>
                    <xdr:spPr>
                      <a:xfrm rot="5400000">
                        <a:off x="2972917" y="8642687"/>
                        <a:ext cx="299084" cy="1588"/>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91" name="Straight Connector 490"/>
                      <xdr:cNvCxnSpPr/>
                    </xdr:nvCxnSpPr>
                    <xdr:spPr>
                      <a:xfrm>
                        <a:off x="3125900" y="8793742"/>
                        <a:ext cx="433828" cy="1588"/>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92" name="Straight Connector 491"/>
                      <xdr:cNvCxnSpPr/>
                    </xdr:nvCxnSpPr>
                    <xdr:spPr>
                      <a:xfrm rot="5400000">
                        <a:off x="3409866" y="8939260"/>
                        <a:ext cx="297496" cy="1588"/>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93" name="Straight Connector 492"/>
                      <xdr:cNvCxnSpPr/>
                    </xdr:nvCxnSpPr>
                    <xdr:spPr>
                      <a:xfrm>
                        <a:off x="3561940" y="9090556"/>
                        <a:ext cx="432000" cy="1588"/>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94" name="Straight Connector 493"/>
                      <xdr:cNvCxnSpPr/>
                    </xdr:nvCxnSpPr>
                    <xdr:spPr>
                      <a:xfrm rot="5400000">
                        <a:off x="3834714" y="9247597"/>
                        <a:ext cx="304455" cy="466"/>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95" name="Straight Connector 494"/>
                      <xdr:cNvCxnSpPr/>
                    </xdr:nvCxnSpPr>
                    <xdr:spPr>
                      <a:xfrm>
                        <a:off x="3981134" y="9398093"/>
                        <a:ext cx="428123" cy="1588"/>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96" name="Straight Connector 495"/>
                      <xdr:cNvCxnSpPr/>
                    </xdr:nvCxnSpPr>
                    <xdr:spPr>
                      <a:xfrm rot="5400000">
                        <a:off x="4256015" y="9554466"/>
                        <a:ext cx="299084" cy="0"/>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97" name="Straight Connector 496"/>
                      <xdr:cNvCxnSpPr/>
                    </xdr:nvCxnSpPr>
                    <xdr:spPr>
                      <a:xfrm>
                        <a:off x="4396851" y="9710894"/>
                        <a:ext cx="432448" cy="0"/>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98" name="Straight Connector 497"/>
                      <xdr:cNvCxnSpPr/>
                    </xdr:nvCxnSpPr>
                    <xdr:spPr>
                      <a:xfrm rot="5400000">
                        <a:off x="4656825" y="9888748"/>
                        <a:ext cx="350731" cy="0"/>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99" name="Straight Connector 498"/>
                      <xdr:cNvCxnSpPr/>
                    </xdr:nvCxnSpPr>
                    <xdr:spPr>
                      <a:xfrm rot="10800000" flipV="1">
                        <a:off x="4824133" y="10066616"/>
                        <a:ext cx="744409" cy="0"/>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grpSp>
                  <xdr:nvGrpSpPr>
                    <xdr:cNvPr id="392" name="Group 524"/>
                    <xdr:cNvGrpSpPr/>
                  </xdr:nvGrpSpPr>
                  <xdr:grpSpPr>
                    <a:xfrm>
                      <a:off x="4653642" y="8536931"/>
                      <a:ext cx="847449" cy="722486"/>
                      <a:chOff x="4653642" y="8536931"/>
                      <a:chExt cx="847449" cy="722486"/>
                    </a:xfrm>
                  </xdr:grpSpPr>
                  <xdr:cxnSp macro="">
                    <xdr:nvCxnSpPr>
                      <xdr:cNvPr id="393" name="Straight Connector 392"/>
                      <xdr:cNvCxnSpPr/>
                    </xdr:nvCxnSpPr>
                    <xdr:spPr>
                      <a:xfrm>
                        <a:off x="5115148" y="8895641"/>
                        <a:ext cx="385943" cy="1588"/>
                      </a:xfrm>
                      <a:prstGeom prst="line">
                        <a:avLst/>
                      </a:prstGeom>
                      <a:ln w="317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94" name="Straight Connector 393"/>
                      <xdr:cNvCxnSpPr/>
                    </xdr:nvCxnSpPr>
                    <xdr:spPr>
                      <a:xfrm>
                        <a:off x="5147436" y="9257829"/>
                        <a:ext cx="337511" cy="1588"/>
                      </a:xfrm>
                      <a:prstGeom prst="line">
                        <a:avLst/>
                      </a:prstGeom>
                      <a:ln w="317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96" name="Straight Connector 395"/>
                      <xdr:cNvCxnSpPr/>
                    </xdr:nvCxnSpPr>
                    <xdr:spPr>
                      <a:xfrm rot="5400000" flipH="1" flipV="1">
                        <a:off x="4484418" y="8706155"/>
                        <a:ext cx="340035" cy="1588"/>
                      </a:xfrm>
                      <a:prstGeom prst="line">
                        <a:avLst/>
                      </a:prstGeom>
                      <a:ln w="317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97" name="Straight Connector 396"/>
                      <xdr:cNvCxnSpPr/>
                    </xdr:nvCxnSpPr>
                    <xdr:spPr>
                      <a:xfrm rot="5400000" flipH="1" flipV="1">
                        <a:off x="4908301" y="8710696"/>
                        <a:ext cx="349116" cy="1588"/>
                      </a:xfrm>
                      <a:prstGeom prst="line">
                        <a:avLst/>
                      </a:prstGeom>
                      <a:ln w="317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99" name="Straight Connector 398"/>
                      <xdr:cNvCxnSpPr/>
                    </xdr:nvCxnSpPr>
                    <xdr:spPr>
                      <a:xfrm>
                        <a:off x="4662508" y="8583667"/>
                        <a:ext cx="418232" cy="1588"/>
                      </a:xfrm>
                      <a:prstGeom prst="line">
                        <a:avLst/>
                      </a:prstGeom>
                      <a:ln w="3175">
                        <a:solidFill>
                          <a:schemeClr val="tx1">
                            <a:lumMod val="75000"/>
                            <a:lumOff val="25000"/>
                          </a:schemeClr>
                        </a:solidFill>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400" name="Straight Connector 399"/>
                      <xdr:cNvCxnSpPr/>
                    </xdr:nvCxnSpPr>
                    <xdr:spPr>
                      <a:xfrm rot="16200000" flipH="1">
                        <a:off x="5273002" y="9077951"/>
                        <a:ext cx="344920" cy="1292"/>
                      </a:xfrm>
                      <a:prstGeom prst="line">
                        <a:avLst/>
                      </a:prstGeom>
                      <a:ln w="3175">
                        <a:solidFill>
                          <a:schemeClr val="tx1">
                            <a:lumMod val="75000"/>
                            <a:lumOff val="25000"/>
                          </a:schemeClr>
                        </a:solidFill>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grpSp>
              </xdr:grpSp>
              <xdr:cxnSp macro="">
                <xdr:nvCxnSpPr>
                  <xdr:cNvPr id="644" name="Straight Connector 643"/>
                  <xdr:cNvCxnSpPr>
                    <a:stCxn id="713" idx="2"/>
                    <a:endCxn id="714" idx="2"/>
                  </xdr:cNvCxnSpPr>
                </xdr:nvCxnSpPr>
                <xdr:spPr>
                  <a:xfrm rot="5400000">
                    <a:off x="1899950" y="18316259"/>
                    <a:ext cx="457359" cy="168979"/>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648" name="Straight Connector 647"/>
                  <xdr:cNvCxnSpPr>
                    <a:stCxn id="714" idx="0"/>
                    <a:endCxn id="716" idx="0"/>
                  </xdr:cNvCxnSpPr>
                </xdr:nvCxnSpPr>
                <xdr:spPr>
                  <a:xfrm flipV="1">
                    <a:off x="2071251" y="18489014"/>
                    <a:ext cx="542655" cy="16327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650" name="Straight Connector 649"/>
                  <xdr:cNvCxnSpPr>
                    <a:stCxn id="716" idx="2"/>
                    <a:endCxn id="724" idx="2"/>
                  </xdr:cNvCxnSpPr>
                </xdr:nvCxnSpPr>
                <xdr:spPr>
                  <a:xfrm rot="5400000">
                    <a:off x="2358969" y="18652717"/>
                    <a:ext cx="416479" cy="140196"/>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654" name="Straight Connector 653"/>
                  <xdr:cNvCxnSpPr>
                    <a:stCxn id="724" idx="0"/>
                    <a:endCxn id="717" idx="0"/>
                  </xdr:cNvCxnSpPr>
                </xdr:nvCxnSpPr>
                <xdr:spPr>
                  <a:xfrm flipV="1">
                    <a:off x="2519969" y="18800976"/>
                    <a:ext cx="527871" cy="15429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656" name="Straight Connector 655"/>
                  <xdr:cNvCxnSpPr>
                    <a:stCxn id="717" idx="2"/>
                    <a:endCxn id="725" idx="2"/>
                  </xdr:cNvCxnSpPr>
                </xdr:nvCxnSpPr>
                <xdr:spPr>
                  <a:xfrm rot="5400000">
                    <a:off x="2801997" y="18954470"/>
                    <a:ext cx="399336" cy="138068"/>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660" name="Straight Connector 659"/>
                  <xdr:cNvCxnSpPr>
                    <a:stCxn id="725" idx="0"/>
                    <a:endCxn id="718" idx="0"/>
                  </xdr:cNvCxnSpPr>
                </xdr:nvCxnSpPr>
                <xdr:spPr>
                  <a:xfrm flipV="1">
                    <a:off x="2956031" y="19105405"/>
                    <a:ext cx="515853" cy="140627"/>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662" name="Straight Connector 661"/>
                  <xdr:cNvCxnSpPr>
                    <a:stCxn id="718" idx="2"/>
                    <a:endCxn id="723" idx="2"/>
                  </xdr:cNvCxnSpPr>
                </xdr:nvCxnSpPr>
                <xdr:spPr>
                  <a:xfrm rot="5400000">
                    <a:off x="3228311" y="19262303"/>
                    <a:ext cx="401851" cy="131012"/>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664" name="Straight Connector 663"/>
                  <xdr:cNvCxnSpPr>
                    <a:stCxn id="723" idx="0"/>
                  </xdr:cNvCxnSpPr>
                </xdr:nvCxnSpPr>
                <xdr:spPr>
                  <a:xfrm flipV="1">
                    <a:off x="3386590" y="19416748"/>
                    <a:ext cx="513111" cy="134846"/>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669" name="Straight Connector 668"/>
                  <xdr:cNvCxnSpPr>
                    <a:stCxn id="726" idx="0"/>
                    <a:endCxn id="720" idx="0"/>
                  </xdr:cNvCxnSpPr>
                </xdr:nvCxnSpPr>
                <xdr:spPr>
                  <a:xfrm flipV="1">
                    <a:off x="3802257" y="19710797"/>
                    <a:ext cx="561491" cy="150647"/>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673" name="Straight Connector 672"/>
                  <xdr:cNvCxnSpPr>
                    <a:stCxn id="720" idx="2"/>
                    <a:endCxn id="721" idx="2"/>
                  </xdr:cNvCxnSpPr>
                </xdr:nvCxnSpPr>
                <xdr:spPr>
                  <a:xfrm rot="5400000">
                    <a:off x="4077111" y="19879882"/>
                    <a:ext cx="445273" cy="173719"/>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678" name="Straight Connector 677"/>
                  <xdr:cNvCxnSpPr>
                    <a:stCxn id="719" idx="2"/>
                    <a:endCxn id="726" idx="2"/>
                  </xdr:cNvCxnSpPr>
                </xdr:nvCxnSpPr>
                <xdr:spPr>
                  <a:xfrm rot="5400000">
                    <a:off x="3649120" y="19572754"/>
                    <a:ext cx="395028" cy="135553"/>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680" name="Straight Connector 679"/>
                  <xdr:cNvCxnSpPr>
                    <a:stCxn id="713" idx="0"/>
                    <a:endCxn id="772" idx="0"/>
                  </xdr:cNvCxnSpPr>
                </xdr:nvCxnSpPr>
                <xdr:spPr>
                  <a:xfrm rot="10800000" flipV="1">
                    <a:off x="1630897" y="18149209"/>
                    <a:ext cx="559362" cy="79997"/>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713" name="Arc 712"/>
                  <xdr:cNvSpPr/>
                </xdr:nvSpPr>
                <xdr:spPr>
                  <a:xfrm>
                    <a:off x="2167399" y="18149210"/>
                    <a:ext cx="45719" cy="45719"/>
                  </a:xfrm>
                  <a:prstGeom prst="arc">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sp macro="" textlink="">
                <xdr:nvSpPr>
                  <xdr:cNvPr id="714" name="Arc 713"/>
                  <xdr:cNvSpPr/>
                </xdr:nvSpPr>
                <xdr:spPr>
                  <a:xfrm flipH="1" flipV="1">
                    <a:off x="2044139" y="18606570"/>
                    <a:ext cx="49972" cy="45719"/>
                  </a:xfrm>
                  <a:prstGeom prst="arc">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sp macro="" textlink="">
                <xdr:nvSpPr>
                  <xdr:cNvPr id="716" name="Arc 715"/>
                  <xdr:cNvSpPr/>
                </xdr:nvSpPr>
                <xdr:spPr>
                  <a:xfrm>
                    <a:off x="2590506" y="18489014"/>
                    <a:ext cx="46800" cy="51123"/>
                  </a:xfrm>
                  <a:prstGeom prst="arc">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sp macro="" textlink="">
                <xdr:nvSpPr>
                  <xdr:cNvPr id="717" name="Arc 716"/>
                  <xdr:cNvSpPr/>
                </xdr:nvSpPr>
                <xdr:spPr>
                  <a:xfrm>
                    <a:off x="3024980" y="18800976"/>
                    <a:ext cx="45719" cy="45719"/>
                  </a:xfrm>
                  <a:prstGeom prst="arc">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sp macro="" textlink="">
                <xdr:nvSpPr>
                  <xdr:cNvPr id="718" name="Arc 717"/>
                  <xdr:cNvSpPr/>
                </xdr:nvSpPr>
                <xdr:spPr>
                  <a:xfrm>
                    <a:off x="3449024" y="19105405"/>
                    <a:ext cx="45719" cy="45129"/>
                  </a:xfrm>
                  <a:prstGeom prst="arc">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sp macro="" textlink="">
                <xdr:nvSpPr>
                  <xdr:cNvPr id="719" name="Arc 718"/>
                  <xdr:cNvSpPr/>
                </xdr:nvSpPr>
                <xdr:spPr>
                  <a:xfrm>
                    <a:off x="3868691" y="19420156"/>
                    <a:ext cx="45719" cy="45719"/>
                  </a:xfrm>
                  <a:prstGeom prst="arc">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sp macro="" textlink="">
                <xdr:nvSpPr>
                  <xdr:cNvPr id="720" name="Arc 719"/>
                  <xdr:cNvSpPr/>
                </xdr:nvSpPr>
                <xdr:spPr>
                  <a:xfrm>
                    <a:off x="4340888" y="19710797"/>
                    <a:ext cx="45719" cy="66613"/>
                  </a:xfrm>
                  <a:prstGeom prst="arc">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sp macro="" textlink="">
                <xdr:nvSpPr>
                  <xdr:cNvPr id="721" name="Arc 720"/>
                  <xdr:cNvSpPr/>
                </xdr:nvSpPr>
                <xdr:spPr>
                  <a:xfrm flipH="1" flipV="1">
                    <a:off x="4212888" y="20168152"/>
                    <a:ext cx="77392" cy="45038"/>
                  </a:xfrm>
                  <a:prstGeom prst="arc">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sp macro="" textlink="">
                <xdr:nvSpPr>
                  <xdr:cNvPr id="723" name="Arc 722"/>
                  <xdr:cNvSpPr/>
                </xdr:nvSpPr>
                <xdr:spPr>
                  <a:xfrm flipH="1" flipV="1">
                    <a:off x="3363731" y="19505875"/>
                    <a:ext cx="45719" cy="45719"/>
                  </a:xfrm>
                  <a:prstGeom prst="arc">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sp macro="" textlink="">
                <xdr:nvSpPr>
                  <xdr:cNvPr id="724" name="Arc 723"/>
                  <xdr:cNvSpPr/>
                </xdr:nvSpPr>
                <xdr:spPr>
                  <a:xfrm flipH="1" flipV="1">
                    <a:off x="2497110" y="18904666"/>
                    <a:ext cx="45719" cy="50605"/>
                  </a:xfrm>
                  <a:prstGeom prst="arc">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sp macro="" textlink="">
                <xdr:nvSpPr>
                  <xdr:cNvPr id="725" name="Arc 724"/>
                  <xdr:cNvSpPr/>
                </xdr:nvSpPr>
                <xdr:spPr>
                  <a:xfrm flipH="1" flipV="1">
                    <a:off x="2932631" y="19200313"/>
                    <a:ext cx="46800" cy="45719"/>
                  </a:xfrm>
                  <a:prstGeom prst="arc">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sp macro="" textlink="">
                <xdr:nvSpPr>
                  <xdr:cNvPr id="726" name="Arc 725"/>
                  <xdr:cNvSpPr/>
                </xdr:nvSpPr>
                <xdr:spPr>
                  <a:xfrm flipH="1" flipV="1">
                    <a:off x="3778857" y="19816817"/>
                    <a:ext cx="46800" cy="44627"/>
                  </a:xfrm>
                  <a:prstGeom prst="arc">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sp macro="" textlink="">
                <xdr:nvSpPr>
                  <xdr:cNvPr id="772" name="Freeform 771"/>
                  <xdr:cNvSpPr/>
                </xdr:nvSpPr>
                <xdr:spPr>
                  <a:xfrm>
                    <a:off x="1618956" y="18229207"/>
                    <a:ext cx="108877" cy="66732"/>
                  </a:xfrm>
                  <a:custGeom>
                    <a:avLst/>
                    <a:gdLst>
                      <a:gd name="connsiteX0" fmla="*/ 11941 w 108877"/>
                      <a:gd name="connsiteY0" fmla="*/ 0 h 66732"/>
                      <a:gd name="connsiteX1" fmla="*/ 16156 w 108877"/>
                      <a:gd name="connsiteY1" fmla="*/ 59005 h 66732"/>
                      <a:gd name="connsiteX2" fmla="*/ 108877 w 108877"/>
                      <a:gd name="connsiteY2" fmla="*/ 46361 h 66732"/>
                    </a:gdLst>
                    <a:ahLst/>
                    <a:cxnLst>
                      <a:cxn ang="0">
                        <a:pos x="connsiteX0" y="connsiteY0"/>
                      </a:cxn>
                      <a:cxn ang="0">
                        <a:pos x="connsiteX1" y="connsiteY1"/>
                      </a:cxn>
                      <a:cxn ang="0">
                        <a:pos x="connsiteX2" y="connsiteY2"/>
                      </a:cxn>
                    </a:cxnLst>
                    <a:rect l="l" t="t" r="r" b="b"/>
                    <a:pathLst>
                      <a:path w="108877" h="66732">
                        <a:moveTo>
                          <a:pt x="11941" y="0"/>
                        </a:moveTo>
                        <a:cubicBezTo>
                          <a:pt x="5970" y="25639"/>
                          <a:pt x="0" y="51278"/>
                          <a:pt x="16156" y="59005"/>
                        </a:cubicBezTo>
                        <a:cubicBezTo>
                          <a:pt x="32312" y="66732"/>
                          <a:pt x="93423" y="49171"/>
                          <a:pt x="108877" y="46361"/>
                        </a:cubicBezTo>
                      </a:path>
                    </a:pathLst>
                  </a:cu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solidFill>
                        <a:srgbClr val="FF0000"/>
                      </a:solidFill>
                    </a:endParaRPr>
                  </a:p>
                </xdr:txBody>
              </xdr:sp>
              <xdr:cxnSp macro="">
                <xdr:nvCxnSpPr>
                  <xdr:cNvPr id="779" name="Straight Connector 778"/>
                  <xdr:cNvCxnSpPr/>
                </xdr:nvCxnSpPr>
                <xdr:spPr>
                  <a:xfrm>
                    <a:off x="1573326" y="18412165"/>
                    <a:ext cx="3341884" cy="2403066"/>
                  </a:xfrm>
                  <a:prstGeom prst="line">
                    <a:avLst/>
                  </a:prstGeom>
                  <a:ln w="12700" cmpd="sng">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81" name="Straight Connector 780"/>
                  <xdr:cNvCxnSpPr/>
                </xdr:nvCxnSpPr>
                <xdr:spPr>
                  <a:xfrm>
                    <a:off x="1564082" y="17621251"/>
                    <a:ext cx="3351128" cy="2396779"/>
                  </a:xfrm>
                  <a:prstGeom prst="line">
                    <a:avLst/>
                  </a:prstGeom>
                  <a:ln w="12700" cmpd="sng">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16" name="Straight Connector 815"/>
                  <xdr:cNvCxnSpPr>
                    <a:stCxn id="721" idx="0"/>
                    <a:endCxn id="830" idx="0"/>
                  </xdr:cNvCxnSpPr>
                </xdr:nvCxnSpPr>
                <xdr:spPr>
                  <a:xfrm flipV="1">
                    <a:off x="4251584" y="20127516"/>
                    <a:ext cx="542383" cy="85674"/>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830" name="Freeform 829"/>
                  <xdr:cNvSpPr/>
                </xdr:nvSpPr>
                <xdr:spPr>
                  <a:xfrm>
                    <a:off x="4686810" y="20066001"/>
                    <a:ext cx="125016" cy="61515"/>
                  </a:xfrm>
                  <a:custGeom>
                    <a:avLst/>
                    <a:gdLst>
                      <a:gd name="connsiteX0" fmla="*/ 107157 w 125016"/>
                      <a:gd name="connsiteY0" fmla="*/ 61515 h 61515"/>
                      <a:gd name="connsiteX1" fmla="*/ 107157 w 125016"/>
                      <a:gd name="connsiteY1" fmla="*/ 7937 h 61515"/>
                      <a:gd name="connsiteX2" fmla="*/ 0 w 125016"/>
                      <a:gd name="connsiteY2" fmla="*/ 13890 h 61515"/>
                    </a:gdLst>
                    <a:ahLst/>
                    <a:cxnLst>
                      <a:cxn ang="0">
                        <a:pos x="connsiteX0" y="connsiteY0"/>
                      </a:cxn>
                      <a:cxn ang="0">
                        <a:pos x="connsiteX1" y="connsiteY1"/>
                      </a:cxn>
                      <a:cxn ang="0">
                        <a:pos x="connsiteX2" y="connsiteY2"/>
                      </a:cxn>
                    </a:cxnLst>
                    <a:rect l="l" t="t" r="r" b="b"/>
                    <a:pathLst>
                      <a:path w="125016" h="61515">
                        <a:moveTo>
                          <a:pt x="107157" y="61515"/>
                        </a:moveTo>
                        <a:cubicBezTo>
                          <a:pt x="116086" y="38694"/>
                          <a:pt x="125016" y="15874"/>
                          <a:pt x="107157" y="7937"/>
                        </a:cubicBezTo>
                        <a:cubicBezTo>
                          <a:pt x="89298" y="0"/>
                          <a:pt x="20836" y="13890"/>
                          <a:pt x="0" y="13890"/>
                        </a:cubicBezTo>
                      </a:path>
                    </a:pathLst>
                  </a:cu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cxnSp macro="">
                <xdr:nvCxnSpPr>
                  <xdr:cNvPr id="851" name="Straight Connector 850"/>
                  <xdr:cNvCxnSpPr/>
                </xdr:nvCxnSpPr>
                <xdr:spPr>
                  <a:xfrm rot="5400000">
                    <a:off x="853326" y="18043590"/>
                    <a:ext cx="1440000" cy="0"/>
                  </a:xfrm>
                  <a:prstGeom prst="line">
                    <a:avLst/>
                  </a:prstGeom>
                  <a:ln w="12700" cmpd="sng">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53" name="Straight Connector 852"/>
                  <xdr:cNvCxnSpPr/>
                </xdr:nvCxnSpPr>
                <xdr:spPr>
                  <a:xfrm rot="5400000">
                    <a:off x="436610" y="18043589"/>
                    <a:ext cx="1440000" cy="0"/>
                  </a:xfrm>
                  <a:prstGeom prst="line">
                    <a:avLst/>
                  </a:prstGeom>
                  <a:ln w="12700" cmpd="sng">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55" name="Straight Connector 854"/>
                  <xdr:cNvCxnSpPr/>
                </xdr:nvCxnSpPr>
                <xdr:spPr>
                  <a:xfrm rot="5400000">
                    <a:off x="4195584" y="20373814"/>
                    <a:ext cx="1440000" cy="1588"/>
                  </a:xfrm>
                  <a:prstGeom prst="line">
                    <a:avLst/>
                  </a:prstGeom>
                  <a:ln w="12700" cmpd="sng">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57" name="Straight Connector 856"/>
                  <xdr:cNvCxnSpPr/>
                </xdr:nvCxnSpPr>
                <xdr:spPr>
                  <a:xfrm rot="5400000">
                    <a:off x="4637818" y="20373811"/>
                    <a:ext cx="1440000" cy="0"/>
                  </a:xfrm>
                  <a:prstGeom prst="line">
                    <a:avLst/>
                  </a:prstGeom>
                  <a:ln w="12700" cmpd="sng">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sp macro="" textlink="'desigh Stairs'!$F$71">
              <xdr:nvSpPr>
                <xdr:cNvPr id="894" name="Rectangle 893"/>
                <xdr:cNvSpPr/>
              </xdr:nvSpPr>
              <xdr:spPr>
                <a:xfrm>
                  <a:off x="4322123" y="18992106"/>
                  <a:ext cx="813621" cy="2295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FA5A5689-7549-466A-B6D8-428DAB98ED7A}" type="TxLink">
                    <a:rPr lang="th-TH" sz="1050">
                      <a:solidFill>
                        <a:schemeClr val="tx2">
                          <a:lumMod val="60000"/>
                          <a:lumOff val="40000"/>
                        </a:schemeClr>
                      </a:solidFill>
                      <a:latin typeface="Times New Roman" pitchFamily="18" charset="0"/>
                    </a:rPr>
                    <a:pPr algn="ctr"/>
                    <a:t> </a:t>
                  </a:fld>
                  <a:endParaRPr lang="th-TH" sz="1050">
                    <a:solidFill>
                      <a:schemeClr val="tx2">
                        <a:lumMod val="60000"/>
                        <a:lumOff val="40000"/>
                      </a:schemeClr>
                    </a:solidFill>
                    <a:latin typeface="Times New Roman" pitchFamily="18" charset="0"/>
                  </a:endParaRPr>
                </a:p>
              </xdr:txBody>
            </xdr:sp>
            <xdr:sp macro="" textlink="'desigh Stairs'!$E$71">
              <xdr:nvSpPr>
                <xdr:cNvPr id="895" name="Rectangle 894"/>
                <xdr:cNvSpPr/>
              </xdr:nvSpPr>
              <xdr:spPr>
                <a:xfrm>
                  <a:off x="4224364" y="18991101"/>
                  <a:ext cx="354968" cy="2295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E84407C5-436D-49C8-80C9-31C17BCD411B}" type="TxLink">
                    <a:rPr lang="th-TH" sz="1100" b="1">
                      <a:solidFill>
                        <a:schemeClr val="tx2">
                          <a:lumMod val="60000"/>
                          <a:lumOff val="40000"/>
                        </a:schemeClr>
                      </a:solidFill>
                    </a:rPr>
                    <a:pPr algn="ctr"/>
                    <a:t>   </a:t>
                  </a:fld>
                  <a:endParaRPr lang="th-TH" sz="1100" b="1">
                    <a:solidFill>
                      <a:schemeClr val="tx2">
                        <a:lumMod val="60000"/>
                        <a:lumOff val="40000"/>
                      </a:schemeClr>
                    </a:solidFill>
                  </a:endParaRPr>
                </a:p>
              </xdr:txBody>
            </xdr:sp>
            <xdr:sp macro="" textlink="'desigh Stairs'!$G$71">
              <xdr:nvSpPr>
                <xdr:cNvPr id="896" name="Rectangle 895"/>
                <xdr:cNvSpPr/>
              </xdr:nvSpPr>
              <xdr:spPr>
                <a:xfrm>
                  <a:off x="4851539" y="18998530"/>
                  <a:ext cx="1053847" cy="2295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951409F5-830A-4AA2-B9B0-B8E87EA8CC8B}" type="TxLink">
                    <a:rPr lang="th-TH" sz="1050">
                      <a:solidFill>
                        <a:schemeClr val="tx2">
                          <a:lumMod val="60000"/>
                          <a:lumOff val="40000"/>
                        </a:schemeClr>
                      </a:solidFill>
                      <a:latin typeface="Times New Roman" pitchFamily="18" charset="0"/>
                    </a:rPr>
                    <a:pPr algn="l"/>
                    <a:t> </a:t>
                  </a:fld>
                  <a:endParaRPr lang="th-TH" sz="1050">
                    <a:solidFill>
                      <a:schemeClr val="tx2">
                        <a:lumMod val="60000"/>
                        <a:lumOff val="40000"/>
                      </a:schemeClr>
                    </a:solidFill>
                    <a:latin typeface="Times New Roman" pitchFamily="18" charset="0"/>
                  </a:endParaRPr>
                </a:p>
              </xdr:txBody>
            </xdr:sp>
            <xdr:sp macro="" textlink="'desigh Stairs'!$J$71">
              <xdr:nvSpPr>
                <xdr:cNvPr id="897" name="Rectangle 896"/>
                <xdr:cNvSpPr/>
              </xdr:nvSpPr>
              <xdr:spPr>
                <a:xfrm>
                  <a:off x="4261675" y="18691607"/>
                  <a:ext cx="809462" cy="2227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652E7A0E-1A28-4EC6-AC56-23927DBC6405}" type="TxLink">
                    <a:rPr lang="th-TH" sz="1050">
                      <a:solidFill>
                        <a:schemeClr val="tx2">
                          <a:lumMod val="60000"/>
                          <a:lumOff val="40000"/>
                        </a:schemeClr>
                      </a:solidFill>
                      <a:latin typeface="Times New Roman" pitchFamily="18" charset="0"/>
                    </a:rPr>
                    <a:pPr algn="ctr"/>
                    <a:t> </a:t>
                  </a:fld>
                  <a:endParaRPr lang="th-TH" sz="1050">
                    <a:solidFill>
                      <a:schemeClr val="tx2">
                        <a:lumMod val="60000"/>
                        <a:lumOff val="40000"/>
                      </a:schemeClr>
                    </a:solidFill>
                    <a:latin typeface="Times New Roman" pitchFamily="18" charset="0"/>
                  </a:endParaRPr>
                </a:p>
              </xdr:txBody>
            </xdr:sp>
            <xdr:sp macro="" textlink="'desigh Stairs'!$I$71">
              <xdr:nvSpPr>
                <xdr:cNvPr id="898" name="Rectangle 897"/>
                <xdr:cNvSpPr/>
              </xdr:nvSpPr>
              <xdr:spPr>
                <a:xfrm>
                  <a:off x="4216292" y="18693770"/>
                  <a:ext cx="353801" cy="2227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5DC915C4-0C22-4653-A033-F406AC269EC2}" type="TxLink">
                    <a:rPr lang="th-TH" sz="1100" b="1">
                      <a:solidFill>
                        <a:schemeClr val="tx2">
                          <a:lumMod val="60000"/>
                          <a:lumOff val="40000"/>
                        </a:schemeClr>
                      </a:solidFill>
                    </a:rPr>
                    <a:pPr algn="ctr"/>
                    <a:t>   </a:t>
                  </a:fld>
                  <a:endParaRPr lang="th-TH" sz="1100" b="1">
                    <a:solidFill>
                      <a:schemeClr val="tx2">
                        <a:lumMod val="60000"/>
                        <a:lumOff val="40000"/>
                      </a:schemeClr>
                    </a:solidFill>
                  </a:endParaRPr>
                </a:p>
              </xdr:txBody>
            </xdr:sp>
            <xdr:sp macro="" textlink="'desigh Stairs'!$L$71">
              <xdr:nvSpPr>
                <xdr:cNvPr id="899" name="Rectangle 898"/>
                <xdr:cNvSpPr/>
              </xdr:nvSpPr>
              <xdr:spPr>
                <a:xfrm>
                  <a:off x="4872802" y="18703336"/>
                  <a:ext cx="725307" cy="2299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346EE3F2-0C70-4C9E-878E-02FD12FF4EF2}" type="TxLink">
                    <a:rPr lang="th-TH" sz="1050">
                      <a:solidFill>
                        <a:schemeClr val="tx2">
                          <a:lumMod val="60000"/>
                          <a:lumOff val="40000"/>
                        </a:schemeClr>
                      </a:solidFill>
                      <a:latin typeface="Times New Roman" pitchFamily="18" charset="0"/>
                    </a:rPr>
                    <a:pPr algn="ctr"/>
                    <a:t> </a:t>
                  </a:fld>
                  <a:endParaRPr lang="th-TH" sz="1050">
                    <a:solidFill>
                      <a:schemeClr val="tx2">
                        <a:lumMod val="60000"/>
                        <a:lumOff val="40000"/>
                      </a:schemeClr>
                    </a:solidFill>
                    <a:latin typeface="Times New Roman" pitchFamily="18" charset="0"/>
                  </a:endParaRPr>
                </a:p>
              </xdr:txBody>
            </xdr:sp>
            <xdr:sp macro="" textlink="'desigh Stairs'!$K$71">
              <xdr:nvSpPr>
                <xdr:cNvPr id="900" name="Rectangle 899"/>
                <xdr:cNvSpPr/>
              </xdr:nvSpPr>
              <xdr:spPr>
                <a:xfrm>
                  <a:off x="4799821" y="18701163"/>
                  <a:ext cx="350406" cy="2227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A683C0A0-E836-4133-BA1C-02122CBF20BD}" type="TxLink">
                    <a:rPr lang="th-TH" sz="1050">
                      <a:solidFill>
                        <a:schemeClr val="tx2">
                          <a:lumMod val="60000"/>
                          <a:lumOff val="40000"/>
                        </a:schemeClr>
                      </a:solidFill>
                    </a:rPr>
                    <a:pPr algn="ctr"/>
                    <a:t> </a:t>
                  </a:fld>
                  <a:endParaRPr lang="th-TH" sz="1050">
                    <a:solidFill>
                      <a:schemeClr val="tx2">
                        <a:lumMod val="60000"/>
                        <a:lumOff val="40000"/>
                      </a:schemeClr>
                    </a:solidFill>
                  </a:endParaRPr>
                </a:p>
              </xdr:txBody>
            </xdr:sp>
            <xdr:sp macro="" textlink="'desigh Stairs'!L32">
              <xdr:nvSpPr>
                <xdr:cNvPr id="901" name="Rectangle 900"/>
                <xdr:cNvSpPr/>
              </xdr:nvSpPr>
              <xdr:spPr>
                <a:xfrm>
                  <a:off x="3996005" y="19229434"/>
                  <a:ext cx="478234" cy="2610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85762047-5DFA-4444-B5D4-9F8D4C05DBF0}" type="TxLink">
                    <a:rPr lang="th-TH" sz="900">
                      <a:solidFill>
                        <a:schemeClr val="tx2">
                          <a:lumMod val="60000"/>
                          <a:lumOff val="40000"/>
                        </a:schemeClr>
                      </a:solidFill>
                      <a:latin typeface="Times New Roman" pitchFamily="18" charset="0"/>
                    </a:rPr>
                    <a:pPr algn="ctr"/>
                    <a:t>0.25</a:t>
                  </a:fld>
                  <a:endParaRPr lang="th-TH" sz="900">
                    <a:solidFill>
                      <a:schemeClr val="tx2">
                        <a:lumMod val="60000"/>
                        <a:lumOff val="40000"/>
                      </a:schemeClr>
                    </a:solidFill>
                    <a:latin typeface="Times New Roman" pitchFamily="18" charset="0"/>
                  </a:endParaRPr>
                </a:p>
              </xdr:txBody>
            </xdr:sp>
            <xdr:sp macro="" textlink="'desigh Stairs'!L31">
              <xdr:nvSpPr>
                <xdr:cNvPr id="902" name="Rectangle 901"/>
                <xdr:cNvSpPr/>
              </xdr:nvSpPr>
              <xdr:spPr>
                <a:xfrm>
                  <a:off x="4840182" y="19720965"/>
                  <a:ext cx="284865" cy="335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fld id="{1C941E59-0EBE-4E04-A7BA-AC671554E3AA}" type="TxLink">
                    <a:rPr lang="th-TH" sz="900" b="0">
                      <a:solidFill>
                        <a:schemeClr val="tx2">
                          <a:lumMod val="60000"/>
                          <a:lumOff val="40000"/>
                        </a:schemeClr>
                      </a:solidFill>
                    </a:rPr>
                    <a:pPr algn="ctr"/>
                    <a:t>0.18</a:t>
                  </a:fld>
                  <a:endParaRPr lang="th-TH" sz="900" b="0">
                    <a:solidFill>
                      <a:schemeClr val="tx2">
                        <a:lumMod val="60000"/>
                        <a:lumOff val="40000"/>
                      </a:schemeClr>
                    </a:solidFill>
                  </a:endParaRPr>
                </a:p>
              </xdr:txBody>
            </xdr:sp>
          </xdr:grpSp>
          <xdr:sp macro="" textlink="'desigh Stairs'!$M$31">
            <xdr:nvSpPr>
              <xdr:cNvPr id="903" name="Rectangle 902"/>
              <xdr:cNvSpPr/>
            </xdr:nvSpPr>
            <xdr:spPr>
              <a:xfrm>
                <a:off x="4184006" y="19221363"/>
                <a:ext cx="478234" cy="2610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F77B803-C200-4A15-8775-674FC897E97B}" type="TxLink">
                  <a:rPr lang="th-TH" sz="1050">
                    <a:solidFill>
                      <a:schemeClr val="tx2">
                        <a:lumMod val="60000"/>
                        <a:lumOff val="40000"/>
                      </a:schemeClr>
                    </a:solidFill>
                    <a:latin typeface="Times New Roman" pitchFamily="18" charset="0"/>
                  </a:rPr>
                  <a:pPr algn="ctr"/>
                  <a:t>m.</a:t>
                </a:fld>
                <a:endParaRPr lang="th-TH" sz="1050">
                  <a:solidFill>
                    <a:schemeClr val="tx2">
                      <a:lumMod val="60000"/>
                      <a:lumOff val="40000"/>
                    </a:schemeClr>
                  </a:solidFill>
                  <a:latin typeface="Times New Roman" pitchFamily="18" charset="0"/>
                </a:endParaRPr>
              </a:p>
            </xdr:txBody>
          </xdr:sp>
          <xdr:sp macro="" textlink="'desigh Stairs'!M31">
            <xdr:nvSpPr>
              <xdr:cNvPr id="904" name="Rectangle 903"/>
              <xdr:cNvSpPr/>
            </xdr:nvSpPr>
            <xdr:spPr>
              <a:xfrm>
                <a:off x="4848255" y="19912522"/>
                <a:ext cx="284865" cy="335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fld id="{DF596312-60C2-49D7-BFBB-A871919E362C}" type="TxLink">
                  <a:rPr lang="th-TH" sz="1000" b="0">
                    <a:solidFill>
                      <a:schemeClr val="tx2">
                        <a:lumMod val="60000"/>
                        <a:lumOff val="40000"/>
                      </a:schemeClr>
                    </a:solidFill>
                  </a:rPr>
                  <a:pPr algn="ctr"/>
                  <a:t>m.</a:t>
                </a:fld>
                <a:endParaRPr lang="th-TH" sz="1000" b="0">
                  <a:solidFill>
                    <a:schemeClr val="tx2">
                      <a:lumMod val="60000"/>
                      <a:lumOff val="40000"/>
                    </a:schemeClr>
                  </a:solidFill>
                </a:endParaRPr>
              </a:p>
            </xdr:txBody>
          </xdr:sp>
        </xdr:grpSp>
      </xdr:grpSp>
      <xdr:grpSp>
        <xdr:nvGrpSpPr>
          <xdr:cNvPr id="1282" name="Group 1281"/>
          <xdr:cNvGrpSpPr/>
        </xdr:nvGrpSpPr>
        <xdr:grpSpPr>
          <a:xfrm>
            <a:off x="5851255" y="21125359"/>
            <a:ext cx="3080618" cy="687400"/>
            <a:chOff x="6443025" y="15320553"/>
            <a:chExt cx="3119581" cy="705130"/>
          </a:xfrm>
        </xdr:grpSpPr>
        <xdr:cxnSp macro="">
          <xdr:nvCxnSpPr>
            <xdr:cNvPr id="1283" name="Straight Connector 1282"/>
            <xdr:cNvCxnSpPr/>
          </xdr:nvCxnSpPr>
          <xdr:spPr>
            <a:xfrm>
              <a:off x="6445357" y="15330609"/>
              <a:ext cx="360000"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84" name="Straight Connector 1283"/>
            <xdr:cNvCxnSpPr/>
          </xdr:nvCxnSpPr>
          <xdr:spPr>
            <a:xfrm rot="5400000">
              <a:off x="6099766" y="15663812"/>
              <a:ext cx="688106"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85" name="Straight Connector 1284"/>
            <xdr:cNvCxnSpPr/>
          </xdr:nvCxnSpPr>
          <xdr:spPr>
            <a:xfrm>
              <a:off x="6443611" y="16005792"/>
              <a:ext cx="360000"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86" name="Straight Connector 1285"/>
            <xdr:cNvCxnSpPr/>
          </xdr:nvCxnSpPr>
          <xdr:spPr>
            <a:xfrm>
              <a:off x="9199741" y="15326286"/>
              <a:ext cx="360000"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87" name="Straight Connector 1286"/>
            <xdr:cNvCxnSpPr/>
          </xdr:nvCxnSpPr>
          <xdr:spPr>
            <a:xfrm rot="5400000">
              <a:off x="9208936" y="15672043"/>
              <a:ext cx="701565"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88" name="Straight Connector 1287"/>
            <xdr:cNvCxnSpPr/>
          </xdr:nvCxnSpPr>
          <xdr:spPr>
            <a:xfrm>
              <a:off x="9202606" y="16014291"/>
              <a:ext cx="360000"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89" name="Straight Connector 1288"/>
            <xdr:cNvCxnSpPr/>
          </xdr:nvCxnSpPr>
          <xdr:spPr>
            <a:xfrm>
              <a:off x="6789984" y="15680367"/>
              <a:ext cx="2418030" cy="1"/>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90" name="Straight Connector 1289"/>
            <xdr:cNvCxnSpPr/>
          </xdr:nvCxnSpPr>
          <xdr:spPr>
            <a:xfrm>
              <a:off x="6795913" y="15896077"/>
              <a:ext cx="2416474"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91" name="Straight Connector 1290"/>
            <xdr:cNvCxnSpPr/>
          </xdr:nvCxnSpPr>
          <xdr:spPr>
            <a:xfrm>
              <a:off x="6800238" y="15361842"/>
              <a:ext cx="2405850" cy="1588"/>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92" name="Straight Connector 1291"/>
            <xdr:cNvCxnSpPr/>
          </xdr:nvCxnSpPr>
          <xdr:spPr>
            <a:xfrm>
              <a:off x="6479595" y="15381109"/>
              <a:ext cx="288000"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93" name="Straight Connector 1292"/>
            <xdr:cNvCxnSpPr/>
          </xdr:nvCxnSpPr>
          <xdr:spPr>
            <a:xfrm>
              <a:off x="9238750" y="15387565"/>
              <a:ext cx="288000"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94" name="Straight Connector 1293"/>
            <xdr:cNvCxnSpPr/>
          </xdr:nvCxnSpPr>
          <xdr:spPr>
            <a:xfrm rot="5400000">
              <a:off x="6198531" y="15660958"/>
              <a:ext cx="571559"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95" name="Straight Connector 1294"/>
            <xdr:cNvCxnSpPr/>
          </xdr:nvCxnSpPr>
          <xdr:spPr>
            <a:xfrm rot="5400000">
              <a:off x="6476547" y="15664639"/>
              <a:ext cx="571559"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96" name="Straight Connector 1295"/>
            <xdr:cNvCxnSpPr/>
          </xdr:nvCxnSpPr>
          <xdr:spPr>
            <a:xfrm>
              <a:off x="6474882" y="15943527"/>
              <a:ext cx="288000"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97" name="Straight Connector 1296"/>
            <xdr:cNvCxnSpPr/>
          </xdr:nvCxnSpPr>
          <xdr:spPr>
            <a:xfrm rot="5400000">
              <a:off x="8955223" y="15667711"/>
              <a:ext cx="576485"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98" name="Straight Connector 1297"/>
            <xdr:cNvCxnSpPr/>
          </xdr:nvCxnSpPr>
          <xdr:spPr>
            <a:xfrm rot="5400000">
              <a:off x="9232184" y="15668617"/>
              <a:ext cx="576485"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99" name="Straight Connector 1298"/>
            <xdr:cNvCxnSpPr/>
          </xdr:nvCxnSpPr>
          <xdr:spPr>
            <a:xfrm>
              <a:off x="9240102" y="15951866"/>
              <a:ext cx="288000"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00" name="Straight Connector 1299"/>
            <xdr:cNvCxnSpPr/>
          </xdr:nvCxnSpPr>
          <xdr:spPr>
            <a:xfrm>
              <a:off x="6494933" y="15815976"/>
              <a:ext cx="3011152" cy="1588"/>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301" name="Straight Connector 1300"/>
            <xdr:cNvCxnSpPr/>
          </xdr:nvCxnSpPr>
          <xdr:spPr>
            <a:xfrm rot="5400000">
              <a:off x="6625227" y="15501955"/>
              <a:ext cx="344053"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02" name="Straight Connector 1301"/>
            <xdr:cNvCxnSpPr/>
          </xdr:nvCxnSpPr>
          <xdr:spPr>
            <a:xfrm rot="5400000">
              <a:off x="9032733" y="15503675"/>
              <a:ext cx="345383"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03" name="Straight Connector 1302"/>
            <xdr:cNvCxnSpPr/>
          </xdr:nvCxnSpPr>
          <xdr:spPr>
            <a:xfrm rot="5400000">
              <a:off x="6737824" y="15949340"/>
              <a:ext cx="118026" cy="0"/>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04" name="Straight Connector 1303"/>
            <xdr:cNvCxnSpPr/>
          </xdr:nvCxnSpPr>
          <xdr:spPr>
            <a:xfrm rot="5400000">
              <a:off x="9139546" y="15961685"/>
              <a:ext cx="127997" cy="0"/>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05" name="Straight Connector 1304"/>
            <xdr:cNvCxnSpPr/>
          </xdr:nvCxnSpPr>
          <xdr:spPr>
            <a:xfrm>
              <a:off x="6484195" y="15436038"/>
              <a:ext cx="3032306" cy="1588"/>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1306" name="Freeform 1305"/>
            <xdr:cNvSpPr/>
          </xdr:nvSpPr>
          <xdr:spPr>
            <a:xfrm>
              <a:off x="6486629" y="15738999"/>
              <a:ext cx="122754" cy="85283"/>
            </a:xfrm>
            <a:custGeom>
              <a:avLst/>
              <a:gdLst>
                <a:gd name="connsiteX0" fmla="*/ 17536 w 122754"/>
                <a:gd name="connsiteY0" fmla="*/ 77530 h 77530"/>
                <a:gd name="connsiteX1" fmla="*/ 17536 w 122754"/>
                <a:gd name="connsiteY1" fmla="*/ 11076 h 77530"/>
                <a:gd name="connsiteX2" fmla="*/ 122754 w 122754"/>
                <a:gd name="connsiteY2" fmla="*/ 11076 h 77530"/>
              </a:gdLst>
              <a:ahLst/>
              <a:cxnLst>
                <a:cxn ang="0">
                  <a:pos x="connsiteX0" y="connsiteY0"/>
                </a:cxn>
                <a:cxn ang="0">
                  <a:pos x="connsiteX1" y="connsiteY1"/>
                </a:cxn>
                <a:cxn ang="0">
                  <a:pos x="connsiteX2" y="connsiteY2"/>
                </a:cxn>
              </a:cxnLst>
              <a:rect l="l" t="t" r="r" b="b"/>
              <a:pathLst>
                <a:path w="122754" h="77530">
                  <a:moveTo>
                    <a:pt x="17536" y="77530"/>
                  </a:moveTo>
                  <a:cubicBezTo>
                    <a:pt x="8768" y="49841"/>
                    <a:pt x="0" y="22152"/>
                    <a:pt x="17536" y="11076"/>
                  </a:cubicBezTo>
                  <a:cubicBezTo>
                    <a:pt x="35072" y="0"/>
                    <a:pt x="94142" y="15691"/>
                    <a:pt x="122754" y="11076"/>
                  </a:cubicBezTo>
                </a:path>
              </a:pathLst>
            </a:custGeom>
            <a:noFill/>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sp macro="" textlink="">
          <xdr:nvSpPr>
            <xdr:cNvPr id="1307" name="Freeform 1306"/>
            <xdr:cNvSpPr/>
          </xdr:nvSpPr>
          <xdr:spPr>
            <a:xfrm>
              <a:off x="9390435" y="15746357"/>
              <a:ext cx="129214" cy="71992"/>
            </a:xfrm>
            <a:custGeom>
              <a:avLst/>
              <a:gdLst>
                <a:gd name="connsiteX0" fmla="*/ 110755 w 129214"/>
                <a:gd name="connsiteY0" fmla="*/ 71992 h 71992"/>
                <a:gd name="connsiteX1" fmla="*/ 110755 w 129214"/>
                <a:gd name="connsiteY1" fmla="*/ 11076 h 71992"/>
                <a:gd name="connsiteX2" fmla="*/ 0 w 129214"/>
                <a:gd name="connsiteY2" fmla="*/ 5538 h 71992"/>
              </a:gdLst>
              <a:ahLst/>
              <a:cxnLst>
                <a:cxn ang="0">
                  <a:pos x="connsiteX0" y="connsiteY0"/>
                </a:cxn>
                <a:cxn ang="0">
                  <a:pos x="connsiteX1" y="connsiteY1"/>
                </a:cxn>
                <a:cxn ang="0">
                  <a:pos x="connsiteX2" y="connsiteY2"/>
                </a:cxn>
              </a:cxnLst>
              <a:rect l="l" t="t" r="r" b="b"/>
              <a:pathLst>
                <a:path w="129214" h="71992">
                  <a:moveTo>
                    <a:pt x="110755" y="71992"/>
                  </a:moveTo>
                  <a:cubicBezTo>
                    <a:pt x="119984" y="47072"/>
                    <a:pt x="129214" y="22152"/>
                    <a:pt x="110755" y="11076"/>
                  </a:cubicBezTo>
                  <a:cubicBezTo>
                    <a:pt x="92296" y="0"/>
                    <a:pt x="15690" y="11999"/>
                    <a:pt x="0" y="5538"/>
                  </a:cubicBezTo>
                </a:path>
              </a:pathLst>
            </a:custGeom>
            <a:noFill/>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cxnSp macro="">
          <xdr:nvCxnSpPr>
            <xdr:cNvPr id="1308" name="Straight Connector 1307"/>
            <xdr:cNvCxnSpPr/>
          </xdr:nvCxnSpPr>
          <xdr:spPr>
            <a:xfrm rot="5400000">
              <a:off x="6886474" y="15548709"/>
              <a:ext cx="223753"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309" name="Straight Connector 1308"/>
            <xdr:cNvCxnSpPr/>
          </xdr:nvCxnSpPr>
          <xdr:spPr>
            <a:xfrm rot="5400000">
              <a:off x="7107984" y="15554245"/>
              <a:ext cx="223753"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310" name="Straight Connector 1309"/>
            <xdr:cNvCxnSpPr/>
          </xdr:nvCxnSpPr>
          <xdr:spPr>
            <a:xfrm rot="5400000">
              <a:off x="7351646" y="15554246"/>
              <a:ext cx="223753"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311" name="Straight Connector 1310"/>
            <xdr:cNvCxnSpPr/>
          </xdr:nvCxnSpPr>
          <xdr:spPr>
            <a:xfrm rot="5400000">
              <a:off x="7599184" y="15548709"/>
              <a:ext cx="223753"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312" name="Straight Connector 1311"/>
            <xdr:cNvCxnSpPr/>
          </xdr:nvCxnSpPr>
          <xdr:spPr>
            <a:xfrm rot="5400000">
              <a:off x="7859460" y="15554246"/>
              <a:ext cx="223753"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313" name="Straight Connector 1312"/>
            <xdr:cNvCxnSpPr/>
          </xdr:nvCxnSpPr>
          <xdr:spPr>
            <a:xfrm rot="5400000">
              <a:off x="8114197" y="15554246"/>
              <a:ext cx="223753"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314" name="Straight Connector 1313"/>
            <xdr:cNvCxnSpPr/>
          </xdr:nvCxnSpPr>
          <xdr:spPr>
            <a:xfrm rot="5400000">
              <a:off x="8367273" y="15554246"/>
              <a:ext cx="223753"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315" name="Straight Connector 1314"/>
            <xdr:cNvCxnSpPr/>
          </xdr:nvCxnSpPr>
          <xdr:spPr>
            <a:xfrm rot="5400000">
              <a:off x="8616474" y="15554246"/>
              <a:ext cx="223753"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316" name="Straight Connector 1315"/>
            <xdr:cNvCxnSpPr/>
          </xdr:nvCxnSpPr>
          <xdr:spPr>
            <a:xfrm rot="5400000">
              <a:off x="8849060" y="15554246"/>
              <a:ext cx="223753"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317" name="Straight Connector 1316"/>
            <xdr:cNvCxnSpPr/>
          </xdr:nvCxnSpPr>
          <xdr:spPr>
            <a:xfrm rot="5400000">
              <a:off x="6723789" y="15746904"/>
              <a:ext cx="151753" cy="1588"/>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318" name="Straight Connector 1317"/>
            <xdr:cNvCxnSpPr/>
          </xdr:nvCxnSpPr>
          <xdr:spPr>
            <a:xfrm rot="5400000">
              <a:off x="6921675" y="15746719"/>
              <a:ext cx="151753" cy="1588"/>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319" name="Straight Connector 1318"/>
            <xdr:cNvCxnSpPr/>
          </xdr:nvCxnSpPr>
          <xdr:spPr>
            <a:xfrm rot="5400000">
              <a:off x="7143186" y="15746719"/>
              <a:ext cx="151753" cy="1588"/>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320" name="Straight Connector 1319"/>
            <xdr:cNvCxnSpPr/>
          </xdr:nvCxnSpPr>
          <xdr:spPr>
            <a:xfrm rot="5400000">
              <a:off x="7386849" y="15746719"/>
              <a:ext cx="151753" cy="1588"/>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321" name="Straight Connector 1320"/>
            <xdr:cNvCxnSpPr/>
          </xdr:nvCxnSpPr>
          <xdr:spPr>
            <a:xfrm rot="5400000">
              <a:off x="7634389" y="15746719"/>
              <a:ext cx="151753" cy="1588"/>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322" name="Straight Connector 1321"/>
            <xdr:cNvCxnSpPr/>
          </xdr:nvCxnSpPr>
          <xdr:spPr>
            <a:xfrm rot="5400000">
              <a:off x="7894665" y="15746719"/>
              <a:ext cx="151753" cy="1588"/>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323" name="Straight Connector 1322"/>
            <xdr:cNvCxnSpPr/>
          </xdr:nvCxnSpPr>
          <xdr:spPr>
            <a:xfrm rot="5400000">
              <a:off x="8148726" y="15746719"/>
              <a:ext cx="151753" cy="1588"/>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324" name="Straight Connector 1323"/>
            <xdr:cNvCxnSpPr/>
          </xdr:nvCxnSpPr>
          <xdr:spPr>
            <a:xfrm rot="5400000">
              <a:off x="8407340" y="15746719"/>
              <a:ext cx="151753" cy="1588"/>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325" name="Straight Connector 1324"/>
            <xdr:cNvCxnSpPr/>
          </xdr:nvCxnSpPr>
          <xdr:spPr>
            <a:xfrm rot="5400000">
              <a:off x="8651681" y="15746719"/>
              <a:ext cx="151753" cy="1588"/>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326" name="Straight Connector 1325"/>
            <xdr:cNvCxnSpPr/>
          </xdr:nvCxnSpPr>
          <xdr:spPr>
            <a:xfrm rot="5400000">
              <a:off x="8884268" y="15742537"/>
              <a:ext cx="151753" cy="1588"/>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327" name="Straight Connector 1326"/>
            <xdr:cNvCxnSpPr/>
          </xdr:nvCxnSpPr>
          <xdr:spPr>
            <a:xfrm rot="5400000">
              <a:off x="9129773" y="15746906"/>
              <a:ext cx="151753" cy="1588"/>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1328" name="Flowchart: Connector 1327"/>
            <xdr:cNvSpPr/>
          </xdr:nvSpPr>
          <xdr:spPr>
            <a:xfrm>
              <a:off x="6500272" y="15408270"/>
              <a:ext cx="10800" cy="10800"/>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329" name="Flowchart: Connector 1328"/>
            <xdr:cNvSpPr/>
          </xdr:nvSpPr>
          <xdr:spPr>
            <a:xfrm>
              <a:off x="6732348" y="15408271"/>
              <a:ext cx="10800" cy="10800"/>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330" name="Flowchart: Connector 1329"/>
            <xdr:cNvSpPr/>
          </xdr:nvSpPr>
          <xdr:spPr>
            <a:xfrm>
              <a:off x="6507819" y="15914357"/>
              <a:ext cx="10800" cy="10800"/>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331" name="Flowchart: Connector 1330"/>
            <xdr:cNvSpPr/>
          </xdr:nvSpPr>
          <xdr:spPr>
            <a:xfrm>
              <a:off x="6733027" y="15911859"/>
              <a:ext cx="10800" cy="10800"/>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332" name="Flowchart: Connector 1331"/>
            <xdr:cNvSpPr/>
          </xdr:nvSpPr>
          <xdr:spPr>
            <a:xfrm>
              <a:off x="6510644" y="15839536"/>
              <a:ext cx="10800" cy="10800"/>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333" name="Flowchart: Connector 1332"/>
            <xdr:cNvSpPr/>
          </xdr:nvSpPr>
          <xdr:spPr>
            <a:xfrm>
              <a:off x="6732279" y="15839467"/>
              <a:ext cx="10800" cy="10800"/>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334" name="Flowchart: Connector 1333"/>
            <xdr:cNvSpPr/>
          </xdr:nvSpPr>
          <xdr:spPr>
            <a:xfrm>
              <a:off x="9261524" y="15410499"/>
              <a:ext cx="10800" cy="10800"/>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335" name="Flowchart: Connector 1334"/>
            <xdr:cNvSpPr/>
          </xdr:nvSpPr>
          <xdr:spPr>
            <a:xfrm>
              <a:off x="9487201" y="15409391"/>
              <a:ext cx="10800" cy="10800"/>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336" name="Flowchart: Connector 1335"/>
            <xdr:cNvSpPr/>
          </xdr:nvSpPr>
          <xdr:spPr>
            <a:xfrm>
              <a:off x="9256109" y="15922256"/>
              <a:ext cx="10800" cy="10800"/>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337" name="Flowchart: Connector 1336"/>
            <xdr:cNvSpPr/>
          </xdr:nvSpPr>
          <xdr:spPr>
            <a:xfrm>
              <a:off x="9490113" y="15921578"/>
              <a:ext cx="10800" cy="10800"/>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338" name="Flowchart: Connector 1337"/>
            <xdr:cNvSpPr/>
          </xdr:nvSpPr>
          <xdr:spPr>
            <a:xfrm>
              <a:off x="9262876" y="15841416"/>
              <a:ext cx="10800" cy="10800"/>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339" name="Flowchart: Connector 1338"/>
            <xdr:cNvSpPr/>
          </xdr:nvSpPr>
          <xdr:spPr>
            <a:xfrm>
              <a:off x="9489926" y="15839153"/>
              <a:ext cx="10800" cy="10800"/>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grpSp>
      <xdr:cxnSp macro="">
        <xdr:nvCxnSpPr>
          <xdr:cNvPr id="1548" name="Straight Connector 1547"/>
          <xdr:cNvCxnSpPr/>
        </xdr:nvCxnSpPr>
        <xdr:spPr>
          <a:xfrm rot="5400000">
            <a:off x="5932239" y="22102768"/>
            <a:ext cx="242080" cy="1588"/>
          </a:xfrm>
          <a:prstGeom prst="line">
            <a:avLst/>
          </a:prstGeom>
          <a:ln w="3175">
            <a:solidFill>
              <a:schemeClr val="tx1">
                <a:lumMod val="85000"/>
                <a:lumOff val="1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550" name="Straight Connector 1549"/>
          <xdr:cNvCxnSpPr/>
        </xdr:nvCxnSpPr>
        <xdr:spPr>
          <a:xfrm rot="5400000">
            <a:off x="8645977" y="22102580"/>
            <a:ext cx="241702" cy="1588"/>
          </a:xfrm>
          <a:prstGeom prst="line">
            <a:avLst/>
          </a:prstGeom>
          <a:ln w="3175">
            <a:solidFill>
              <a:schemeClr val="tx1">
                <a:lumMod val="85000"/>
                <a:lumOff val="1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552" name="Straight Arrow Connector 1551"/>
          <xdr:cNvCxnSpPr/>
        </xdr:nvCxnSpPr>
        <xdr:spPr>
          <a:xfrm>
            <a:off x="6053279" y="22120281"/>
            <a:ext cx="2722536" cy="1633"/>
          </a:xfrm>
          <a:prstGeom prst="straightConnector1">
            <a:avLst/>
          </a:prstGeom>
          <a:ln w="3175">
            <a:solidFill>
              <a:schemeClr val="tx1">
                <a:lumMod val="85000"/>
                <a:lumOff val="15000"/>
              </a:schemeClr>
            </a:solidFill>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desigh Stairs'!$J$15">
        <xdr:nvSpPr>
          <xdr:cNvPr id="1553" name="Rectangle 1552"/>
          <xdr:cNvSpPr/>
        </xdr:nvSpPr>
        <xdr:spPr>
          <a:xfrm>
            <a:off x="6959685" y="22111042"/>
            <a:ext cx="1008651" cy="2556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EF81DE8-263A-45DA-A7FB-9006ACE8CF21}" type="TxLink">
              <a:rPr lang="th-TH" sz="1050" b="0">
                <a:solidFill>
                  <a:srgbClr val="0070C0"/>
                </a:solidFill>
              </a:rPr>
              <a:pPr algn="ctr"/>
              <a:t>1.50 m.</a:t>
            </a:fld>
            <a:endParaRPr lang="th-TH" sz="1050" b="0">
              <a:solidFill>
                <a:srgbClr val="0070C0"/>
              </a:solidFill>
            </a:endParaRPr>
          </a:p>
        </xdr:txBody>
      </xdr:sp>
      <xdr:grpSp>
        <xdr:nvGrpSpPr>
          <xdr:cNvPr id="1951" name="Group 1950"/>
          <xdr:cNvGrpSpPr/>
        </xdr:nvGrpSpPr>
        <xdr:grpSpPr>
          <a:xfrm>
            <a:off x="5705292" y="18447398"/>
            <a:ext cx="3263666" cy="2270557"/>
            <a:chOff x="5642199" y="35913741"/>
            <a:chExt cx="3256906" cy="2270557"/>
          </a:xfrm>
        </xdr:grpSpPr>
        <xdr:grpSp>
          <xdr:nvGrpSpPr>
            <xdr:cNvPr id="1952" name="Group 1135"/>
            <xdr:cNvGrpSpPr/>
          </xdr:nvGrpSpPr>
          <xdr:grpSpPr>
            <a:xfrm>
              <a:off x="5695932" y="35981016"/>
              <a:ext cx="3106289" cy="2203282"/>
              <a:chOff x="6271344" y="13876118"/>
              <a:chExt cx="3155246" cy="2090942"/>
            </a:xfrm>
          </xdr:grpSpPr>
          <xdr:grpSp>
            <xdr:nvGrpSpPr>
              <xdr:cNvPr id="1954" name="Group 465"/>
              <xdr:cNvGrpSpPr/>
            </xdr:nvGrpSpPr>
            <xdr:grpSpPr>
              <a:xfrm>
                <a:off x="6271344" y="13876118"/>
                <a:ext cx="2018276" cy="2090942"/>
                <a:chOff x="14473235" y="4892399"/>
                <a:chExt cx="3598082" cy="4480145"/>
              </a:xfrm>
            </xdr:grpSpPr>
            <xdr:grpSp>
              <xdr:nvGrpSpPr>
                <xdr:cNvPr id="1975" name="Group 460"/>
                <xdr:cNvGrpSpPr/>
              </xdr:nvGrpSpPr>
              <xdr:grpSpPr>
                <a:xfrm>
                  <a:off x="14473235" y="4892399"/>
                  <a:ext cx="3598082" cy="4480145"/>
                  <a:chOff x="14473235" y="4892399"/>
                  <a:chExt cx="3598082" cy="4480145"/>
                </a:xfrm>
                <a:noFill/>
              </xdr:grpSpPr>
              <xdr:grpSp>
                <xdr:nvGrpSpPr>
                  <xdr:cNvPr id="1979" name="Group 448"/>
                  <xdr:cNvGrpSpPr/>
                </xdr:nvGrpSpPr>
                <xdr:grpSpPr>
                  <a:xfrm>
                    <a:off x="14473235" y="4892399"/>
                    <a:ext cx="3598082" cy="4480145"/>
                    <a:chOff x="14473235" y="4892399"/>
                    <a:chExt cx="3598082" cy="4480145"/>
                  </a:xfrm>
                  <a:grpFill/>
                </xdr:grpSpPr>
                <xdr:grpSp>
                  <xdr:nvGrpSpPr>
                    <xdr:cNvPr id="1990" name="Group 428"/>
                    <xdr:cNvGrpSpPr/>
                  </xdr:nvGrpSpPr>
                  <xdr:grpSpPr>
                    <a:xfrm>
                      <a:off x="14473235" y="4892399"/>
                      <a:ext cx="3598082" cy="4480145"/>
                      <a:chOff x="14511335" y="4905099"/>
                      <a:chExt cx="3598082" cy="4480145"/>
                    </a:xfrm>
                    <a:grpFill/>
                  </xdr:grpSpPr>
                  <xdr:grpSp>
                    <xdr:nvGrpSpPr>
                      <xdr:cNvPr id="1994" name="Group 418"/>
                      <xdr:cNvGrpSpPr/>
                    </xdr:nvGrpSpPr>
                    <xdr:grpSpPr>
                      <a:xfrm>
                        <a:off x="14511335" y="5057696"/>
                        <a:ext cx="3598082" cy="4327548"/>
                        <a:chOff x="14511331" y="5057696"/>
                        <a:chExt cx="3598082" cy="4327548"/>
                      </a:xfrm>
                      <a:grpFill/>
                    </xdr:grpSpPr>
                    <xdr:grpSp>
                      <xdr:nvGrpSpPr>
                        <xdr:cNvPr id="1996" name="Group 406"/>
                        <xdr:cNvGrpSpPr/>
                      </xdr:nvGrpSpPr>
                      <xdr:grpSpPr>
                        <a:xfrm>
                          <a:off x="14511331" y="5057696"/>
                          <a:ext cx="3598082" cy="4327548"/>
                          <a:chOff x="14479741" y="4930696"/>
                          <a:chExt cx="3600004" cy="4327548"/>
                        </a:xfrm>
                        <a:grpFill/>
                      </xdr:grpSpPr>
                      <xdr:graphicFrame macro="">
                        <xdr:nvGraphicFramePr>
                          <xdr:cNvPr id="2006" name="Chart 2005"/>
                          <xdr:cNvGraphicFramePr/>
                        </xdr:nvGraphicFramePr>
                        <xdr:xfrm>
                          <a:off x="14479743" y="4930698"/>
                          <a:ext cx="3600002" cy="43200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2007" name="Chart 2006"/>
                          <xdr:cNvGraphicFramePr/>
                        </xdr:nvGraphicFramePr>
                        <xdr:xfrm>
                          <a:off x="14479741" y="4930696"/>
                          <a:ext cx="3600002" cy="4327548"/>
                        </xdr:xfrm>
                        <a:graphic>
                          <a:graphicData uri="http://schemas.openxmlformats.org/drawingml/2006/chart">
                            <c:chart xmlns:c="http://schemas.openxmlformats.org/drawingml/2006/chart" xmlns:r="http://schemas.openxmlformats.org/officeDocument/2006/relationships" r:id="rId6"/>
                          </a:graphicData>
                        </a:graphic>
                      </xdr:graphicFrame>
                    </xdr:grpSp>
                    <xdr:sp macro="" textlink="'desigh Stairs'!$BG$21">
                      <xdr:nvSpPr>
                        <xdr:cNvPr id="1997" name="Rectangle 1996"/>
                        <xdr:cNvSpPr>
                          <a:spLocks noChangeAspect="1"/>
                        </xdr:cNvSpPr>
                      </xdr:nvSpPr>
                      <xdr:spPr>
                        <a:xfrm>
                          <a:off x="14871694" y="7434913"/>
                          <a:ext cx="967499" cy="458288"/>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8E446B01-D646-46CD-B11E-32D7D97B7812}" type="TxLink">
                            <a:rPr lang="th-TH" sz="800">
                              <a:solidFill>
                                <a:schemeClr val="tx1"/>
                              </a:solidFill>
                            </a:rPr>
                            <a:pPr algn="l"/>
                            <a:t> </a:t>
                          </a:fld>
                          <a:endParaRPr lang="th-TH" sz="800">
                            <a:solidFill>
                              <a:schemeClr val="tx1"/>
                            </a:solidFill>
                          </a:endParaRPr>
                        </a:p>
                      </xdr:txBody>
                    </xdr:sp>
                    <xdr:sp macro="" textlink="'desigh Stairs'!$BG$22">
                      <xdr:nvSpPr>
                        <xdr:cNvPr id="1998" name="Rectangle 1997"/>
                        <xdr:cNvSpPr>
                          <a:spLocks/>
                        </xdr:cNvSpPr>
                      </xdr:nvSpPr>
                      <xdr:spPr>
                        <a:xfrm>
                          <a:off x="14858992" y="7193173"/>
                          <a:ext cx="1056007" cy="41558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CAF885F0-F42C-4703-8D01-964A8D059A74}" type="TxLink">
                            <a:rPr lang="th-TH" sz="800">
                              <a:solidFill>
                                <a:schemeClr val="tx1"/>
                              </a:solidFill>
                            </a:rPr>
                            <a:pPr algn="l"/>
                            <a:t> </a:t>
                          </a:fld>
                          <a:endParaRPr lang="th-TH" sz="800">
                            <a:solidFill>
                              <a:schemeClr val="tx1"/>
                            </a:solidFill>
                          </a:endParaRPr>
                        </a:p>
                      </xdr:txBody>
                    </xdr:sp>
                    <xdr:sp macro="" textlink="'desigh Stairs'!$BG$24">
                      <xdr:nvSpPr>
                        <xdr:cNvPr id="1999" name="Rectangle 1998"/>
                        <xdr:cNvSpPr>
                          <a:spLocks/>
                        </xdr:cNvSpPr>
                      </xdr:nvSpPr>
                      <xdr:spPr>
                        <a:xfrm>
                          <a:off x="14676556" y="6617614"/>
                          <a:ext cx="1319366" cy="364656"/>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B750A037-2408-42E2-8154-D1B71C1891A5}" type="TxLink">
                            <a:rPr lang="th-TH" sz="900">
                              <a:solidFill>
                                <a:schemeClr val="tx1"/>
                              </a:solidFill>
                            </a:rPr>
                            <a:pPr algn="l"/>
                            <a:t>30 cm.</a:t>
                          </a:fld>
                          <a:endParaRPr lang="th-TH" sz="900">
                            <a:solidFill>
                              <a:schemeClr val="tx1"/>
                            </a:solidFill>
                          </a:endParaRPr>
                        </a:p>
                      </xdr:txBody>
                    </xdr:sp>
                    <xdr:sp macro="" textlink="'desigh Stairs'!BG$25">
                      <xdr:nvSpPr>
                        <xdr:cNvPr id="2000" name="Rectangle 1999"/>
                        <xdr:cNvSpPr>
                          <a:spLocks/>
                        </xdr:cNvSpPr>
                      </xdr:nvSpPr>
                      <xdr:spPr>
                        <a:xfrm>
                          <a:off x="14876554" y="6386677"/>
                          <a:ext cx="995253" cy="377728"/>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4D49D5FC-594C-4656-8955-A362048B0A6B}" type="TxLink">
                            <a:rPr lang="th-TH" sz="800">
                              <a:solidFill>
                                <a:schemeClr val="tx1"/>
                              </a:solidFill>
                            </a:rPr>
                            <a:pPr algn="l"/>
                            <a:t> </a:t>
                          </a:fld>
                          <a:endParaRPr lang="th-TH" sz="800">
                            <a:solidFill>
                              <a:schemeClr val="tx1"/>
                            </a:solidFill>
                          </a:endParaRPr>
                        </a:p>
                      </xdr:txBody>
                    </xdr:sp>
                    <xdr:sp macro="" textlink="'desigh Stairs'!$BG$26">
                      <xdr:nvSpPr>
                        <xdr:cNvPr id="2001" name="Rectangle 2000"/>
                        <xdr:cNvSpPr>
                          <a:spLocks noChangeAspect="1"/>
                        </xdr:cNvSpPr>
                      </xdr:nvSpPr>
                      <xdr:spPr>
                        <a:xfrm>
                          <a:off x="14740168" y="6110358"/>
                          <a:ext cx="932255" cy="332183"/>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7AC1A92D-0833-49C3-937C-5EDB995EE40B}" type="TxLink">
                            <a:rPr lang="th-TH" sz="800">
                              <a:solidFill>
                                <a:schemeClr val="tx1"/>
                              </a:solidFill>
                            </a:rPr>
                            <a:pPr algn="l"/>
                            <a:t> </a:t>
                          </a:fld>
                          <a:endParaRPr lang="th-TH" sz="800">
                            <a:solidFill>
                              <a:schemeClr val="tx1"/>
                            </a:solidFill>
                          </a:endParaRPr>
                        </a:p>
                      </xdr:txBody>
                    </xdr:sp>
                    <xdr:sp macro="" textlink="'desigh Stairs'!BG$27">
                      <xdr:nvSpPr>
                        <xdr:cNvPr id="2002" name="Rectangle 2001"/>
                        <xdr:cNvSpPr>
                          <a:spLocks noChangeAspect="1"/>
                        </xdr:cNvSpPr>
                      </xdr:nvSpPr>
                      <xdr:spPr>
                        <a:xfrm>
                          <a:off x="14858990" y="5841210"/>
                          <a:ext cx="1313750" cy="364442"/>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F4EDD874-8ED4-4D43-A9B4-4BA7354CFCC8}" type="TxLink">
                            <a:rPr lang="th-TH" sz="800">
                              <a:solidFill>
                                <a:schemeClr val="tx1"/>
                              </a:solidFill>
                            </a:rPr>
                            <a:pPr algn="l"/>
                            <a:t> </a:t>
                          </a:fld>
                          <a:endParaRPr lang="th-TH" sz="800">
                            <a:solidFill>
                              <a:schemeClr val="tx1"/>
                            </a:solidFill>
                          </a:endParaRPr>
                        </a:p>
                      </xdr:txBody>
                    </xdr:sp>
                    <xdr:sp macro="" textlink="'desigh Stairs'!$BG$28">
                      <xdr:nvSpPr>
                        <xdr:cNvPr id="2003" name="Rectangle 2002"/>
                        <xdr:cNvSpPr>
                          <a:spLocks noChangeAspect="1"/>
                        </xdr:cNvSpPr>
                      </xdr:nvSpPr>
                      <xdr:spPr>
                        <a:xfrm>
                          <a:off x="14815971" y="5484194"/>
                          <a:ext cx="947418" cy="375243"/>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45FBCF9B-D3C1-4BA9-87A8-C7AC14DDD3A6}" type="TxLink">
                            <a:rPr lang="th-TH" sz="900">
                              <a:solidFill>
                                <a:schemeClr val="tx1"/>
                              </a:solidFill>
                            </a:rPr>
                            <a:pPr algn="l"/>
                            <a:t> </a:t>
                          </a:fld>
                          <a:endParaRPr lang="th-TH" sz="900">
                            <a:solidFill>
                              <a:schemeClr val="tx1"/>
                            </a:solidFill>
                          </a:endParaRPr>
                        </a:p>
                      </xdr:txBody>
                    </xdr:sp>
                    <xdr:sp macro="" textlink="'desigh Stairs'!BG$29">
                      <xdr:nvSpPr>
                        <xdr:cNvPr id="2004" name="Rectangle 2003"/>
                        <xdr:cNvSpPr>
                          <a:spLocks noChangeAspect="1"/>
                        </xdr:cNvSpPr>
                      </xdr:nvSpPr>
                      <xdr:spPr>
                        <a:xfrm>
                          <a:off x="14601262" y="5199970"/>
                          <a:ext cx="1071171" cy="457153"/>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fld id="{00D0F0A3-DD45-4F14-B6E8-8FFAD20657EE}" type="TxLink">
                            <a:rPr lang="th-TH" sz="800">
                              <a:solidFill>
                                <a:schemeClr val="tx1"/>
                              </a:solidFill>
                            </a:rPr>
                            <a:pPr algn="r"/>
                            <a:t> </a:t>
                          </a:fld>
                          <a:endParaRPr lang="th-TH" sz="800">
                            <a:solidFill>
                              <a:schemeClr val="tx1"/>
                            </a:solidFill>
                          </a:endParaRPr>
                        </a:p>
                      </xdr:txBody>
                    </xdr:sp>
                    <xdr:sp macro="" textlink="'desigh Stairs'!$BG23">
                      <xdr:nvSpPr>
                        <xdr:cNvPr id="2005" name="Rectangle 2004"/>
                        <xdr:cNvSpPr>
                          <a:spLocks noChangeAspect="1"/>
                        </xdr:cNvSpPr>
                      </xdr:nvSpPr>
                      <xdr:spPr>
                        <a:xfrm>
                          <a:off x="14858998" y="6847676"/>
                          <a:ext cx="919550" cy="52824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46BCD274-7976-4A0B-80B2-D5B002495FCC}" type="TxLink">
                            <a:rPr lang="th-TH" sz="800">
                              <a:solidFill>
                                <a:schemeClr val="tx1"/>
                              </a:solidFill>
                            </a:rPr>
                            <a:pPr algn="l"/>
                            <a:t> </a:t>
                          </a:fld>
                          <a:endParaRPr lang="th-TH" sz="800">
                            <a:solidFill>
                              <a:schemeClr val="tx1"/>
                            </a:solidFill>
                          </a:endParaRPr>
                        </a:p>
                      </xdr:txBody>
                    </xdr:sp>
                  </xdr:grpSp>
                  <xdr:sp macro="" textlink="'desigh Stairs'!BG$30">
                    <xdr:nvSpPr>
                      <xdr:cNvPr id="1995" name="Rectangle 1994"/>
                      <xdr:cNvSpPr>
                        <a:spLocks noChangeAspect="1"/>
                      </xdr:cNvSpPr>
                    </xdr:nvSpPr>
                    <xdr:spPr>
                      <a:xfrm>
                        <a:off x="14768037" y="4905099"/>
                        <a:ext cx="995358" cy="54916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CCE6BECA-819B-4E86-8D26-B1DF02D090DC}" type="TxLink">
                          <a:rPr lang="th-TH" sz="800">
                            <a:solidFill>
                              <a:schemeClr val="tx1"/>
                            </a:solidFill>
                          </a:rPr>
                          <a:pPr algn="l"/>
                          <a:t> </a:t>
                        </a:fld>
                        <a:endParaRPr lang="th-TH" sz="800">
                          <a:solidFill>
                            <a:schemeClr val="tx1"/>
                          </a:solidFill>
                        </a:endParaRPr>
                      </a:p>
                    </xdr:txBody>
                  </xdr:sp>
                </xdr:grpSp>
                <xdr:sp macro="" textlink="'desigh Stairs'!$BH$21">
                  <xdr:nvSpPr>
                    <xdr:cNvPr id="1991" name="Rectangle 1990"/>
                    <xdr:cNvSpPr/>
                  </xdr:nvSpPr>
                  <xdr:spPr>
                    <a:xfrm>
                      <a:off x="16443247" y="8160924"/>
                      <a:ext cx="449460" cy="100221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b"/>
                    <a:lstStyle/>
                    <a:p>
                      <a:pPr algn="ctr"/>
                      <a:fld id="{D107DDE9-83C4-4322-B19A-3D3042A4CA3C}" type="TxLink">
                        <a:rPr lang="th-TH" sz="800">
                          <a:solidFill>
                            <a:schemeClr val="tx1"/>
                          </a:solidFill>
                        </a:rPr>
                        <a:pPr algn="ctr"/>
                        <a:t> </a:t>
                      </a:fld>
                      <a:endParaRPr lang="th-TH" sz="800">
                        <a:solidFill>
                          <a:schemeClr val="tx1"/>
                        </a:solidFill>
                      </a:endParaRPr>
                    </a:p>
                  </xdr:txBody>
                </xdr:sp>
                <xdr:sp macro="" textlink="'desigh Stairs'!BH$22">
                  <xdr:nvSpPr>
                    <xdr:cNvPr id="1992" name="Rectangle 1991"/>
                    <xdr:cNvSpPr/>
                  </xdr:nvSpPr>
                  <xdr:spPr>
                    <a:xfrm>
                      <a:off x="16195293" y="7687160"/>
                      <a:ext cx="424517" cy="892879"/>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fld id="{09162708-5A99-48BF-82E8-2F9910D4D582}" type="TxLink">
                        <a:rPr lang="th-TH" sz="800">
                          <a:solidFill>
                            <a:schemeClr val="tx1"/>
                          </a:solidFill>
                        </a:rPr>
                        <a:pPr algn="ctr"/>
                        <a:t> </a:t>
                      </a:fld>
                      <a:endParaRPr lang="th-TH" sz="800">
                        <a:solidFill>
                          <a:schemeClr val="tx1"/>
                        </a:solidFill>
                      </a:endParaRPr>
                    </a:p>
                  </xdr:txBody>
                </xdr:sp>
                <xdr:sp macro="" textlink="'desigh Stairs'!BH$23">
                  <xdr:nvSpPr>
                    <xdr:cNvPr id="1993" name="Rectangle 1992"/>
                    <xdr:cNvSpPr/>
                  </xdr:nvSpPr>
                  <xdr:spPr>
                    <a:xfrm>
                      <a:off x="16286260" y="7151209"/>
                      <a:ext cx="394195" cy="1137286"/>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t"/>
                    <a:lstStyle/>
                    <a:p>
                      <a:pPr algn="ctr"/>
                      <a:fld id="{DE391D4B-392C-42E0-9A9B-E29FAF866332}" type="TxLink">
                        <a:rPr lang="th-TH" sz="800">
                          <a:solidFill>
                            <a:schemeClr val="tx1"/>
                          </a:solidFill>
                        </a:rPr>
                        <a:pPr algn="ctr"/>
                        <a:t> </a:t>
                      </a:fld>
                      <a:endParaRPr lang="th-TH" sz="800">
                        <a:solidFill>
                          <a:schemeClr val="tx1"/>
                        </a:solidFill>
                      </a:endParaRPr>
                    </a:p>
                  </xdr:txBody>
                </xdr:sp>
              </xdr:grpSp>
              <xdr:sp macro="" textlink="'desigh Stairs'!BF$21">
                <xdr:nvSpPr>
                  <xdr:cNvPr id="1980" name="Rectangle 1979"/>
                  <xdr:cNvSpPr/>
                </xdr:nvSpPr>
                <xdr:spPr>
                  <a:xfrm>
                    <a:off x="15011399" y="7395606"/>
                    <a:ext cx="1062601" cy="364442"/>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89A4AF04-06ED-458D-9DA6-347F6404F4B8}" type="TxLink">
                      <a:rPr lang="th-TH" sz="800">
                        <a:solidFill>
                          <a:schemeClr val="tx1"/>
                        </a:solidFill>
                      </a:rPr>
                      <a:pPr algn="ctr"/>
                      <a:t> </a:t>
                    </a:fld>
                    <a:endParaRPr lang="th-TH" sz="800">
                      <a:solidFill>
                        <a:schemeClr val="tx1"/>
                      </a:solidFill>
                    </a:endParaRPr>
                  </a:p>
                </xdr:txBody>
              </xdr:sp>
              <xdr:sp macro="" textlink="'desigh Stairs'!BF$22">
                <xdr:nvSpPr>
                  <xdr:cNvPr id="1981" name="Rectangle 1980"/>
                  <xdr:cNvSpPr/>
                </xdr:nvSpPr>
                <xdr:spPr>
                  <a:xfrm>
                    <a:off x="15011399" y="7067607"/>
                    <a:ext cx="1092924" cy="474536"/>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fld id="{8842CF78-47A1-414A-B7C2-D2B2F94EC2CC}" type="TxLink">
                      <a:rPr lang="th-TH" sz="800">
                        <a:solidFill>
                          <a:schemeClr val="tx1"/>
                        </a:solidFill>
                      </a:rPr>
                      <a:pPr algn="ctr"/>
                      <a:t> </a:t>
                    </a:fld>
                    <a:endParaRPr lang="th-TH" sz="800">
                      <a:solidFill>
                        <a:schemeClr val="tx1"/>
                      </a:solidFill>
                    </a:endParaRPr>
                  </a:p>
                </xdr:txBody>
              </xdr:sp>
              <xdr:sp macro="" textlink="'desigh Stairs'!BF$23">
                <xdr:nvSpPr>
                  <xdr:cNvPr id="1982" name="Rectangle 1981"/>
                  <xdr:cNvSpPr/>
                </xdr:nvSpPr>
                <xdr:spPr>
                  <a:xfrm>
                    <a:off x="15011399" y="6867163"/>
                    <a:ext cx="1077763" cy="437329"/>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1DBC0138-0309-4DF8-B156-ADFB342B5837}" type="TxLink">
                      <a:rPr lang="th-TH" sz="800">
                        <a:solidFill>
                          <a:schemeClr val="tx1"/>
                        </a:solidFill>
                      </a:rPr>
                      <a:pPr algn="ctr"/>
                      <a:t> </a:t>
                    </a:fld>
                    <a:endParaRPr lang="th-TH" sz="800">
                      <a:solidFill>
                        <a:schemeClr val="tx1"/>
                      </a:solidFill>
                    </a:endParaRPr>
                  </a:p>
                </xdr:txBody>
              </xdr:sp>
              <xdr:sp macro="" textlink="'desigh Stairs'!BF$24">
                <xdr:nvSpPr>
                  <xdr:cNvPr id="1983" name="Rectangle 1982"/>
                  <xdr:cNvSpPr/>
                </xdr:nvSpPr>
                <xdr:spPr>
                  <a:xfrm>
                    <a:off x="14950757" y="6593839"/>
                    <a:ext cx="986795" cy="398343"/>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657B89E-140C-4CFB-A145-B0DA415F8278}" type="TxLink">
                      <a:rPr lang="th-TH" sz="800">
                        <a:solidFill>
                          <a:schemeClr val="tx1"/>
                        </a:solidFill>
                      </a:rPr>
                      <a:pPr algn="ctr"/>
                      <a:t> </a:t>
                    </a:fld>
                    <a:endParaRPr lang="th-TH" sz="800">
                      <a:solidFill>
                        <a:schemeClr val="tx1"/>
                      </a:solidFill>
                    </a:endParaRPr>
                  </a:p>
                </xdr:txBody>
              </xdr:sp>
              <xdr:sp macro="" textlink="'desigh Stairs'!BF$25">
                <xdr:nvSpPr>
                  <xdr:cNvPr id="1984" name="Rectangle 1983"/>
                  <xdr:cNvSpPr/>
                </xdr:nvSpPr>
                <xdr:spPr>
                  <a:xfrm>
                    <a:off x="14950757" y="6302287"/>
                    <a:ext cx="956472" cy="404973"/>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2067E2CD-2001-4AC8-B100-0D8CFD1B9937}" type="TxLink">
                      <a:rPr lang="th-TH" sz="800">
                        <a:solidFill>
                          <a:schemeClr val="tx1"/>
                        </a:solidFill>
                      </a:rPr>
                      <a:pPr algn="ctr"/>
                      <a:t> </a:t>
                    </a:fld>
                    <a:endParaRPr lang="th-TH" sz="800">
                      <a:solidFill>
                        <a:schemeClr val="tx1"/>
                      </a:solidFill>
                    </a:endParaRPr>
                  </a:p>
                </xdr:txBody>
              </xdr:sp>
              <xdr:sp macro="" textlink="'desigh Stairs'!BF$26">
                <xdr:nvSpPr>
                  <xdr:cNvPr id="1985" name="Rectangle 1984"/>
                  <xdr:cNvSpPr/>
                </xdr:nvSpPr>
                <xdr:spPr>
                  <a:xfrm>
                    <a:off x="14996239" y="6065400"/>
                    <a:ext cx="986795" cy="346219"/>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18D6AAD5-D983-4C8A-8686-4EA77FB6637D}" type="TxLink">
                      <a:rPr lang="th-TH" sz="800">
                        <a:solidFill>
                          <a:schemeClr val="tx1"/>
                        </a:solidFill>
                      </a:rPr>
                      <a:pPr algn="ctr"/>
                      <a:t> </a:t>
                    </a:fld>
                    <a:endParaRPr lang="th-TH" sz="800">
                      <a:solidFill>
                        <a:schemeClr val="tx1"/>
                      </a:solidFill>
                    </a:endParaRPr>
                  </a:p>
                </xdr:txBody>
              </xdr:sp>
              <xdr:sp macro="" textlink="'desigh Stairs'!BF$30">
                <xdr:nvSpPr>
                  <xdr:cNvPr id="1986" name="Rectangle 1985"/>
                  <xdr:cNvSpPr/>
                </xdr:nvSpPr>
                <xdr:spPr>
                  <a:xfrm>
                    <a:off x="14996239" y="5008520"/>
                    <a:ext cx="986795" cy="346219"/>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C71362F-94C5-4287-B245-090970997AF8}" type="TxLink">
                      <a:rPr lang="th-TH" sz="900">
                        <a:solidFill>
                          <a:schemeClr val="tx1"/>
                        </a:solidFill>
                      </a:rPr>
                      <a:pPr algn="ctr"/>
                      <a:t> </a:t>
                    </a:fld>
                    <a:endParaRPr lang="th-TH" sz="900">
                      <a:solidFill>
                        <a:schemeClr val="tx1"/>
                      </a:solidFill>
                    </a:endParaRPr>
                  </a:p>
                </xdr:txBody>
              </xdr:sp>
              <xdr:sp macro="" textlink="'desigh Stairs'!BF$27">
                <xdr:nvSpPr>
                  <xdr:cNvPr id="1987" name="Rectangle 1986"/>
                  <xdr:cNvSpPr/>
                </xdr:nvSpPr>
                <xdr:spPr>
                  <a:xfrm>
                    <a:off x="14981078" y="5773844"/>
                    <a:ext cx="941312" cy="40088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1B247BB0-B14F-4E03-B558-AD5F99C8DBAE}" type="TxLink">
                      <a:rPr lang="th-TH" sz="800">
                        <a:solidFill>
                          <a:schemeClr val="tx1"/>
                        </a:solidFill>
                      </a:rPr>
                      <a:pPr algn="ctr"/>
                      <a:t> </a:t>
                    </a:fld>
                    <a:endParaRPr lang="th-TH" sz="800">
                      <a:solidFill>
                        <a:schemeClr val="tx1"/>
                      </a:solidFill>
                    </a:endParaRPr>
                  </a:p>
                </xdr:txBody>
              </xdr:sp>
              <xdr:sp macro="" textlink="'desigh Stairs'!BF$28">
                <xdr:nvSpPr>
                  <xdr:cNvPr id="1988" name="Rectangle 1987"/>
                  <xdr:cNvSpPr/>
                </xdr:nvSpPr>
                <xdr:spPr>
                  <a:xfrm>
                    <a:off x="15011399" y="5518735"/>
                    <a:ext cx="986795" cy="412166"/>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E58CC30F-977D-415C-BE70-B11B87E8505B}" type="TxLink">
                      <a:rPr lang="th-TH" sz="800">
                        <a:solidFill>
                          <a:schemeClr val="tx1"/>
                        </a:solidFill>
                      </a:rPr>
                      <a:pPr algn="ctr"/>
                      <a:t> </a:t>
                    </a:fld>
                    <a:endParaRPr lang="th-TH" sz="800">
                      <a:solidFill>
                        <a:schemeClr val="tx1"/>
                      </a:solidFill>
                    </a:endParaRPr>
                  </a:p>
                </xdr:txBody>
              </xdr:sp>
              <xdr:sp macro="" textlink="'desigh Stairs'!BF$29">
                <xdr:nvSpPr>
                  <xdr:cNvPr id="1989" name="Rectangle 1988"/>
                  <xdr:cNvSpPr/>
                </xdr:nvSpPr>
                <xdr:spPr>
                  <a:xfrm>
                    <a:off x="14981077" y="5281851"/>
                    <a:ext cx="1001956" cy="364442"/>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7AD39ED0-C8A3-498E-8324-4DC44A924B22}" type="TxLink">
                      <a:rPr lang="th-TH" sz="800">
                        <a:solidFill>
                          <a:schemeClr val="tx1"/>
                        </a:solidFill>
                      </a:rPr>
                      <a:pPr algn="ctr"/>
                      <a:t> </a:t>
                    </a:fld>
                    <a:endParaRPr lang="th-TH" sz="800">
                      <a:solidFill>
                        <a:schemeClr val="tx1"/>
                      </a:solidFill>
                    </a:endParaRPr>
                  </a:p>
                </xdr:txBody>
              </xdr:sp>
            </xdr:grpSp>
            <xdr:sp macro="" textlink="'desigh Stairs'!$BI$21">
              <xdr:nvSpPr>
                <xdr:cNvPr id="1976" name="Rectangle 1975"/>
                <xdr:cNvSpPr/>
              </xdr:nvSpPr>
              <xdr:spPr>
                <a:xfrm>
                  <a:off x="15867617" y="7915977"/>
                  <a:ext cx="448966" cy="9920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b"/>
                <a:lstStyle/>
                <a:p>
                  <a:pPr algn="ctr"/>
                  <a:fld id="{669449AC-3EA9-470B-8BD0-087F230B04FC}" type="TxLink">
                    <a:rPr lang="th-TH" sz="800">
                      <a:solidFill>
                        <a:schemeClr val="tx1"/>
                      </a:solidFill>
                    </a:rPr>
                    <a:pPr algn="ctr"/>
                    <a:t> </a:t>
                  </a:fld>
                  <a:endParaRPr lang="th-TH" sz="800">
                    <a:solidFill>
                      <a:schemeClr val="tx1"/>
                    </a:solidFill>
                  </a:endParaRPr>
                </a:p>
              </xdr:txBody>
            </xdr:sp>
            <xdr:sp macro="" textlink="'desigh Stairs'!$BI$22">
              <xdr:nvSpPr>
                <xdr:cNvPr id="1977" name="Rectangle 1976"/>
                <xdr:cNvSpPr/>
              </xdr:nvSpPr>
              <xdr:spPr>
                <a:xfrm>
                  <a:off x="15913098" y="7797797"/>
                  <a:ext cx="327671" cy="9644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b"/>
                <a:lstStyle/>
                <a:p>
                  <a:pPr algn="ctr"/>
                  <a:fld id="{80F8210D-5289-48E2-9755-DEAE641992D0}" type="TxLink">
                    <a:rPr lang="th-TH" sz="800">
                      <a:solidFill>
                        <a:schemeClr val="tx1"/>
                      </a:solidFill>
                    </a:rPr>
                    <a:pPr algn="ctr"/>
                    <a:t>60 cm.</a:t>
                  </a:fld>
                  <a:endParaRPr lang="th-TH" sz="800">
                    <a:solidFill>
                      <a:schemeClr val="tx1"/>
                    </a:solidFill>
                  </a:endParaRPr>
                </a:p>
              </xdr:txBody>
            </xdr:sp>
            <xdr:sp macro="" textlink="'desigh Stairs'!$BI$23">
              <xdr:nvSpPr>
                <xdr:cNvPr id="1978" name="Rectangle 1977"/>
                <xdr:cNvSpPr/>
              </xdr:nvSpPr>
              <xdr:spPr>
                <a:xfrm>
                  <a:off x="15963899" y="7277098"/>
                  <a:ext cx="383006" cy="10660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fld id="{CE37101E-14B2-4F1C-B5A9-A32D3DEC4ABE}" type="TxLink">
                    <a:rPr lang="th-TH" sz="800">
                      <a:solidFill>
                        <a:schemeClr val="tx1"/>
                      </a:solidFill>
                    </a:rPr>
                    <a:pPr algn="ctr"/>
                    <a:t> </a:t>
                  </a:fld>
                  <a:endParaRPr lang="th-TH" sz="800">
                    <a:solidFill>
                      <a:schemeClr val="tx1"/>
                    </a:solidFill>
                  </a:endParaRPr>
                </a:p>
              </xdr:txBody>
            </xdr:sp>
          </xdr:grpSp>
          <xdr:sp macro="" textlink="'desigh Stairs'!BJ$21">
            <xdr:nvSpPr>
              <xdr:cNvPr id="1955" name="Rectangle 1954"/>
              <xdr:cNvSpPr/>
            </xdr:nvSpPr>
            <xdr:spPr>
              <a:xfrm>
                <a:off x="7534933" y="15360448"/>
                <a:ext cx="178615" cy="3898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fld id="{0AAFA5E5-D0E6-4512-8C4B-CD60E06ACB13}" type="TxLink">
                  <a:rPr lang="th-TH" sz="800">
                    <a:solidFill>
                      <a:schemeClr val="tx1"/>
                    </a:solidFill>
                  </a:rPr>
                  <a:pPr algn="ctr"/>
                  <a:t> </a:t>
                </a:fld>
                <a:endParaRPr lang="th-TH" sz="800">
                  <a:solidFill>
                    <a:schemeClr val="tx1"/>
                  </a:solidFill>
                </a:endParaRPr>
              </a:p>
            </xdr:txBody>
          </xdr:sp>
          <xdr:sp macro="" textlink="'desigh Stairs'!BJ$22">
            <xdr:nvSpPr>
              <xdr:cNvPr id="1956" name="Rectangle 1955"/>
              <xdr:cNvSpPr/>
            </xdr:nvSpPr>
            <xdr:spPr>
              <a:xfrm>
                <a:off x="7536715" y="15151125"/>
                <a:ext cx="151321" cy="395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fld id="{6F729D04-3F22-4197-96AA-9663ED455B60}" type="TxLink">
                  <a:rPr lang="th-TH" sz="800">
                    <a:solidFill>
                      <a:schemeClr val="tx1"/>
                    </a:solidFill>
                  </a:rPr>
                  <a:pPr algn="ctr"/>
                  <a:t> </a:t>
                </a:fld>
                <a:endParaRPr lang="th-TH" sz="800">
                  <a:solidFill>
                    <a:schemeClr val="tx1"/>
                  </a:solidFill>
                </a:endParaRPr>
              </a:p>
            </xdr:txBody>
          </xdr:sp>
          <xdr:sp macro="" textlink="'desigh Stairs'!BJ$23">
            <xdr:nvSpPr>
              <xdr:cNvPr id="1957" name="Rectangle 1956"/>
              <xdr:cNvSpPr/>
            </xdr:nvSpPr>
            <xdr:spPr>
              <a:xfrm>
                <a:off x="7451398" y="15013572"/>
                <a:ext cx="188500" cy="5070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fld id="{36B306EA-64FE-444D-8F19-A431A13BECC1}" type="TxLink">
                  <a:rPr lang="th-TH" sz="800">
                    <a:solidFill>
                      <a:schemeClr val="tx1"/>
                    </a:solidFill>
                  </a:rPr>
                  <a:pPr algn="ctr"/>
                  <a:t> </a:t>
                </a:fld>
                <a:endParaRPr lang="th-TH" sz="800">
                  <a:solidFill>
                    <a:schemeClr val="tx1"/>
                  </a:solidFill>
                </a:endParaRPr>
              </a:p>
            </xdr:txBody>
          </xdr:sp>
          <xdr:sp macro="" textlink="">
            <xdr:nvSpPr>
              <xdr:cNvPr id="1958" name="TextBox 1957"/>
              <xdr:cNvSpPr txBox="1"/>
            </xdr:nvSpPr>
            <xdr:spPr>
              <a:xfrm>
                <a:off x="7644171" y="13930326"/>
                <a:ext cx="1645401" cy="20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th-TH" sz="1100"/>
              </a:p>
            </xdr:txBody>
          </xdr:sp>
          <xdr:sp macro="" textlink="'desigh Stairs'!$BF$32">
            <xdr:nvSpPr>
              <xdr:cNvPr id="1959" name="Rectangle 1958"/>
              <xdr:cNvSpPr/>
            </xdr:nvSpPr>
            <xdr:spPr>
              <a:xfrm>
                <a:off x="7955637" y="15646827"/>
                <a:ext cx="367325" cy="1970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2C65E761-A148-4559-A928-7869921559DF}" type="TxLink">
                  <a:rPr lang="th-TH" sz="900" b="1">
                    <a:solidFill>
                      <a:schemeClr val="tx1"/>
                    </a:solidFill>
                  </a:rPr>
                  <a:pPr algn="ctr"/>
                  <a:t>DB</a:t>
                </a:fld>
                <a:endParaRPr lang="th-TH" sz="900" b="1">
                  <a:solidFill>
                    <a:schemeClr val="tx1"/>
                  </a:solidFill>
                </a:endParaRPr>
              </a:p>
            </xdr:txBody>
          </xdr:sp>
          <xdr:sp macro="" textlink="'desigh Stairs'!$BG$32">
            <xdr:nvSpPr>
              <xdr:cNvPr id="1960" name="Rectangle 1959"/>
              <xdr:cNvSpPr/>
            </xdr:nvSpPr>
            <xdr:spPr>
              <a:xfrm>
                <a:off x="8146191" y="15614281"/>
                <a:ext cx="748055" cy="2380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E0491B15-43B6-42C7-BCE4-BC9650C88FDF}" type="TxLink">
                  <a:rPr lang="th-TH" sz="900" b="0">
                    <a:solidFill>
                      <a:schemeClr val="tx1"/>
                    </a:solidFill>
                  </a:rPr>
                  <a:pPr algn="ctr"/>
                  <a:t>ø  12 mm.</a:t>
                </a:fld>
                <a:endParaRPr lang="th-TH" sz="900" b="0">
                  <a:solidFill>
                    <a:schemeClr val="tx1"/>
                  </a:solidFill>
                </a:endParaRPr>
              </a:p>
            </xdr:txBody>
          </xdr:sp>
          <xdr:sp macro="" textlink="'desigh Stairs'!$BH$32">
            <xdr:nvSpPr>
              <xdr:cNvPr id="1961" name="Rectangle 1960"/>
              <xdr:cNvSpPr/>
            </xdr:nvSpPr>
            <xdr:spPr>
              <a:xfrm>
                <a:off x="8589926" y="15649264"/>
                <a:ext cx="836664" cy="1762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273DC38D-3240-42E8-A79F-23F2E0D170B4}" type="TxLink">
                  <a:rPr lang="th-TH" sz="900">
                    <a:solidFill>
                      <a:schemeClr val="tx1"/>
                    </a:solidFill>
                  </a:rPr>
                  <a:pPr algn="ctr"/>
                  <a:t>@9.0 cm.</a:t>
                </a:fld>
                <a:endParaRPr lang="th-TH" sz="900">
                  <a:solidFill>
                    <a:schemeClr val="tx1"/>
                  </a:solidFill>
                </a:endParaRPr>
              </a:p>
            </xdr:txBody>
          </xdr:sp>
          <xdr:sp macro="" textlink="">
            <xdr:nvSpPr>
              <xdr:cNvPr id="1962" name="Rectangle 1961"/>
              <xdr:cNvSpPr/>
            </xdr:nvSpPr>
            <xdr:spPr>
              <a:xfrm>
                <a:off x="7882860" y="15412059"/>
                <a:ext cx="582917" cy="2191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lang="en-US" sz="900" b="1">
                    <a:solidFill>
                      <a:srgbClr val="FF0000"/>
                    </a:solidFill>
                  </a:rPr>
                  <a:t>Strirup</a:t>
                </a:r>
                <a:endParaRPr lang="th-TH" sz="900" b="1">
                  <a:solidFill>
                    <a:srgbClr val="FF0000"/>
                  </a:solidFill>
                </a:endParaRPr>
              </a:p>
            </xdr:txBody>
          </xdr:sp>
          <xdr:sp macro="" textlink="'desigh Stairs'!$BF$34">
            <xdr:nvSpPr>
              <xdr:cNvPr id="1963" name="Rectangle 1962"/>
              <xdr:cNvSpPr/>
            </xdr:nvSpPr>
            <xdr:spPr>
              <a:xfrm>
                <a:off x="7869075" y="15083163"/>
                <a:ext cx="652438" cy="1738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D5BD28D2-11F2-49B4-8F03-FAE0CE3208D5}" type="TxLink">
                  <a:rPr lang="th-TH" sz="900" b="1">
                    <a:solidFill>
                      <a:srgbClr val="FF0000"/>
                    </a:solidFill>
                  </a:rPr>
                  <a:pPr algn="l"/>
                  <a:t>Under</a:t>
                </a:fld>
                <a:endParaRPr lang="th-TH" sz="900" b="1">
                  <a:solidFill>
                    <a:srgbClr val="FF0000"/>
                  </a:solidFill>
                </a:endParaRPr>
              </a:p>
            </xdr:txBody>
          </xdr:sp>
          <xdr:sp macro="" textlink="'desigh Stairs'!$BG$34">
            <xdr:nvSpPr>
              <xdr:cNvPr id="1964" name="Rectangle 1963"/>
              <xdr:cNvSpPr/>
            </xdr:nvSpPr>
            <xdr:spPr>
              <a:xfrm>
                <a:off x="7902898" y="15292243"/>
                <a:ext cx="454990" cy="1993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EC5D3EC2-7291-4045-B62F-2ED4C87DB417}" type="TxLink">
                  <a:rPr lang="th-TH" sz="900">
                    <a:solidFill>
                      <a:schemeClr val="tx1"/>
                    </a:solidFill>
                  </a:rPr>
                  <a:pPr algn="ctr"/>
                  <a:t>5</a:t>
                </a:fld>
                <a:endParaRPr lang="th-TH" sz="900">
                  <a:solidFill>
                    <a:schemeClr val="tx1"/>
                  </a:solidFill>
                </a:endParaRPr>
              </a:p>
            </xdr:txBody>
          </xdr:sp>
          <xdr:sp macro="" textlink="'desigh Stairs'!$BH$34">
            <xdr:nvSpPr>
              <xdr:cNvPr id="1965" name="Rectangle 1964"/>
              <xdr:cNvSpPr/>
            </xdr:nvSpPr>
            <xdr:spPr>
              <a:xfrm>
                <a:off x="8154999" y="15277339"/>
                <a:ext cx="414655" cy="2052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8FAC1534-48A2-42D1-BB15-B65B461A4CE4}" type="TxLink">
                  <a:rPr lang="th-TH" sz="900" b="1">
                    <a:solidFill>
                      <a:schemeClr val="bg2">
                        <a:lumMod val="10000"/>
                      </a:schemeClr>
                    </a:solidFill>
                  </a:rPr>
                  <a:pPr algn="ctr"/>
                  <a:t>DB</a:t>
                </a:fld>
                <a:endParaRPr lang="th-TH" sz="900" b="1">
                  <a:solidFill>
                    <a:schemeClr val="bg2">
                      <a:lumMod val="10000"/>
                    </a:schemeClr>
                  </a:solidFill>
                </a:endParaRPr>
              </a:p>
            </xdr:txBody>
          </xdr:sp>
          <xdr:sp macro="" textlink="'desigh Stairs'!$BI$34">
            <xdr:nvSpPr>
              <xdr:cNvPr id="1966" name="Rectangle 1965"/>
              <xdr:cNvSpPr/>
            </xdr:nvSpPr>
            <xdr:spPr>
              <a:xfrm>
                <a:off x="8411675" y="15258744"/>
                <a:ext cx="777762" cy="2238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fld id="{15A25C24-04A2-4EE6-BF7B-7B37FE8FDFE2}" type="TxLink">
                  <a:rPr lang="th-TH" sz="900">
                    <a:solidFill>
                      <a:schemeClr val="tx1"/>
                    </a:solidFill>
                  </a:rPr>
                  <a:pPr algn="l"/>
                  <a:t>ø  20 mm.</a:t>
                </a:fld>
                <a:endParaRPr lang="th-TH" sz="900">
                  <a:solidFill>
                    <a:schemeClr val="tx1"/>
                  </a:solidFill>
                </a:endParaRPr>
              </a:p>
            </xdr:txBody>
          </xdr:sp>
          <xdr:sp macro="" textlink="$BF$36">
            <xdr:nvSpPr>
              <xdr:cNvPr id="1967" name="Rectangle 1966"/>
              <xdr:cNvSpPr/>
            </xdr:nvSpPr>
            <xdr:spPr>
              <a:xfrm>
                <a:off x="7867919" y="14627045"/>
                <a:ext cx="688761" cy="17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365B3782-2254-4162-9968-5274578FD380}" type="TxLink">
                  <a:rPr lang="th-TH" sz="900" b="1">
                    <a:solidFill>
                      <a:srgbClr val="FF0000"/>
                    </a:solidFill>
                  </a:rPr>
                  <a:pPr algn="l"/>
                  <a:t> </a:t>
                </a:fld>
                <a:endParaRPr lang="th-TH" sz="900" b="1">
                  <a:solidFill>
                    <a:srgbClr val="FF0000"/>
                  </a:solidFill>
                </a:endParaRPr>
              </a:p>
            </xdr:txBody>
          </xdr:sp>
          <xdr:sp macro="" textlink="'desigh Stairs'!$BG$36">
            <xdr:nvSpPr>
              <xdr:cNvPr id="1968" name="Rectangle 1967"/>
              <xdr:cNvSpPr/>
            </xdr:nvSpPr>
            <xdr:spPr>
              <a:xfrm>
                <a:off x="8015197" y="14775570"/>
                <a:ext cx="200155" cy="1752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1F23372B-FBEC-4514-AC01-E4A95A900D41}" type="TxLink">
                  <a:rPr lang="th-TH" sz="900">
                    <a:solidFill>
                      <a:schemeClr val="tx1"/>
                    </a:solidFill>
                  </a:rPr>
                  <a:pPr algn="ctr"/>
                  <a:t>4</a:t>
                </a:fld>
                <a:endParaRPr lang="th-TH" sz="900">
                  <a:solidFill>
                    <a:schemeClr val="tx1"/>
                  </a:solidFill>
                </a:endParaRPr>
              </a:p>
            </xdr:txBody>
          </xdr:sp>
          <xdr:sp macro="" textlink="'desigh Stairs'!$BI$36">
            <xdr:nvSpPr>
              <xdr:cNvPr id="1969" name="Rectangle 1968"/>
              <xdr:cNvSpPr/>
            </xdr:nvSpPr>
            <xdr:spPr>
              <a:xfrm>
                <a:off x="8090671" y="14770970"/>
                <a:ext cx="595846" cy="1758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A5C4208D-8FE5-4A99-B8E8-94EFC9F985BB}" type="TxLink">
                  <a:rPr lang="th-TH" sz="900" b="1">
                    <a:solidFill>
                      <a:schemeClr val="tx1"/>
                    </a:solidFill>
                  </a:rPr>
                  <a:pPr algn="ctr"/>
                  <a:t>DB</a:t>
                </a:fld>
                <a:endParaRPr lang="th-TH" sz="900" b="1">
                  <a:solidFill>
                    <a:schemeClr val="tx1"/>
                  </a:solidFill>
                </a:endParaRPr>
              </a:p>
            </xdr:txBody>
          </xdr:sp>
          <xdr:sp macro="" textlink="'desigh Stairs'!$BH$36">
            <xdr:nvSpPr>
              <xdr:cNvPr id="1970" name="Rectangle 1969"/>
              <xdr:cNvSpPr/>
            </xdr:nvSpPr>
            <xdr:spPr>
              <a:xfrm>
                <a:off x="8434764" y="14764468"/>
                <a:ext cx="783628" cy="2119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fld id="{3EE0BA95-241C-4C7F-95B1-9E56A43D3646}" type="TxLink">
                  <a:rPr lang="th-TH" sz="800">
                    <a:solidFill>
                      <a:schemeClr val="tx1"/>
                    </a:solidFill>
                  </a:rPr>
                  <a:pPr algn="l"/>
                  <a:t>ø  16 mm.</a:t>
                </a:fld>
                <a:endParaRPr lang="th-TH" sz="800">
                  <a:solidFill>
                    <a:schemeClr val="tx1"/>
                  </a:solidFill>
                </a:endParaRPr>
              </a:p>
            </xdr:txBody>
          </xdr:sp>
          <xdr:sp macro="" textlink="'desigh Stairs'!$BF$38">
            <xdr:nvSpPr>
              <xdr:cNvPr id="1971" name="Rectangle 1970"/>
              <xdr:cNvSpPr/>
            </xdr:nvSpPr>
            <xdr:spPr>
              <a:xfrm>
                <a:off x="7883473" y="14138650"/>
                <a:ext cx="984798" cy="1794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84781EC1-4B1B-4ABA-A63F-51AC5E8CD7F3}" type="TxLink">
                  <a:rPr lang="th-TH" sz="900" b="1">
                    <a:solidFill>
                      <a:srgbClr val="FF0000"/>
                    </a:solidFill>
                  </a:rPr>
                  <a:pPr algn="l"/>
                  <a:t>Top</a:t>
                </a:fld>
                <a:endParaRPr lang="th-TH" sz="900" b="1">
                  <a:solidFill>
                    <a:srgbClr val="FF0000"/>
                  </a:solidFill>
                </a:endParaRPr>
              </a:p>
            </xdr:txBody>
          </xdr:sp>
          <xdr:sp macro="" textlink="'desigh Stairs'!$BG$38">
            <xdr:nvSpPr>
              <xdr:cNvPr id="1972" name="Rectangle 1971"/>
              <xdr:cNvSpPr/>
            </xdr:nvSpPr>
            <xdr:spPr>
              <a:xfrm>
                <a:off x="7933082" y="14358358"/>
                <a:ext cx="376888" cy="1639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6C76F6AA-0992-48B4-ACCA-E82249314883}" type="TxLink">
                  <a:rPr lang="th-TH" sz="900">
                    <a:solidFill>
                      <a:schemeClr val="tx1"/>
                    </a:solidFill>
                  </a:rPr>
                  <a:pPr algn="ctr"/>
                  <a:t>5</a:t>
                </a:fld>
                <a:endParaRPr lang="th-TH" sz="900">
                  <a:solidFill>
                    <a:schemeClr val="tx1"/>
                  </a:solidFill>
                </a:endParaRPr>
              </a:p>
            </xdr:txBody>
          </xdr:sp>
          <xdr:sp macro="" textlink="'desigh Stairs'!$BH$38">
            <xdr:nvSpPr>
              <xdr:cNvPr id="1973" name="Rectangle 1972"/>
              <xdr:cNvSpPr/>
            </xdr:nvSpPr>
            <xdr:spPr>
              <a:xfrm>
                <a:off x="8120820" y="14345886"/>
                <a:ext cx="481255" cy="1797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4E7B634C-CDBE-406F-9FA7-8B4240336CB0}" type="TxLink">
                  <a:rPr lang="th-TH" sz="900" b="1">
                    <a:solidFill>
                      <a:schemeClr val="tx1"/>
                    </a:solidFill>
                  </a:rPr>
                  <a:pPr algn="ctr"/>
                  <a:t>DB</a:t>
                </a:fld>
                <a:endParaRPr lang="th-TH" sz="900" b="1">
                  <a:solidFill>
                    <a:schemeClr val="tx1"/>
                  </a:solidFill>
                </a:endParaRPr>
              </a:p>
            </xdr:txBody>
          </xdr:sp>
          <xdr:sp macro="" textlink="'desigh Stairs'!$BI$38">
            <xdr:nvSpPr>
              <xdr:cNvPr id="1974" name="Rectangle 1973"/>
              <xdr:cNvSpPr/>
            </xdr:nvSpPr>
            <xdr:spPr>
              <a:xfrm>
                <a:off x="8401577" y="14319615"/>
                <a:ext cx="885410" cy="1781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fld id="{F06DE34C-E89E-484E-BC3F-30926B1ECA3D}" type="TxLink">
                  <a:rPr lang="th-TH" sz="900">
                    <a:solidFill>
                      <a:schemeClr val="tx1"/>
                    </a:solidFill>
                  </a:rPr>
                  <a:pPr algn="l"/>
                  <a:t>ø  16 mm.</a:t>
                </a:fld>
                <a:endParaRPr lang="th-TH" sz="900">
                  <a:solidFill>
                    <a:schemeClr val="tx1"/>
                  </a:solidFill>
                </a:endParaRPr>
              </a:p>
            </xdr:txBody>
          </xdr:sp>
        </xdr:grpSp>
        <xdr:sp macro="" textlink="">
          <xdr:nvSpPr>
            <xdr:cNvPr id="1953" name="Rectangle 1952"/>
            <xdr:cNvSpPr/>
          </xdr:nvSpPr>
          <xdr:spPr>
            <a:xfrm>
              <a:off x="5642199" y="35913741"/>
              <a:ext cx="3256906" cy="2258027"/>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grpSp>
    </xdr:grpSp>
    <xdr:clientData/>
  </xdr:twoCellAnchor>
  <xdr:twoCellAnchor>
    <xdr:from>
      <xdr:col>0</xdr:col>
      <xdr:colOff>448112</xdr:colOff>
      <xdr:row>71</xdr:row>
      <xdr:rowOff>64247</xdr:rowOff>
    </xdr:from>
    <xdr:to>
      <xdr:col>17</xdr:col>
      <xdr:colOff>122155</xdr:colOff>
      <xdr:row>95</xdr:row>
      <xdr:rowOff>13978</xdr:rowOff>
    </xdr:to>
    <xdr:grpSp>
      <xdr:nvGrpSpPr>
        <xdr:cNvPr id="2066" name="Group 2065"/>
        <xdr:cNvGrpSpPr/>
      </xdr:nvGrpSpPr>
      <xdr:grpSpPr>
        <a:xfrm>
          <a:off x="448112" y="13370089"/>
          <a:ext cx="7993839" cy="4381772"/>
          <a:chOff x="870104" y="12267506"/>
          <a:chExt cx="7993839" cy="4372793"/>
        </a:xfrm>
      </xdr:grpSpPr>
      <xdr:grpSp>
        <xdr:nvGrpSpPr>
          <xdr:cNvPr id="911" name="Group 910"/>
          <xdr:cNvGrpSpPr/>
        </xdr:nvGrpSpPr>
        <xdr:grpSpPr>
          <a:xfrm>
            <a:off x="870104" y="12267506"/>
            <a:ext cx="5468162" cy="4372793"/>
            <a:chOff x="1175826" y="11491514"/>
            <a:chExt cx="5476786" cy="4099029"/>
          </a:xfrm>
        </xdr:grpSpPr>
        <xdr:grpSp>
          <xdr:nvGrpSpPr>
            <xdr:cNvPr id="328" name="Group 327"/>
            <xdr:cNvGrpSpPr/>
          </xdr:nvGrpSpPr>
          <xdr:grpSpPr>
            <a:xfrm>
              <a:off x="1240948" y="11491514"/>
              <a:ext cx="5411664" cy="4099029"/>
              <a:chOff x="1369219" y="11787188"/>
              <a:chExt cx="5404121" cy="3964579"/>
            </a:xfrm>
          </xdr:grpSpPr>
          <xdr:cxnSp macro="">
            <xdr:nvCxnSpPr>
              <xdr:cNvPr id="530" name="Straight Connector 529"/>
              <xdr:cNvCxnSpPr/>
            </xdr:nvCxnSpPr>
            <xdr:spPr>
              <a:xfrm rot="5400000">
                <a:off x="2744033" y="12868858"/>
                <a:ext cx="338093" cy="1573"/>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31" name="Straight Connector 530"/>
              <xdr:cNvCxnSpPr/>
            </xdr:nvCxnSpPr>
            <xdr:spPr>
              <a:xfrm>
                <a:off x="2916556" y="13039766"/>
                <a:ext cx="434520" cy="1477"/>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32" name="Straight Connector 531"/>
              <xdr:cNvCxnSpPr/>
            </xdr:nvCxnSpPr>
            <xdr:spPr>
              <a:xfrm rot="5400000">
                <a:off x="3193810" y="13190936"/>
                <a:ext cx="300898" cy="1573"/>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33" name="Straight Connector 532"/>
              <xdr:cNvCxnSpPr/>
            </xdr:nvCxnSpPr>
            <xdr:spPr>
              <a:xfrm rot="5400000">
                <a:off x="3631333" y="13487606"/>
                <a:ext cx="287208" cy="1573"/>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34" name="Straight Connector 533"/>
              <xdr:cNvCxnSpPr/>
            </xdr:nvCxnSpPr>
            <xdr:spPr>
              <a:xfrm rot="5400000">
                <a:off x="4050099" y="13776489"/>
                <a:ext cx="300184" cy="1573"/>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37" name="Straight Connector 536"/>
              <xdr:cNvCxnSpPr/>
            </xdr:nvCxnSpPr>
            <xdr:spPr>
              <a:xfrm rot="5400000">
                <a:off x="4485265" y="14081951"/>
                <a:ext cx="297816" cy="1573"/>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38" name="Straight Connector 537"/>
              <xdr:cNvCxnSpPr/>
            </xdr:nvCxnSpPr>
            <xdr:spPr>
              <a:xfrm rot="5400000">
                <a:off x="4909712" y="14401970"/>
                <a:ext cx="323956" cy="1573"/>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39" name="Straight Connector 538"/>
              <xdr:cNvCxnSpPr/>
            </xdr:nvCxnSpPr>
            <xdr:spPr>
              <a:xfrm>
                <a:off x="3346949" y="13340685"/>
                <a:ext cx="430400" cy="1477"/>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40" name="Straight Connector 539"/>
              <xdr:cNvCxnSpPr/>
            </xdr:nvCxnSpPr>
            <xdr:spPr>
              <a:xfrm>
                <a:off x="3778333" y="13623835"/>
                <a:ext cx="426344" cy="1477"/>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41" name="Straight Connector 540"/>
              <xdr:cNvCxnSpPr/>
            </xdr:nvCxnSpPr>
            <xdr:spPr>
              <a:xfrm>
                <a:off x="4202880" y="13929770"/>
                <a:ext cx="434522" cy="1477"/>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42" name="Straight Connector 541"/>
              <xdr:cNvCxnSpPr/>
            </xdr:nvCxnSpPr>
            <xdr:spPr>
              <a:xfrm>
                <a:off x="4635225" y="14233329"/>
                <a:ext cx="440374" cy="1477"/>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45" name="Straight Connector 544"/>
              <xdr:cNvCxnSpPr/>
            </xdr:nvCxnSpPr>
            <xdr:spPr>
              <a:xfrm rot="10800000">
                <a:off x="2415362" y="12952611"/>
                <a:ext cx="2652327" cy="1829788"/>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51" name="Straight Connector 550"/>
              <xdr:cNvCxnSpPr/>
            </xdr:nvCxnSpPr>
            <xdr:spPr>
              <a:xfrm>
                <a:off x="2472698" y="12881702"/>
                <a:ext cx="2523875" cy="1746149"/>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557" name="Straight Connector 556"/>
              <xdr:cNvCxnSpPr/>
            </xdr:nvCxnSpPr>
            <xdr:spPr>
              <a:xfrm>
                <a:off x="2558767" y="12754749"/>
                <a:ext cx="306804" cy="0"/>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558" name="Straight Connector 557"/>
              <xdr:cNvCxnSpPr/>
            </xdr:nvCxnSpPr>
            <xdr:spPr>
              <a:xfrm rot="5400000">
                <a:off x="2702408" y="12917910"/>
                <a:ext cx="317258" cy="1573"/>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559" name="Straight Connector 558"/>
              <xdr:cNvCxnSpPr/>
            </xdr:nvCxnSpPr>
            <xdr:spPr>
              <a:xfrm>
                <a:off x="2856503" y="13082539"/>
                <a:ext cx="434520" cy="1477"/>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560" name="Straight Connector 559"/>
              <xdr:cNvCxnSpPr/>
            </xdr:nvCxnSpPr>
            <xdr:spPr>
              <a:xfrm rot="5400000">
                <a:off x="3141288" y="13237699"/>
                <a:ext cx="302654" cy="1573"/>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561" name="Straight Connector 560"/>
              <xdr:cNvCxnSpPr/>
            </xdr:nvCxnSpPr>
            <xdr:spPr>
              <a:xfrm>
                <a:off x="3288849" y="13388055"/>
                <a:ext cx="430400" cy="1477"/>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562" name="Straight Connector 561"/>
              <xdr:cNvCxnSpPr/>
            </xdr:nvCxnSpPr>
            <xdr:spPr>
              <a:xfrm rot="16200000" flipH="1">
                <a:off x="3570694" y="13539966"/>
                <a:ext cx="297163" cy="0"/>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563" name="Straight Connector 562"/>
              <xdr:cNvCxnSpPr/>
            </xdr:nvCxnSpPr>
            <xdr:spPr>
              <a:xfrm>
                <a:off x="3719274" y="13688258"/>
                <a:ext cx="423543" cy="1477"/>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564" name="Straight Connector 563"/>
              <xdr:cNvCxnSpPr/>
            </xdr:nvCxnSpPr>
            <xdr:spPr>
              <a:xfrm rot="5400000">
                <a:off x="3997890" y="13830441"/>
                <a:ext cx="289514" cy="1573"/>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565" name="Straight Connector 564"/>
              <xdr:cNvCxnSpPr/>
            </xdr:nvCxnSpPr>
            <xdr:spPr>
              <a:xfrm>
                <a:off x="4144009" y="13971664"/>
                <a:ext cx="434522" cy="1477"/>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566" name="Straight Connector 565"/>
              <xdr:cNvCxnSpPr/>
            </xdr:nvCxnSpPr>
            <xdr:spPr>
              <a:xfrm rot="5400000">
                <a:off x="4423949" y="14127119"/>
                <a:ext cx="302481" cy="1573"/>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567" name="Straight Connector 566"/>
              <xdr:cNvCxnSpPr/>
            </xdr:nvCxnSpPr>
            <xdr:spPr>
              <a:xfrm>
                <a:off x="4574024" y="14276447"/>
                <a:ext cx="434551" cy="1477"/>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568" name="Straight Connector 567"/>
              <xdr:cNvCxnSpPr/>
            </xdr:nvCxnSpPr>
            <xdr:spPr>
              <a:xfrm rot="5400000">
                <a:off x="4902023" y="14375720"/>
                <a:ext cx="211655" cy="1573"/>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sp macro="" textlink="">
            <xdr:nvSpPr>
              <xdr:cNvPr id="573" name="Flowchart: Connector 572"/>
              <xdr:cNvSpPr/>
            </xdr:nvSpPr>
            <xdr:spPr>
              <a:xfrm>
                <a:off x="3267015" y="13096488"/>
                <a:ext cx="10692" cy="10046"/>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574" name="Flowchart: Connector 573"/>
              <xdr:cNvSpPr/>
            </xdr:nvSpPr>
            <xdr:spPr>
              <a:xfrm>
                <a:off x="2878640" y="13062018"/>
                <a:ext cx="10692" cy="10046"/>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575" name="Flowchart: Connector 574"/>
              <xdr:cNvSpPr/>
            </xdr:nvSpPr>
            <xdr:spPr>
              <a:xfrm>
                <a:off x="2840171" y="12771829"/>
                <a:ext cx="10692" cy="10046"/>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576" name="Flowchart: Connector 575"/>
              <xdr:cNvSpPr/>
            </xdr:nvSpPr>
            <xdr:spPr>
              <a:xfrm>
                <a:off x="3302200" y="13368582"/>
                <a:ext cx="10692" cy="10046"/>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577" name="Flowchart: Connector 576"/>
              <xdr:cNvSpPr/>
            </xdr:nvSpPr>
            <xdr:spPr>
              <a:xfrm>
                <a:off x="3733158" y="13662766"/>
                <a:ext cx="10692" cy="10046"/>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578" name="Flowchart: Connector 577"/>
              <xdr:cNvSpPr/>
            </xdr:nvSpPr>
            <xdr:spPr>
              <a:xfrm>
                <a:off x="4127519" y="13697135"/>
                <a:ext cx="10692" cy="10046"/>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579" name="Flowchart: Connector 578"/>
              <xdr:cNvSpPr/>
            </xdr:nvSpPr>
            <xdr:spPr>
              <a:xfrm>
                <a:off x="4551644" y="13980706"/>
                <a:ext cx="10692" cy="10046"/>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580" name="Flowchart: Connector 579"/>
              <xdr:cNvSpPr/>
            </xdr:nvSpPr>
            <xdr:spPr>
              <a:xfrm>
                <a:off x="4153907" y="13947313"/>
                <a:ext cx="10692" cy="10046"/>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581" name="Flowchart: Connector 580"/>
              <xdr:cNvSpPr/>
            </xdr:nvSpPr>
            <xdr:spPr>
              <a:xfrm>
                <a:off x="4585159" y="14253506"/>
                <a:ext cx="10692" cy="10046"/>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582" name="Flowchart: Connector 581"/>
              <xdr:cNvSpPr/>
            </xdr:nvSpPr>
            <xdr:spPr>
              <a:xfrm>
                <a:off x="4980856" y="14291860"/>
                <a:ext cx="14900" cy="5467"/>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583" name="Flowchart: Connector 582"/>
              <xdr:cNvSpPr/>
            </xdr:nvSpPr>
            <xdr:spPr>
              <a:xfrm>
                <a:off x="3692577" y="13400512"/>
                <a:ext cx="10692" cy="10046"/>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584" name="Freeform 583"/>
              <xdr:cNvSpPr/>
            </xdr:nvSpPr>
            <xdr:spPr>
              <a:xfrm>
                <a:off x="4956927" y="14410442"/>
                <a:ext cx="57066" cy="94233"/>
              </a:xfrm>
              <a:custGeom>
                <a:avLst/>
                <a:gdLst>
                  <a:gd name="connsiteX0" fmla="*/ 82615 w 82615"/>
                  <a:gd name="connsiteY0" fmla="*/ 87474 h 102053"/>
                  <a:gd name="connsiteX1" fmla="*/ 9719 w 82615"/>
                  <a:gd name="connsiteY1" fmla="*/ 87474 h 102053"/>
                  <a:gd name="connsiteX2" fmla="*/ 24298 w 82615"/>
                  <a:gd name="connsiteY2" fmla="*/ 0 h 102053"/>
                </a:gdLst>
                <a:ahLst/>
                <a:cxnLst>
                  <a:cxn ang="0">
                    <a:pos x="connsiteX0" y="connsiteY0"/>
                  </a:cxn>
                  <a:cxn ang="0">
                    <a:pos x="connsiteX1" y="connsiteY1"/>
                  </a:cxn>
                  <a:cxn ang="0">
                    <a:pos x="connsiteX2" y="connsiteY2"/>
                  </a:cxn>
                </a:cxnLst>
                <a:rect l="l" t="t" r="r" b="b"/>
                <a:pathLst>
                  <a:path w="82615" h="102053">
                    <a:moveTo>
                      <a:pt x="82615" y="87474"/>
                    </a:moveTo>
                    <a:cubicBezTo>
                      <a:pt x="51026" y="94763"/>
                      <a:pt x="19438" y="102053"/>
                      <a:pt x="9719" y="87474"/>
                    </a:cubicBezTo>
                    <a:cubicBezTo>
                      <a:pt x="0" y="72895"/>
                      <a:pt x="16199" y="17819"/>
                      <a:pt x="24298" y="0"/>
                    </a:cubicBezTo>
                  </a:path>
                </a:pathLst>
              </a:custGeom>
              <a:ln>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rtlCol="0" anchor="ctr"/>
              <a:lstStyle/>
              <a:p>
                <a:pPr algn="ctr"/>
                <a:endParaRPr lang="th-TH" sz="1100"/>
              </a:p>
            </xdr:txBody>
          </xdr:sp>
          <xdr:cxnSp macro="">
            <xdr:nvCxnSpPr>
              <xdr:cNvPr id="585" name="Straight Arrow Connector 584"/>
              <xdr:cNvCxnSpPr/>
            </xdr:nvCxnSpPr>
            <xdr:spPr>
              <a:xfrm rot="5400000">
                <a:off x="3086332" y="12890586"/>
                <a:ext cx="391126" cy="0"/>
              </a:xfrm>
              <a:prstGeom prst="straightConnector1">
                <a:avLst/>
              </a:prstGeom>
              <a:ln w="3175">
                <a:solidFill>
                  <a:schemeClr val="tx1">
                    <a:lumMod val="65000"/>
                    <a:lumOff val="35000"/>
                  </a:schemeClr>
                </a:solidFill>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594" name="Flowchart: Connector 593"/>
              <xdr:cNvSpPr/>
            </xdr:nvSpPr>
            <xdr:spPr>
              <a:xfrm>
                <a:off x="4606939" y="14333592"/>
                <a:ext cx="10748" cy="9947"/>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595" name="Flowchart: Connector 594"/>
              <xdr:cNvSpPr/>
            </xdr:nvSpPr>
            <xdr:spPr>
              <a:xfrm>
                <a:off x="4924632" y="14554361"/>
                <a:ext cx="10748" cy="9947"/>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596" name="Flowchart: Connector 595"/>
              <xdr:cNvSpPr/>
            </xdr:nvSpPr>
            <xdr:spPr>
              <a:xfrm>
                <a:off x="4418765" y="14205969"/>
                <a:ext cx="10748" cy="9947"/>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597" name="Flowchart: Connector 596"/>
              <xdr:cNvSpPr/>
            </xdr:nvSpPr>
            <xdr:spPr>
              <a:xfrm>
                <a:off x="4774418" y="14446807"/>
                <a:ext cx="10748" cy="9947"/>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600" name="Flowchart: Connector 599"/>
              <xdr:cNvSpPr/>
            </xdr:nvSpPr>
            <xdr:spPr>
              <a:xfrm>
                <a:off x="2624621" y="12966319"/>
                <a:ext cx="10744" cy="10039"/>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602" name="Flowchart: Connector 601"/>
              <xdr:cNvSpPr/>
            </xdr:nvSpPr>
            <xdr:spPr>
              <a:xfrm>
                <a:off x="2905111" y="13159695"/>
                <a:ext cx="10744" cy="10039"/>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603" name="Flowchart: Connector 602"/>
              <xdr:cNvSpPr/>
            </xdr:nvSpPr>
            <xdr:spPr>
              <a:xfrm>
                <a:off x="3117299" y="13316152"/>
                <a:ext cx="10744" cy="10039"/>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604" name="Flowchart: Connector 603"/>
              <xdr:cNvSpPr/>
            </xdr:nvSpPr>
            <xdr:spPr>
              <a:xfrm>
                <a:off x="3362532" y="13477563"/>
                <a:ext cx="10744" cy="10039"/>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605" name="Flowchart: Connector 604"/>
              <xdr:cNvSpPr/>
            </xdr:nvSpPr>
            <xdr:spPr>
              <a:xfrm>
                <a:off x="3566248" y="13612025"/>
                <a:ext cx="10744" cy="10039"/>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606" name="Flowchart: Connector 605"/>
              <xdr:cNvSpPr/>
            </xdr:nvSpPr>
            <xdr:spPr>
              <a:xfrm>
                <a:off x="3787595" y="13764802"/>
                <a:ext cx="10744" cy="10039"/>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607" name="Flowchart: Connector 606"/>
              <xdr:cNvSpPr/>
            </xdr:nvSpPr>
            <xdr:spPr>
              <a:xfrm>
                <a:off x="4002504" y="13917579"/>
                <a:ext cx="10744" cy="10039"/>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608" name="Flowchart: Connector 607"/>
              <xdr:cNvSpPr/>
            </xdr:nvSpPr>
            <xdr:spPr>
              <a:xfrm>
                <a:off x="4208943" y="14060530"/>
                <a:ext cx="10744" cy="10039"/>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615" name="Freeform 614"/>
              <xdr:cNvSpPr/>
            </xdr:nvSpPr>
            <xdr:spPr>
              <a:xfrm>
                <a:off x="4955363" y="14534196"/>
                <a:ext cx="75957" cy="90622"/>
              </a:xfrm>
              <a:custGeom>
                <a:avLst/>
                <a:gdLst>
                  <a:gd name="connsiteX0" fmla="*/ 36951 w 75954"/>
                  <a:gd name="connsiteY0" fmla="*/ 90324 h 90324"/>
                  <a:gd name="connsiteX1" fmla="*/ 69795 w 75954"/>
                  <a:gd name="connsiteY1" fmla="*/ 49268 h 90324"/>
                  <a:gd name="connsiteX2" fmla="*/ 0 w 75954"/>
                  <a:gd name="connsiteY2" fmla="*/ 0 h 90324"/>
                </a:gdLst>
                <a:ahLst/>
                <a:cxnLst>
                  <a:cxn ang="0">
                    <a:pos x="connsiteX0" y="connsiteY0"/>
                  </a:cxn>
                  <a:cxn ang="0">
                    <a:pos x="connsiteX1" y="connsiteY1"/>
                  </a:cxn>
                  <a:cxn ang="0">
                    <a:pos x="connsiteX2" y="connsiteY2"/>
                  </a:cxn>
                </a:cxnLst>
                <a:rect l="l" t="t" r="r" b="b"/>
                <a:pathLst>
                  <a:path w="75954" h="90324">
                    <a:moveTo>
                      <a:pt x="36951" y="90324"/>
                    </a:moveTo>
                    <a:cubicBezTo>
                      <a:pt x="56452" y="77323"/>
                      <a:pt x="75954" y="64322"/>
                      <a:pt x="69795" y="49268"/>
                    </a:cubicBezTo>
                    <a:cubicBezTo>
                      <a:pt x="63637" y="34214"/>
                      <a:pt x="10948" y="10264"/>
                      <a:pt x="0" y="0"/>
                    </a:cubicBezTo>
                  </a:path>
                </a:pathLst>
              </a:custGeom>
              <a:ln>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rtlCol="0" anchor="ctr"/>
              <a:lstStyle/>
              <a:p>
                <a:pPr algn="ctr"/>
                <a:endParaRPr lang="th-TH" sz="1100"/>
              </a:p>
            </xdr:txBody>
          </xdr:sp>
          <xdr:cxnSp macro="">
            <xdr:nvCxnSpPr>
              <xdr:cNvPr id="616" name="Straight Arrow Connector 615"/>
              <xdr:cNvCxnSpPr/>
            </xdr:nvCxnSpPr>
            <xdr:spPr>
              <a:xfrm rot="16200000" flipH="1">
                <a:off x="3621836" y="13560819"/>
                <a:ext cx="536915" cy="2328"/>
              </a:xfrm>
              <a:prstGeom prst="straightConnector1">
                <a:avLst/>
              </a:prstGeom>
              <a:ln w="3175">
                <a:solidFill>
                  <a:schemeClr val="tx1">
                    <a:lumMod val="65000"/>
                    <a:lumOff val="35000"/>
                  </a:schemeClr>
                </a:solidFill>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617" name="Straight Arrow Connector 616"/>
              <xdr:cNvCxnSpPr/>
            </xdr:nvCxnSpPr>
            <xdr:spPr>
              <a:xfrm rot="16200000" flipH="1">
                <a:off x="3405395" y="13177167"/>
                <a:ext cx="427798" cy="0"/>
              </a:xfrm>
              <a:prstGeom prst="straightConnector1">
                <a:avLst/>
              </a:prstGeom>
              <a:ln w="3175">
                <a:solidFill>
                  <a:schemeClr val="tx1">
                    <a:lumMod val="65000"/>
                    <a:lumOff val="35000"/>
                  </a:schemeClr>
                </a:solidFill>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618" name="Straight Connector 617"/>
              <xdr:cNvCxnSpPr/>
            </xdr:nvCxnSpPr>
            <xdr:spPr>
              <a:xfrm>
                <a:off x="3889572" y="13292260"/>
                <a:ext cx="1322273" cy="1619"/>
              </a:xfrm>
              <a:prstGeom prst="line">
                <a:avLst/>
              </a:prstGeom>
              <a:ln w="3175">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19" name="Straight Connector 618"/>
              <xdr:cNvCxnSpPr/>
            </xdr:nvCxnSpPr>
            <xdr:spPr>
              <a:xfrm>
                <a:off x="3619294" y="12955378"/>
                <a:ext cx="488982" cy="0"/>
              </a:xfrm>
              <a:prstGeom prst="line">
                <a:avLst/>
              </a:prstGeom>
              <a:ln w="3175">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20" name="Straight Connector 619"/>
              <xdr:cNvCxnSpPr/>
            </xdr:nvCxnSpPr>
            <xdr:spPr>
              <a:xfrm>
                <a:off x="3286413" y="12693285"/>
                <a:ext cx="824452" cy="1619"/>
              </a:xfrm>
              <a:prstGeom prst="line">
                <a:avLst/>
              </a:prstGeom>
              <a:ln w="3175">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22" name="Straight Arrow Connector 621"/>
              <xdr:cNvCxnSpPr/>
            </xdr:nvCxnSpPr>
            <xdr:spPr>
              <a:xfrm rot="16200000" flipV="1">
                <a:off x="3710170" y="14193478"/>
                <a:ext cx="575402" cy="0"/>
              </a:xfrm>
              <a:prstGeom prst="straightConnector1">
                <a:avLst/>
              </a:prstGeom>
              <a:ln w="3175">
                <a:solidFill>
                  <a:schemeClr val="tx1">
                    <a:lumMod val="65000"/>
                    <a:lumOff val="35000"/>
                  </a:schemeClr>
                </a:solidFill>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623" name="Straight Arrow Connector 622"/>
              <xdr:cNvCxnSpPr/>
            </xdr:nvCxnSpPr>
            <xdr:spPr>
              <a:xfrm rot="16200000" flipV="1">
                <a:off x="2795516" y="13752631"/>
                <a:ext cx="776110" cy="0"/>
              </a:xfrm>
              <a:prstGeom prst="straightConnector1">
                <a:avLst/>
              </a:prstGeom>
              <a:ln w="3175">
                <a:solidFill>
                  <a:schemeClr val="tx1">
                    <a:lumMod val="65000"/>
                    <a:lumOff val="35000"/>
                  </a:schemeClr>
                </a:solidFill>
                <a:headEnd type="none" w="sm" len="med"/>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624" name="Straight Connector 623"/>
              <xdr:cNvCxnSpPr/>
            </xdr:nvCxnSpPr>
            <xdr:spPr>
              <a:xfrm rot="10800000">
                <a:off x="3443779" y="14483380"/>
                <a:ext cx="557283" cy="0"/>
              </a:xfrm>
              <a:prstGeom prst="line">
                <a:avLst/>
              </a:prstGeom>
              <a:ln w="3175">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627" name="Rectangle 626"/>
              <xdr:cNvSpPr/>
            </xdr:nvSpPr>
            <xdr:spPr>
              <a:xfrm>
                <a:off x="1369219" y="11787188"/>
                <a:ext cx="5404121" cy="39645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cxnSp macro="">
            <xdr:nvCxnSpPr>
              <xdr:cNvPr id="633" name="Straight Connector 632"/>
              <xdr:cNvCxnSpPr/>
            </xdr:nvCxnSpPr>
            <xdr:spPr>
              <a:xfrm>
                <a:off x="2409581" y="13066034"/>
                <a:ext cx="2658106" cy="1849054"/>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38" name="Straight Connector 637"/>
              <xdr:cNvCxnSpPr/>
            </xdr:nvCxnSpPr>
            <xdr:spPr>
              <a:xfrm>
                <a:off x="2411016" y="12693894"/>
                <a:ext cx="2656671" cy="1841056"/>
              </a:xfrm>
              <a:prstGeom prst="line">
                <a:avLst/>
              </a:prstGeom>
              <a:ln w="6350">
                <a:solidFill>
                  <a:schemeClr val="accent3">
                    <a:lumMod val="50000"/>
                  </a:schemeClr>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645" name="Straight Connector 644"/>
              <xdr:cNvCxnSpPr/>
            </xdr:nvCxnSpPr>
            <xdr:spPr>
              <a:xfrm>
                <a:off x="2411016" y="12309230"/>
                <a:ext cx="2657890" cy="1862495"/>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47" name="Straight Connector 646"/>
              <xdr:cNvCxnSpPr/>
            </xdr:nvCxnSpPr>
            <xdr:spPr>
              <a:xfrm rot="10800000">
                <a:off x="2422519" y="12704641"/>
                <a:ext cx="494511" cy="0"/>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51" name="Straight Connector 650"/>
              <xdr:cNvCxnSpPr/>
            </xdr:nvCxnSpPr>
            <xdr:spPr>
              <a:xfrm rot="5400000">
                <a:off x="1908658" y="12765800"/>
                <a:ext cx="1013876" cy="1588"/>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53" name="Straight Connector 652"/>
              <xdr:cNvCxnSpPr/>
            </xdr:nvCxnSpPr>
            <xdr:spPr>
              <a:xfrm rot="5400000">
                <a:off x="4595134" y="14585157"/>
                <a:ext cx="952500" cy="1588"/>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68" name="Straight Connector 667"/>
              <xdr:cNvCxnSpPr/>
            </xdr:nvCxnSpPr>
            <xdr:spPr>
              <a:xfrm rot="5400000">
                <a:off x="1509018" y="12754595"/>
                <a:ext cx="1013876" cy="1588"/>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70" name="Straight Connector 669"/>
              <xdr:cNvCxnSpPr/>
            </xdr:nvCxnSpPr>
            <xdr:spPr>
              <a:xfrm rot="5400000">
                <a:off x="4973001" y="14587755"/>
                <a:ext cx="957697" cy="1588"/>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672" name="Freeform 671"/>
              <xdr:cNvSpPr/>
            </xdr:nvSpPr>
            <xdr:spPr>
              <a:xfrm>
                <a:off x="2547291" y="12749011"/>
                <a:ext cx="80332" cy="54000"/>
              </a:xfrm>
              <a:custGeom>
                <a:avLst/>
                <a:gdLst>
                  <a:gd name="connsiteX0" fmla="*/ 11476 w 80332"/>
                  <a:gd name="connsiteY0" fmla="*/ 0 h 61204"/>
                  <a:gd name="connsiteX1" fmla="*/ 11476 w 80332"/>
                  <a:gd name="connsiteY1" fmla="*/ 51641 h 61204"/>
                  <a:gd name="connsiteX2" fmla="*/ 80332 w 80332"/>
                  <a:gd name="connsiteY2" fmla="*/ 57379 h 61204"/>
                  <a:gd name="connsiteX3" fmla="*/ 80332 w 80332"/>
                  <a:gd name="connsiteY3" fmla="*/ 57379 h 61204"/>
                </a:gdLst>
                <a:ahLst/>
                <a:cxnLst>
                  <a:cxn ang="0">
                    <a:pos x="connsiteX0" y="connsiteY0"/>
                  </a:cxn>
                  <a:cxn ang="0">
                    <a:pos x="connsiteX1" y="connsiteY1"/>
                  </a:cxn>
                  <a:cxn ang="0">
                    <a:pos x="connsiteX2" y="connsiteY2"/>
                  </a:cxn>
                  <a:cxn ang="0">
                    <a:pos x="connsiteX3" y="connsiteY3"/>
                  </a:cxn>
                </a:cxnLst>
                <a:rect l="l" t="t" r="r" b="b"/>
                <a:pathLst>
                  <a:path w="80332" h="61204">
                    <a:moveTo>
                      <a:pt x="11476" y="0"/>
                    </a:moveTo>
                    <a:cubicBezTo>
                      <a:pt x="5738" y="21039"/>
                      <a:pt x="0" y="42078"/>
                      <a:pt x="11476" y="51641"/>
                    </a:cubicBezTo>
                    <a:cubicBezTo>
                      <a:pt x="22952" y="61204"/>
                      <a:pt x="80332" y="57379"/>
                      <a:pt x="80332" y="57379"/>
                    </a:cubicBezTo>
                    <a:lnTo>
                      <a:pt x="80332" y="57379"/>
                    </a:lnTo>
                  </a:path>
                </a:pathLst>
              </a:cu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sp macro="" textlink="">
            <xdr:nvSpPr>
              <xdr:cNvPr id="676" name="Freeform 675"/>
              <xdr:cNvSpPr/>
            </xdr:nvSpPr>
            <xdr:spPr>
              <a:xfrm>
                <a:off x="2470997" y="12852552"/>
                <a:ext cx="109021" cy="41840"/>
              </a:xfrm>
              <a:custGeom>
                <a:avLst/>
                <a:gdLst>
                  <a:gd name="connsiteX0" fmla="*/ 0 w 109021"/>
                  <a:gd name="connsiteY0" fmla="*/ 41122 h 46860"/>
                  <a:gd name="connsiteX1" fmla="*/ 40166 w 109021"/>
                  <a:gd name="connsiteY1" fmla="*/ 956 h 46860"/>
                  <a:gd name="connsiteX2" fmla="*/ 109021 w 109021"/>
                  <a:gd name="connsiteY2" fmla="*/ 46860 h 46860"/>
                </a:gdLst>
                <a:ahLst/>
                <a:cxnLst>
                  <a:cxn ang="0">
                    <a:pos x="connsiteX0" y="connsiteY0"/>
                  </a:cxn>
                  <a:cxn ang="0">
                    <a:pos x="connsiteX1" y="connsiteY1"/>
                  </a:cxn>
                  <a:cxn ang="0">
                    <a:pos x="connsiteX2" y="connsiteY2"/>
                  </a:cxn>
                </a:cxnLst>
                <a:rect l="l" t="t" r="r" b="b"/>
                <a:pathLst>
                  <a:path w="109021" h="46860">
                    <a:moveTo>
                      <a:pt x="0" y="41122"/>
                    </a:moveTo>
                    <a:cubicBezTo>
                      <a:pt x="10998" y="20561"/>
                      <a:pt x="21996" y="0"/>
                      <a:pt x="40166" y="956"/>
                    </a:cubicBezTo>
                    <a:cubicBezTo>
                      <a:pt x="58336" y="1912"/>
                      <a:pt x="95633" y="41122"/>
                      <a:pt x="109021" y="46860"/>
                    </a:cubicBezTo>
                  </a:path>
                </a:pathLst>
              </a:cu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grpSp>
        <xdr:sp macro="" textlink="'desigh Stairs'!$F$70">
          <xdr:nvSpPr>
            <xdr:cNvPr id="803" name="Rectangle 802"/>
            <xdr:cNvSpPr/>
          </xdr:nvSpPr>
          <xdr:spPr>
            <a:xfrm>
              <a:off x="2171195" y="14181020"/>
              <a:ext cx="810548" cy="2100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73B25A3B-46A3-4F8C-A0D8-B720BD4BFECB}" type="TxLink">
                <a:rPr lang="th-TH" sz="1050">
                  <a:solidFill>
                    <a:schemeClr val="tx2">
                      <a:lumMod val="60000"/>
                      <a:lumOff val="40000"/>
                    </a:schemeClr>
                  </a:solidFill>
                  <a:latin typeface="Times New Roman" pitchFamily="18" charset="0"/>
                </a:rPr>
                <a:pPr algn="ctr"/>
                <a:t> </a:t>
              </a:fld>
              <a:endParaRPr lang="th-TH" sz="1050">
                <a:solidFill>
                  <a:schemeClr val="tx2">
                    <a:lumMod val="60000"/>
                    <a:lumOff val="40000"/>
                  </a:schemeClr>
                </a:solidFill>
                <a:latin typeface="Times New Roman" pitchFamily="18" charset="0"/>
              </a:endParaRPr>
            </a:p>
          </xdr:txBody>
        </xdr:sp>
        <xdr:sp macro="" textlink="'desigh Stairs'!$E$70">
          <xdr:nvSpPr>
            <xdr:cNvPr id="825" name="Rectangle 824"/>
            <xdr:cNvSpPr/>
          </xdr:nvSpPr>
          <xdr:spPr>
            <a:xfrm>
              <a:off x="2073436" y="14180015"/>
              <a:ext cx="353432" cy="2100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2A6C4D91-5854-45F9-8847-50B0DC29E814}" type="TxLink">
                <a:rPr lang="th-TH" sz="1100" b="1">
                  <a:solidFill>
                    <a:schemeClr val="tx2">
                      <a:lumMod val="60000"/>
                      <a:lumOff val="40000"/>
                    </a:schemeClr>
                  </a:solidFill>
                </a:rPr>
                <a:pPr algn="ctr"/>
                <a:t>   </a:t>
              </a:fld>
              <a:endParaRPr lang="th-TH" sz="1100" b="1">
                <a:solidFill>
                  <a:schemeClr val="tx2">
                    <a:lumMod val="60000"/>
                    <a:lumOff val="40000"/>
                  </a:schemeClr>
                </a:solidFill>
              </a:endParaRPr>
            </a:p>
          </xdr:txBody>
        </xdr:sp>
        <xdr:sp macro="" textlink="'desigh Stairs'!$H$70">
          <xdr:nvSpPr>
            <xdr:cNvPr id="826" name="Rectangle 825"/>
            <xdr:cNvSpPr/>
          </xdr:nvSpPr>
          <xdr:spPr>
            <a:xfrm>
              <a:off x="2795203" y="14179372"/>
              <a:ext cx="718319" cy="2100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65389B28-ADBC-48E3-A04A-1570364CCF91}" type="TxLink">
                <a:rPr lang="th-TH" sz="1050">
                  <a:solidFill>
                    <a:schemeClr val="tx2">
                      <a:lumMod val="60000"/>
                      <a:lumOff val="40000"/>
                    </a:schemeClr>
                  </a:solidFill>
                  <a:latin typeface="Times New Roman" pitchFamily="18" charset="0"/>
                </a:rPr>
                <a:pPr algn="ctr"/>
                <a:t>  </a:t>
              </a:fld>
              <a:endParaRPr lang="th-TH" sz="1050">
                <a:solidFill>
                  <a:schemeClr val="tx2">
                    <a:lumMod val="60000"/>
                    <a:lumOff val="40000"/>
                  </a:schemeClr>
                </a:solidFill>
                <a:latin typeface="Times New Roman" pitchFamily="18" charset="0"/>
              </a:endParaRPr>
            </a:p>
          </xdr:txBody>
        </xdr:sp>
        <xdr:sp macro="" textlink="'desigh Stairs'!$G$70">
          <xdr:nvSpPr>
            <xdr:cNvPr id="827" name="Rectangle 826"/>
            <xdr:cNvSpPr/>
          </xdr:nvSpPr>
          <xdr:spPr>
            <a:xfrm>
              <a:off x="2706103" y="14195459"/>
              <a:ext cx="346652" cy="213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fld id="{94DBFB7F-B6A1-4FD4-B775-03079652FB3C}" type="TxLink">
                <a:rPr lang="th-TH" sz="1050">
                  <a:solidFill>
                    <a:schemeClr val="tx2">
                      <a:lumMod val="60000"/>
                      <a:lumOff val="40000"/>
                    </a:schemeClr>
                  </a:solidFill>
                </a:rPr>
                <a:pPr algn="ctr"/>
                <a:t> </a:t>
              </a:fld>
              <a:endParaRPr lang="th-TH" sz="1050">
                <a:solidFill>
                  <a:schemeClr val="tx2">
                    <a:lumMod val="60000"/>
                    <a:lumOff val="40000"/>
                  </a:schemeClr>
                </a:solidFill>
              </a:endParaRPr>
            </a:p>
          </xdr:txBody>
        </xdr:sp>
        <xdr:sp macro="" textlink="'desigh Stairs'!$F$70">
          <xdr:nvSpPr>
            <xdr:cNvPr id="829" name="Rectangle 828"/>
            <xdr:cNvSpPr/>
          </xdr:nvSpPr>
          <xdr:spPr>
            <a:xfrm>
              <a:off x="4029468" y="12340996"/>
              <a:ext cx="810548" cy="21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73B25A3B-46A3-4F8C-A0D8-B720BD4BFECB}" type="TxLink">
                <a:rPr lang="th-TH" sz="1050">
                  <a:solidFill>
                    <a:schemeClr val="tx2">
                      <a:lumMod val="60000"/>
                      <a:lumOff val="40000"/>
                    </a:schemeClr>
                  </a:solidFill>
                  <a:latin typeface="Times New Roman" pitchFamily="18" charset="0"/>
                </a:rPr>
                <a:pPr algn="ctr"/>
                <a:t> </a:t>
              </a:fld>
              <a:endParaRPr lang="th-TH" sz="1050">
                <a:solidFill>
                  <a:schemeClr val="tx2">
                    <a:lumMod val="60000"/>
                    <a:lumOff val="40000"/>
                  </a:schemeClr>
                </a:solidFill>
                <a:latin typeface="Times New Roman" pitchFamily="18" charset="0"/>
              </a:endParaRPr>
            </a:p>
          </xdr:txBody>
        </xdr:sp>
        <xdr:sp macro="" textlink="'desigh Stairs'!$E$70">
          <xdr:nvSpPr>
            <xdr:cNvPr id="835" name="Rectangle 834"/>
            <xdr:cNvSpPr/>
          </xdr:nvSpPr>
          <xdr:spPr>
            <a:xfrm>
              <a:off x="3931709" y="12339991"/>
              <a:ext cx="350119" cy="21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2A6C4D91-5854-45F9-8847-50B0DC29E814}" type="TxLink">
                <a:rPr lang="th-TH" sz="1100" b="1">
                  <a:solidFill>
                    <a:schemeClr val="tx2">
                      <a:lumMod val="60000"/>
                      <a:lumOff val="40000"/>
                    </a:schemeClr>
                  </a:solidFill>
                </a:rPr>
                <a:pPr algn="ctr"/>
                <a:t>   </a:t>
              </a:fld>
              <a:endParaRPr lang="th-TH" sz="1100" b="1">
                <a:solidFill>
                  <a:schemeClr val="tx2">
                    <a:lumMod val="60000"/>
                    <a:lumOff val="40000"/>
                  </a:schemeClr>
                </a:solidFill>
              </a:endParaRPr>
            </a:p>
          </xdr:txBody>
        </xdr:sp>
        <xdr:sp macro="" textlink="'desigh Stairs'!$H$70">
          <xdr:nvSpPr>
            <xdr:cNvPr id="836" name="Rectangle 835"/>
            <xdr:cNvSpPr/>
          </xdr:nvSpPr>
          <xdr:spPr>
            <a:xfrm>
              <a:off x="4683258" y="12339348"/>
              <a:ext cx="721633" cy="21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65389B28-ADBC-48E3-A04A-1570364CCF91}" type="TxLink">
                <a:rPr lang="th-TH" sz="1050">
                  <a:solidFill>
                    <a:schemeClr val="tx2">
                      <a:lumMod val="60000"/>
                      <a:lumOff val="40000"/>
                    </a:schemeClr>
                  </a:solidFill>
                  <a:latin typeface="Times New Roman" pitchFamily="18" charset="0"/>
                </a:rPr>
                <a:pPr algn="ctr"/>
                <a:t>  </a:t>
              </a:fld>
              <a:endParaRPr lang="th-TH" sz="1050">
                <a:solidFill>
                  <a:schemeClr val="tx2">
                    <a:lumMod val="60000"/>
                    <a:lumOff val="40000"/>
                  </a:schemeClr>
                </a:solidFill>
                <a:latin typeface="Times New Roman" pitchFamily="18" charset="0"/>
              </a:endParaRPr>
            </a:p>
          </xdr:txBody>
        </xdr:sp>
        <xdr:sp macro="" textlink="'desigh Stairs'!$G$70">
          <xdr:nvSpPr>
            <xdr:cNvPr id="837" name="Rectangle 836"/>
            <xdr:cNvSpPr/>
          </xdr:nvSpPr>
          <xdr:spPr>
            <a:xfrm>
              <a:off x="4561870" y="12358395"/>
              <a:ext cx="349158" cy="21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fld id="{94DBFB7F-B6A1-4FD4-B775-03079652FB3C}" type="TxLink">
                <a:rPr lang="th-TH" sz="1050">
                  <a:solidFill>
                    <a:schemeClr val="tx2">
                      <a:lumMod val="60000"/>
                      <a:lumOff val="40000"/>
                    </a:schemeClr>
                  </a:solidFill>
                </a:rPr>
                <a:pPr algn="ctr"/>
                <a:t> </a:t>
              </a:fld>
              <a:endParaRPr lang="th-TH" sz="1050">
                <a:solidFill>
                  <a:schemeClr val="tx2">
                    <a:lumMod val="60000"/>
                    <a:lumOff val="40000"/>
                  </a:schemeClr>
                </a:solidFill>
              </a:endParaRPr>
            </a:p>
          </xdr:txBody>
        </xdr:sp>
        <xdr:cxnSp macro="">
          <xdr:nvCxnSpPr>
            <xdr:cNvPr id="845" name="Straight Connector 844"/>
            <xdr:cNvCxnSpPr/>
          </xdr:nvCxnSpPr>
          <xdr:spPr>
            <a:xfrm rot="10800000">
              <a:off x="2475593" y="13923491"/>
              <a:ext cx="579020" cy="1588"/>
            </a:xfrm>
            <a:prstGeom prst="line">
              <a:avLst/>
            </a:prstGeom>
            <a:ln w="317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desigh Stairs'!$J$70">
          <xdr:nvSpPr>
            <xdr:cNvPr id="846" name="Rectangle 845"/>
            <xdr:cNvSpPr/>
          </xdr:nvSpPr>
          <xdr:spPr>
            <a:xfrm>
              <a:off x="1277713" y="13806289"/>
              <a:ext cx="806390" cy="21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541900EA-F88A-4BD6-97D6-44F8AD3FFA5C}" type="TxLink">
                <a:rPr lang="th-TH" sz="1050">
                  <a:solidFill>
                    <a:schemeClr val="tx2">
                      <a:lumMod val="60000"/>
                      <a:lumOff val="40000"/>
                    </a:schemeClr>
                  </a:solidFill>
                  <a:latin typeface="Times New Roman" pitchFamily="18" charset="0"/>
                </a:rPr>
                <a:pPr algn="ctr"/>
                <a:t> </a:t>
              </a:fld>
              <a:endParaRPr lang="th-TH" sz="1050">
                <a:solidFill>
                  <a:schemeClr val="tx2">
                    <a:lumMod val="60000"/>
                    <a:lumOff val="40000"/>
                  </a:schemeClr>
                </a:solidFill>
                <a:latin typeface="Times New Roman" pitchFamily="18" charset="0"/>
              </a:endParaRPr>
            </a:p>
          </xdr:txBody>
        </xdr:sp>
        <xdr:sp macro="" textlink="'desigh Stairs'!$I$70">
          <xdr:nvSpPr>
            <xdr:cNvPr id="847" name="Rectangle 846"/>
            <xdr:cNvSpPr/>
          </xdr:nvSpPr>
          <xdr:spPr>
            <a:xfrm>
              <a:off x="1175826" y="13806282"/>
              <a:ext cx="351458" cy="21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AE0E5023-85DA-486A-93A7-CF3D032B00E1}" type="TxLink">
                <a:rPr lang="th-TH" sz="1100" b="1">
                  <a:solidFill>
                    <a:schemeClr val="tx2">
                      <a:lumMod val="60000"/>
                      <a:lumOff val="40000"/>
                    </a:schemeClr>
                  </a:solidFill>
                </a:rPr>
                <a:pPr algn="ctr"/>
                <a:t>   </a:t>
              </a:fld>
              <a:endParaRPr lang="th-TH" sz="1100" b="1">
                <a:solidFill>
                  <a:schemeClr val="tx2">
                    <a:lumMod val="60000"/>
                    <a:lumOff val="40000"/>
                  </a:schemeClr>
                </a:solidFill>
              </a:endParaRPr>
            </a:p>
          </xdr:txBody>
        </xdr:sp>
        <xdr:sp macro="" textlink="'desigh Stairs'!$L$70">
          <xdr:nvSpPr>
            <xdr:cNvPr id="848" name="Rectangle 847"/>
            <xdr:cNvSpPr/>
          </xdr:nvSpPr>
          <xdr:spPr>
            <a:xfrm>
              <a:off x="1899717" y="13805606"/>
              <a:ext cx="722234" cy="2172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237332C2-32A0-417E-8406-00552DC5BB4C}" type="TxLink">
                <a:rPr lang="th-TH" sz="1050">
                  <a:solidFill>
                    <a:schemeClr val="tx2">
                      <a:lumMod val="60000"/>
                      <a:lumOff val="40000"/>
                    </a:schemeClr>
                  </a:solidFill>
                  <a:latin typeface="Times New Roman" pitchFamily="18" charset="0"/>
                </a:rPr>
                <a:pPr algn="ctr"/>
                <a:t> </a:t>
              </a:fld>
              <a:endParaRPr lang="th-TH" sz="1050">
                <a:solidFill>
                  <a:schemeClr val="tx2">
                    <a:lumMod val="60000"/>
                    <a:lumOff val="40000"/>
                  </a:schemeClr>
                </a:solidFill>
                <a:latin typeface="Times New Roman" pitchFamily="18" charset="0"/>
              </a:endParaRPr>
            </a:p>
          </xdr:txBody>
        </xdr:sp>
        <xdr:sp macro="" textlink="'desigh Stairs'!$K$70">
          <xdr:nvSpPr>
            <xdr:cNvPr id="849" name="Rectangle 848"/>
            <xdr:cNvSpPr/>
          </xdr:nvSpPr>
          <xdr:spPr>
            <a:xfrm>
              <a:off x="1810930" y="13805599"/>
              <a:ext cx="348869" cy="21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E8205428-D6BA-4CBA-9D9F-A7847F36DDD9}" type="TxLink">
                <a:rPr lang="th-TH" sz="1050">
                  <a:solidFill>
                    <a:schemeClr val="tx2">
                      <a:lumMod val="60000"/>
                      <a:lumOff val="40000"/>
                    </a:schemeClr>
                  </a:solidFill>
                </a:rPr>
                <a:pPr algn="ctr"/>
                <a:t> </a:t>
              </a:fld>
              <a:endParaRPr lang="th-TH" sz="1050">
                <a:solidFill>
                  <a:schemeClr val="tx2">
                    <a:lumMod val="60000"/>
                    <a:lumOff val="40000"/>
                  </a:schemeClr>
                </a:solidFill>
              </a:endParaRPr>
            </a:p>
          </xdr:txBody>
        </xdr:sp>
        <xdr:sp macro="" textlink="'desigh Stairs'!$J$70">
          <xdr:nvSpPr>
            <xdr:cNvPr id="850" name="Rectangle 849"/>
            <xdr:cNvSpPr/>
          </xdr:nvSpPr>
          <xdr:spPr>
            <a:xfrm>
              <a:off x="4045576" y="12607111"/>
              <a:ext cx="806390" cy="2372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541900EA-F88A-4BD6-97D6-44F8AD3FFA5C}" type="TxLink">
                <a:rPr lang="th-TH" sz="1050">
                  <a:solidFill>
                    <a:schemeClr val="tx2">
                      <a:lumMod val="60000"/>
                      <a:lumOff val="40000"/>
                    </a:schemeClr>
                  </a:solidFill>
                  <a:latin typeface="Times New Roman" pitchFamily="18" charset="0"/>
                </a:rPr>
                <a:pPr algn="ctr"/>
                <a:t> </a:t>
              </a:fld>
              <a:endParaRPr lang="th-TH" sz="1050">
                <a:solidFill>
                  <a:schemeClr val="tx2">
                    <a:lumMod val="60000"/>
                    <a:lumOff val="40000"/>
                  </a:schemeClr>
                </a:solidFill>
                <a:latin typeface="Times New Roman" pitchFamily="18" charset="0"/>
              </a:endParaRPr>
            </a:p>
          </xdr:txBody>
        </xdr:sp>
        <xdr:sp macro="" textlink="'desigh Stairs'!$I$70">
          <xdr:nvSpPr>
            <xdr:cNvPr id="859" name="Rectangle 858"/>
            <xdr:cNvSpPr/>
          </xdr:nvSpPr>
          <xdr:spPr>
            <a:xfrm>
              <a:off x="3943689" y="12607104"/>
              <a:ext cx="348952" cy="2469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AE0E5023-85DA-486A-93A7-CF3D032B00E1}" type="TxLink">
                <a:rPr lang="th-TH" sz="1100" b="1">
                  <a:solidFill>
                    <a:schemeClr val="tx2">
                      <a:lumMod val="60000"/>
                      <a:lumOff val="40000"/>
                    </a:schemeClr>
                  </a:solidFill>
                </a:rPr>
                <a:pPr algn="ctr"/>
                <a:t>   </a:t>
              </a:fld>
              <a:endParaRPr lang="th-TH" sz="1100" b="1">
                <a:solidFill>
                  <a:schemeClr val="tx2">
                    <a:lumMod val="60000"/>
                    <a:lumOff val="40000"/>
                  </a:schemeClr>
                </a:solidFill>
              </a:endParaRPr>
            </a:p>
          </xdr:txBody>
        </xdr:sp>
        <xdr:sp macro="" textlink="'desigh Stairs'!$L$70">
          <xdr:nvSpPr>
            <xdr:cNvPr id="867" name="Rectangle 866"/>
            <xdr:cNvSpPr/>
          </xdr:nvSpPr>
          <xdr:spPr>
            <a:xfrm>
              <a:off x="4665074" y="12606428"/>
              <a:ext cx="724741" cy="2172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237332C2-32A0-417E-8406-00552DC5BB4C}" type="TxLink">
                <a:rPr lang="th-TH" sz="1050">
                  <a:solidFill>
                    <a:schemeClr val="tx2">
                      <a:lumMod val="60000"/>
                      <a:lumOff val="40000"/>
                    </a:schemeClr>
                  </a:solidFill>
                  <a:latin typeface="Times New Roman" pitchFamily="18" charset="0"/>
                </a:rPr>
                <a:pPr algn="ctr"/>
                <a:t> </a:t>
              </a:fld>
              <a:endParaRPr lang="th-TH" sz="1050">
                <a:solidFill>
                  <a:schemeClr val="tx2">
                    <a:lumMod val="60000"/>
                    <a:lumOff val="40000"/>
                  </a:schemeClr>
                </a:solidFill>
                <a:latin typeface="Times New Roman" pitchFamily="18" charset="0"/>
              </a:endParaRPr>
            </a:p>
          </xdr:txBody>
        </xdr:sp>
        <xdr:sp macro="" textlink="'desigh Stairs'!$K$70">
          <xdr:nvSpPr>
            <xdr:cNvPr id="868" name="Rectangle 867"/>
            <xdr:cNvSpPr/>
          </xdr:nvSpPr>
          <xdr:spPr>
            <a:xfrm>
              <a:off x="4576287" y="12606420"/>
              <a:ext cx="351375" cy="2379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E8205428-D6BA-4CBA-9D9F-A7847F36DDD9}" type="TxLink">
                <a:rPr lang="th-TH" sz="1050">
                  <a:solidFill>
                    <a:schemeClr val="tx2">
                      <a:lumMod val="60000"/>
                      <a:lumOff val="40000"/>
                    </a:schemeClr>
                  </a:solidFill>
                </a:rPr>
                <a:pPr algn="ctr"/>
                <a:t> </a:t>
              </a:fld>
              <a:endParaRPr lang="th-TH" sz="1050">
                <a:solidFill>
                  <a:schemeClr val="tx2">
                    <a:lumMod val="60000"/>
                    <a:lumOff val="40000"/>
                  </a:schemeClr>
                </a:solidFill>
              </a:endParaRPr>
            </a:p>
          </xdr:txBody>
        </xdr:sp>
        <xdr:cxnSp macro="">
          <xdr:nvCxnSpPr>
            <xdr:cNvPr id="870" name="Straight Connector 869"/>
            <xdr:cNvCxnSpPr/>
          </xdr:nvCxnSpPr>
          <xdr:spPr>
            <a:xfrm rot="5400000" flipH="1" flipV="1">
              <a:off x="3650424" y="13524471"/>
              <a:ext cx="217920" cy="193592"/>
            </a:xfrm>
            <a:prstGeom prst="line">
              <a:avLst/>
            </a:prstGeom>
            <a:ln w="3175">
              <a:solidFill>
                <a:schemeClr val="tx2">
                  <a:lumMod val="75000"/>
                </a:schemeClr>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872" name="Straight Connector 871"/>
            <xdr:cNvCxnSpPr/>
          </xdr:nvCxnSpPr>
          <xdr:spPr>
            <a:xfrm rot="16200000" flipH="1">
              <a:off x="3647332" y="13688374"/>
              <a:ext cx="75664" cy="20410"/>
            </a:xfrm>
            <a:prstGeom prst="line">
              <a:avLst/>
            </a:prstGeom>
            <a:ln w="3175">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79" name="Straight Connector 878"/>
            <xdr:cNvCxnSpPr/>
          </xdr:nvCxnSpPr>
          <xdr:spPr>
            <a:xfrm rot="16200000" flipH="1">
              <a:off x="3787424" y="13523952"/>
              <a:ext cx="81850" cy="30925"/>
            </a:xfrm>
            <a:prstGeom prst="line">
              <a:avLst/>
            </a:prstGeom>
            <a:ln w="3175">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sp macro="" textlink="'desigh Stairs'!$M$70">
          <xdr:nvSpPr>
            <xdr:cNvPr id="889" name="Rectangle 888"/>
            <xdr:cNvSpPr/>
          </xdr:nvSpPr>
          <xdr:spPr>
            <a:xfrm>
              <a:off x="5009235" y="12940546"/>
              <a:ext cx="805583" cy="2071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41E9DF06-CC72-4797-B997-422BBFE5E622}" type="TxLink">
                <a:rPr lang="th-TH" sz="1050">
                  <a:solidFill>
                    <a:schemeClr val="tx2">
                      <a:lumMod val="60000"/>
                      <a:lumOff val="40000"/>
                    </a:schemeClr>
                  </a:solidFill>
                  <a:latin typeface="Times New Roman" pitchFamily="18" charset="0"/>
                </a:rPr>
                <a:pPr algn="ctr"/>
                <a:t> </a:t>
              </a:fld>
              <a:endParaRPr lang="th-TH" sz="1050">
                <a:solidFill>
                  <a:schemeClr val="tx2">
                    <a:lumMod val="60000"/>
                    <a:lumOff val="40000"/>
                  </a:schemeClr>
                </a:solidFill>
                <a:latin typeface="Times New Roman" pitchFamily="18" charset="0"/>
              </a:endParaRPr>
            </a:p>
          </xdr:txBody>
        </xdr:sp>
      </xdr:grpSp>
      <xdr:grpSp>
        <xdr:nvGrpSpPr>
          <xdr:cNvPr id="1268" name="Group 1267"/>
          <xdr:cNvGrpSpPr/>
        </xdr:nvGrpSpPr>
        <xdr:grpSpPr>
          <a:xfrm>
            <a:off x="5752843" y="15090926"/>
            <a:ext cx="3111100" cy="682942"/>
            <a:chOff x="6443025" y="15320553"/>
            <a:chExt cx="3119581" cy="705130"/>
          </a:xfrm>
        </xdr:grpSpPr>
        <xdr:cxnSp macro="">
          <xdr:nvCxnSpPr>
            <xdr:cNvPr id="1139" name="Straight Connector 1138"/>
            <xdr:cNvCxnSpPr/>
          </xdr:nvCxnSpPr>
          <xdr:spPr>
            <a:xfrm>
              <a:off x="6445357" y="15330609"/>
              <a:ext cx="360000"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41" name="Straight Connector 1140"/>
            <xdr:cNvCxnSpPr/>
          </xdr:nvCxnSpPr>
          <xdr:spPr>
            <a:xfrm rot="5400000">
              <a:off x="6099766" y="15663812"/>
              <a:ext cx="688106"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45" name="Straight Connector 1144"/>
            <xdr:cNvCxnSpPr/>
          </xdr:nvCxnSpPr>
          <xdr:spPr>
            <a:xfrm>
              <a:off x="6443611" y="16005792"/>
              <a:ext cx="360000"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47" name="Straight Connector 1146"/>
            <xdr:cNvCxnSpPr/>
          </xdr:nvCxnSpPr>
          <xdr:spPr>
            <a:xfrm>
              <a:off x="9199741" y="15326286"/>
              <a:ext cx="360000"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51" name="Straight Connector 1150"/>
            <xdr:cNvCxnSpPr/>
          </xdr:nvCxnSpPr>
          <xdr:spPr>
            <a:xfrm rot="5400000">
              <a:off x="9208936" y="15672043"/>
              <a:ext cx="701565"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53" name="Straight Connector 1152"/>
            <xdr:cNvCxnSpPr/>
          </xdr:nvCxnSpPr>
          <xdr:spPr>
            <a:xfrm>
              <a:off x="9202606" y="16014291"/>
              <a:ext cx="360000"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55" name="Straight Connector 1154"/>
            <xdr:cNvCxnSpPr/>
          </xdr:nvCxnSpPr>
          <xdr:spPr>
            <a:xfrm>
              <a:off x="6789984" y="15680367"/>
              <a:ext cx="2418030" cy="1"/>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58" name="Straight Connector 1157"/>
            <xdr:cNvCxnSpPr/>
          </xdr:nvCxnSpPr>
          <xdr:spPr>
            <a:xfrm>
              <a:off x="6795913" y="15896077"/>
              <a:ext cx="2416474"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60" name="Straight Connector 1159"/>
            <xdr:cNvCxnSpPr/>
          </xdr:nvCxnSpPr>
          <xdr:spPr>
            <a:xfrm>
              <a:off x="6800238" y="15361842"/>
              <a:ext cx="2405850" cy="1588"/>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62" name="Straight Connector 1161"/>
            <xdr:cNvCxnSpPr/>
          </xdr:nvCxnSpPr>
          <xdr:spPr>
            <a:xfrm>
              <a:off x="6479595" y="15385693"/>
              <a:ext cx="288000"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64" name="Straight Connector 1163"/>
            <xdr:cNvCxnSpPr/>
          </xdr:nvCxnSpPr>
          <xdr:spPr>
            <a:xfrm>
              <a:off x="9238750" y="15387565"/>
              <a:ext cx="288000"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66" name="Straight Connector 1165"/>
            <xdr:cNvCxnSpPr/>
          </xdr:nvCxnSpPr>
          <xdr:spPr>
            <a:xfrm rot="5400000">
              <a:off x="6198531" y="15660958"/>
              <a:ext cx="571559"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68" name="Straight Connector 1167"/>
            <xdr:cNvCxnSpPr/>
          </xdr:nvCxnSpPr>
          <xdr:spPr>
            <a:xfrm rot="5400000">
              <a:off x="6476547" y="15664639"/>
              <a:ext cx="571559"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70" name="Straight Connector 1169"/>
            <xdr:cNvCxnSpPr/>
          </xdr:nvCxnSpPr>
          <xdr:spPr>
            <a:xfrm>
              <a:off x="6474882" y="15943527"/>
              <a:ext cx="288000"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72" name="Straight Connector 1171"/>
            <xdr:cNvCxnSpPr/>
          </xdr:nvCxnSpPr>
          <xdr:spPr>
            <a:xfrm rot="5400000">
              <a:off x="8955223" y="15667711"/>
              <a:ext cx="576485"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74" name="Straight Connector 1173"/>
            <xdr:cNvCxnSpPr/>
          </xdr:nvCxnSpPr>
          <xdr:spPr>
            <a:xfrm rot="5400000">
              <a:off x="9232184" y="15668617"/>
              <a:ext cx="576485"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76" name="Straight Connector 1175"/>
            <xdr:cNvCxnSpPr/>
          </xdr:nvCxnSpPr>
          <xdr:spPr>
            <a:xfrm>
              <a:off x="9240102" y="15951866"/>
              <a:ext cx="288000"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78" name="Straight Connector 1177"/>
            <xdr:cNvCxnSpPr/>
          </xdr:nvCxnSpPr>
          <xdr:spPr>
            <a:xfrm>
              <a:off x="6494933" y="15815976"/>
              <a:ext cx="3011152" cy="1588"/>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183" name="Straight Connector 1182"/>
            <xdr:cNvCxnSpPr/>
          </xdr:nvCxnSpPr>
          <xdr:spPr>
            <a:xfrm rot="5400000">
              <a:off x="6625227" y="15501955"/>
              <a:ext cx="344053"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85" name="Straight Connector 1184"/>
            <xdr:cNvCxnSpPr/>
          </xdr:nvCxnSpPr>
          <xdr:spPr>
            <a:xfrm rot="5400000">
              <a:off x="9032733" y="15503675"/>
              <a:ext cx="345383" cy="1588"/>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87" name="Straight Connector 1186"/>
            <xdr:cNvCxnSpPr/>
          </xdr:nvCxnSpPr>
          <xdr:spPr>
            <a:xfrm rot="5400000">
              <a:off x="6737824" y="15949340"/>
              <a:ext cx="118026" cy="0"/>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89" name="Straight Connector 1188"/>
            <xdr:cNvCxnSpPr/>
          </xdr:nvCxnSpPr>
          <xdr:spPr>
            <a:xfrm rot="5400000">
              <a:off x="9139546" y="15961685"/>
              <a:ext cx="127997" cy="0"/>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91" name="Straight Connector 1190"/>
            <xdr:cNvCxnSpPr/>
          </xdr:nvCxnSpPr>
          <xdr:spPr>
            <a:xfrm>
              <a:off x="6484195" y="15436038"/>
              <a:ext cx="3032306" cy="1588"/>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1198" name="Freeform 1197"/>
            <xdr:cNvSpPr/>
          </xdr:nvSpPr>
          <xdr:spPr>
            <a:xfrm>
              <a:off x="6486629" y="15738999"/>
              <a:ext cx="122754" cy="85283"/>
            </a:xfrm>
            <a:custGeom>
              <a:avLst/>
              <a:gdLst>
                <a:gd name="connsiteX0" fmla="*/ 17536 w 122754"/>
                <a:gd name="connsiteY0" fmla="*/ 77530 h 77530"/>
                <a:gd name="connsiteX1" fmla="*/ 17536 w 122754"/>
                <a:gd name="connsiteY1" fmla="*/ 11076 h 77530"/>
                <a:gd name="connsiteX2" fmla="*/ 122754 w 122754"/>
                <a:gd name="connsiteY2" fmla="*/ 11076 h 77530"/>
              </a:gdLst>
              <a:ahLst/>
              <a:cxnLst>
                <a:cxn ang="0">
                  <a:pos x="connsiteX0" y="connsiteY0"/>
                </a:cxn>
                <a:cxn ang="0">
                  <a:pos x="connsiteX1" y="connsiteY1"/>
                </a:cxn>
                <a:cxn ang="0">
                  <a:pos x="connsiteX2" y="connsiteY2"/>
                </a:cxn>
              </a:cxnLst>
              <a:rect l="l" t="t" r="r" b="b"/>
              <a:pathLst>
                <a:path w="122754" h="77530">
                  <a:moveTo>
                    <a:pt x="17536" y="77530"/>
                  </a:moveTo>
                  <a:cubicBezTo>
                    <a:pt x="8768" y="49841"/>
                    <a:pt x="0" y="22152"/>
                    <a:pt x="17536" y="11076"/>
                  </a:cubicBezTo>
                  <a:cubicBezTo>
                    <a:pt x="35072" y="0"/>
                    <a:pt x="94142" y="15691"/>
                    <a:pt x="122754" y="11076"/>
                  </a:cubicBezTo>
                </a:path>
              </a:pathLst>
            </a:custGeom>
            <a:noFill/>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sp macro="" textlink="">
          <xdr:nvSpPr>
            <xdr:cNvPr id="1205" name="Freeform 1204"/>
            <xdr:cNvSpPr/>
          </xdr:nvSpPr>
          <xdr:spPr>
            <a:xfrm>
              <a:off x="9390435" y="15746357"/>
              <a:ext cx="129214" cy="71992"/>
            </a:xfrm>
            <a:custGeom>
              <a:avLst/>
              <a:gdLst>
                <a:gd name="connsiteX0" fmla="*/ 110755 w 129214"/>
                <a:gd name="connsiteY0" fmla="*/ 71992 h 71992"/>
                <a:gd name="connsiteX1" fmla="*/ 110755 w 129214"/>
                <a:gd name="connsiteY1" fmla="*/ 11076 h 71992"/>
                <a:gd name="connsiteX2" fmla="*/ 0 w 129214"/>
                <a:gd name="connsiteY2" fmla="*/ 5538 h 71992"/>
              </a:gdLst>
              <a:ahLst/>
              <a:cxnLst>
                <a:cxn ang="0">
                  <a:pos x="connsiteX0" y="connsiteY0"/>
                </a:cxn>
                <a:cxn ang="0">
                  <a:pos x="connsiteX1" y="connsiteY1"/>
                </a:cxn>
                <a:cxn ang="0">
                  <a:pos x="connsiteX2" y="connsiteY2"/>
                </a:cxn>
              </a:cxnLst>
              <a:rect l="l" t="t" r="r" b="b"/>
              <a:pathLst>
                <a:path w="129214" h="71992">
                  <a:moveTo>
                    <a:pt x="110755" y="71992"/>
                  </a:moveTo>
                  <a:cubicBezTo>
                    <a:pt x="119984" y="47072"/>
                    <a:pt x="129214" y="22152"/>
                    <a:pt x="110755" y="11076"/>
                  </a:cubicBezTo>
                  <a:cubicBezTo>
                    <a:pt x="92296" y="0"/>
                    <a:pt x="15690" y="11999"/>
                    <a:pt x="0" y="5538"/>
                  </a:cubicBezTo>
                </a:path>
              </a:pathLst>
            </a:custGeom>
            <a:noFill/>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cxnSp macro="">
          <xdr:nvCxnSpPr>
            <xdr:cNvPr id="1207" name="Straight Connector 1206"/>
            <xdr:cNvCxnSpPr/>
          </xdr:nvCxnSpPr>
          <xdr:spPr>
            <a:xfrm rot="5400000">
              <a:off x="6886474" y="15548709"/>
              <a:ext cx="223753"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209" name="Straight Connector 1208"/>
            <xdr:cNvCxnSpPr/>
          </xdr:nvCxnSpPr>
          <xdr:spPr>
            <a:xfrm rot="5400000">
              <a:off x="7107984" y="15554245"/>
              <a:ext cx="223753"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211" name="Straight Connector 1210"/>
            <xdr:cNvCxnSpPr/>
          </xdr:nvCxnSpPr>
          <xdr:spPr>
            <a:xfrm rot="5400000">
              <a:off x="7351646" y="15554246"/>
              <a:ext cx="223753"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213" name="Straight Connector 1212"/>
            <xdr:cNvCxnSpPr/>
          </xdr:nvCxnSpPr>
          <xdr:spPr>
            <a:xfrm rot="5400000">
              <a:off x="7599184" y="15548709"/>
              <a:ext cx="223753"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215" name="Straight Connector 1214"/>
            <xdr:cNvCxnSpPr/>
          </xdr:nvCxnSpPr>
          <xdr:spPr>
            <a:xfrm rot="5400000">
              <a:off x="7859460" y="15554246"/>
              <a:ext cx="223753"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217" name="Straight Connector 1216"/>
            <xdr:cNvCxnSpPr/>
          </xdr:nvCxnSpPr>
          <xdr:spPr>
            <a:xfrm rot="5400000">
              <a:off x="8114197" y="15554246"/>
              <a:ext cx="223753"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219" name="Straight Connector 1218"/>
            <xdr:cNvCxnSpPr/>
          </xdr:nvCxnSpPr>
          <xdr:spPr>
            <a:xfrm rot="5400000">
              <a:off x="8367273" y="15554246"/>
              <a:ext cx="223753"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221" name="Straight Connector 1220"/>
            <xdr:cNvCxnSpPr/>
          </xdr:nvCxnSpPr>
          <xdr:spPr>
            <a:xfrm rot="5400000">
              <a:off x="8616474" y="15554246"/>
              <a:ext cx="223753"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223" name="Straight Connector 1222"/>
            <xdr:cNvCxnSpPr/>
          </xdr:nvCxnSpPr>
          <xdr:spPr>
            <a:xfrm rot="5400000">
              <a:off x="8849060" y="15554246"/>
              <a:ext cx="223753"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225" name="Straight Connector 1224"/>
            <xdr:cNvCxnSpPr/>
          </xdr:nvCxnSpPr>
          <xdr:spPr>
            <a:xfrm rot="5400000">
              <a:off x="6715100" y="15746904"/>
              <a:ext cx="151753" cy="1588"/>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227" name="Straight Connector 1226"/>
            <xdr:cNvCxnSpPr/>
          </xdr:nvCxnSpPr>
          <xdr:spPr>
            <a:xfrm rot="5400000">
              <a:off x="6921675" y="15746719"/>
              <a:ext cx="151753" cy="1588"/>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229" name="Straight Connector 1228"/>
            <xdr:cNvCxnSpPr/>
          </xdr:nvCxnSpPr>
          <xdr:spPr>
            <a:xfrm rot="5400000">
              <a:off x="7143186" y="15746719"/>
              <a:ext cx="151753" cy="1588"/>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231" name="Straight Connector 1230"/>
            <xdr:cNvCxnSpPr/>
          </xdr:nvCxnSpPr>
          <xdr:spPr>
            <a:xfrm rot="5400000">
              <a:off x="7386849" y="15746719"/>
              <a:ext cx="151753" cy="1588"/>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233" name="Straight Connector 1232"/>
            <xdr:cNvCxnSpPr/>
          </xdr:nvCxnSpPr>
          <xdr:spPr>
            <a:xfrm rot="5400000">
              <a:off x="7634389" y="15746719"/>
              <a:ext cx="151753" cy="1588"/>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235" name="Straight Connector 1234"/>
            <xdr:cNvCxnSpPr/>
          </xdr:nvCxnSpPr>
          <xdr:spPr>
            <a:xfrm rot="5400000">
              <a:off x="7894665" y="15746719"/>
              <a:ext cx="151753" cy="1588"/>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237" name="Straight Connector 1236"/>
            <xdr:cNvCxnSpPr/>
          </xdr:nvCxnSpPr>
          <xdr:spPr>
            <a:xfrm rot="5400000">
              <a:off x="8148726" y="15746719"/>
              <a:ext cx="151753" cy="1588"/>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239" name="Straight Connector 1238"/>
            <xdr:cNvCxnSpPr/>
          </xdr:nvCxnSpPr>
          <xdr:spPr>
            <a:xfrm rot="5400000">
              <a:off x="8407340" y="15746719"/>
              <a:ext cx="151753" cy="1588"/>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241" name="Straight Connector 1240"/>
            <xdr:cNvCxnSpPr/>
          </xdr:nvCxnSpPr>
          <xdr:spPr>
            <a:xfrm rot="5400000">
              <a:off x="8651681" y="15746719"/>
              <a:ext cx="151753" cy="1588"/>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243" name="Straight Connector 1242"/>
            <xdr:cNvCxnSpPr/>
          </xdr:nvCxnSpPr>
          <xdr:spPr>
            <a:xfrm rot="5400000">
              <a:off x="8884268" y="15742537"/>
              <a:ext cx="151753" cy="1588"/>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247" name="Straight Connector 1246"/>
            <xdr:cNvCxnSpPr/>
          </xdr:nvCxnSpPr>
          <xdr:spPr>
            <a:xfrm rot="5400000">
              <a:off x="9125428" y="15746905"/>
              <a:ext cx="151753" cy="1588"/>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1249" name="Flowchart: Connector 1248"/>
            <xdr:cNvSpPr/>
          </xdr:nvSpPr>
          <xdr:spPr>
            <a:xfrm>
              <a:off x="6500272" y="15408270"/>
              <a:ext cx="10800" cy="10800"/>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250" name="Flowchart: Connector 1249"/>
            <xdr:cNvSpPr/>
          </xdr:nvSpPr>
          <xdr:spPr>
            <a:xfrm>
              <a:off x="6732348" y="15408271"/>
              <a:ext cx="10800" cy="10800"/>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251" name="Flowchart: Connector 1250"/>
            <xdr:cNvSpPr/>
          </xdr:nvSpPr>
          <xdr:spPr>
            <a:xfrm>
              <a:off x="6507819" y="15914357"/>
              <a:ext cx="10800" cy="10800"/>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252" name="Flowchart: Connector 1251"/>
            <xdr:cNvSpPr/>
          </xdr:nvSpPr>
          <xdr:spPr>
            <a:xfrm>
              <a:off x="6733027" y="15911859"/>
              <a:ext cx="10800" cy="10800"/>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253" name="Flowchart: Connector 1252"/>
            <xdr:cNvSpPr/>
          </xdr:nvSpPr>
          <xdr:spPr>
            <a:xfrm>
              <a:off x="6506299" y="15839536"/>
              <a:ext cx="10800" cy="10800"/>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254" name="Flowchart: Connector 1253"/>
            <xdr:cNvSpPr/>
          </xdr:nvSpPr>
          <xdr:spPr>
            <a:xfrm>
              <a:off x="6732279" y="15839467"/>
              <a:ext cx="10800" cy="10800"/>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255" name="Flowchart: Connector 1254"/>
            <xdr:cNvSpPr/>
          </xdr:nvSpPr>
          <xdr:spPr>
            <a:xfrm>
              <a:off x="9261524" y="15410499"/>
              <a:ext cx="10800" cy="10800"/>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256" name="Flowchart: Connector 1255"/>
            <xdr:cNvSpPr/>
          </xdr:nvSpPr>
          <xdr:spPr>
            <a:xfrm>
              <a:off x="9487201" y="15409391"/>
              <a:ext cx="10800" cy="10800"/>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257" name="Flowchart: Connector 1256"/>
            <xdr:cNvSpPr/>
          </xdr:nvSpPr>
          <xdr:spPr>
            <a:xfrm>
              <a:off x="9256109" y="15922256"/>
              <a:ext cx="10800" cy="10800"/>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258" name="Flowchart: Connector 1257"/>
            <xdr:cNvSpPr/>
          </xdr:nvSpPr>
          <xdr:spPr>
            <a:xfrm>
              <a:off x="9490113" y="15921578"/>
              <a:ext cx="10800" cy="10800"/>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259" name="Flowchart: Connector 1258"/>
            <xdr:cNvSpPr/>
          </xdr:nvSpPr>
          <xdr:spPr>
            <a:xfrm>
              <a:off x="9262876" y="15841416"/>
              <a:ext cx="10800" cy="10800"/>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260" name="Flowchart: Connector 1259"/>
            <xdr:cNvSpPr/>
          </xdr:nvSpPr>
          <xdr:spPr>
            <a:xfrm>
              <a:off x="9489926" y="15839153"/>
              <a:ext cx="10800" cy="10800"/>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grpSp>
      <xdr:cxnSp macro="">
        <xdr:nvCxnSpPr>
          <xdr:cNvPr id="1272" name="Straight Connector 1271"/>
          <xdr:cNvCxnSpPr/>
        </xdr:nvCxnSpPr>
        <xdr:spPr>
          <a:xfrm rot="5400000">
            <a:off x="5806938" y="16020099"/>
            <a:ext cx="248769" cy="0"/>
          </a:xfrm>
          <a:prstGeom prst="line">
            <a:avLst/>
          </a:prstGeom>
          <a:ln w="12700">
            <a:solidFill>
              <a:schemeClr val="tx1">
                <a:lumMod val="85000"/>
                <a:lumOff val="1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74" name="Straight Connector 1273"/>
          <xdr:cNvCxnSpPr/>
        </xdr:nvCxnSpPr>
        <xdr:spPr>
          <a:xfrm>
            <a:off x="5930257" y="16093180"/>
            <a:ext cx="2755077" cy="1714"/>
          </a:xfrm>
          <a:prstGeom prst="line">
            <a:avLst/>
          </a:prstGeom>
          <a:ln w="6350">
            <a:solidFill>
              <a:schemeClr val="tx1">
                <a:lumMod val="75000"/>
                <a:lumOff val="25000"/>
              </a:schemeClr>
            </a:solidFill>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1276" name="Straight Connector 1275"/>
          <xdr:cNvCxnSpPr/>
        </xdr:nvCxnSpPr>
        <xdr:spPr>
          <a:xfrm rot="5400000">
            <a:off x="8566137" y="16031023"/>
            <a:ext cx="246121" cy="0"/>
          </a:xfrm>
          <a:prstGeom prst="line">
            <a:avLst/>
          </a:prstGeom>
          <a:ln w="12700">
            <a:solidFill>
              <a:schemeClr val="tx1">
                <a:lumMod val="85000"/>
                <a:lumOff val="15000"/>
              </a:schemeClr>
            </a:solidFill>
          </a:ln>
        </xdr:spPr>
        <xdr:style>
          <a:lnRef idx="1">
            <a:schemeClr val="accent1"/>
          </a:lnRef>
          <a:fillRef idx="0">
            <a:schemeClr val="accent1"/>
          </a:fillRef>
          <a:effectRef idx="0">
            <a:schemeClr val="accent1"/>
          </a:effectRef>
          <a:fontRef idx="minor">
            <a:schemeClr val="tx1"/>
          </a:fontRef>
        </xdr:style>
      </xdr:cxnSp>
      <xdr:sp macro="" textlink="'desigh Stairs'!$G$15">
        <xdr:nvSpPr>
          <xdr:cNvPr id="1278" name="Rectangle 1277"/>
          <xdr:cNvSpPr/>
        </xdr:nvSpPr>
        <xdr:spPr>
          <a:xfrm>
            <a:off x="6905900" y="16055957"/>
            <a:ext cx="1004885" cy="2550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4C3A11A8-4703-459E-860F-1C1463529D20}" type="TxLink">
              <a:rPr lang="th-TH" sz="1050" b="0">
                <a:solidFill>
                  <a:srgbClr val="0070C0"/>
                </a:solidFill>
              </a:rPr>
              <a:pPr algn="ctr"/>
              <a:t>1.50 m.</a:t>
            </a:fld>
            <a:endParaRPr lang="th-TH" sz="1050" b="0">
              <a:solidFill>
                <a:srgbClr val="0070C0"/>
              </a:solidFill>
            </a:endParaRPr>
          </a:p>
        </xdr:txBody>
      </xdr:sp>
      <xdr:grpSp>
        <xdr:nvGrpSpPr>
          <xdr:cNvPr id="2009" name="Group 2008"/>
          <xdr:cNvGrpSpPr/>
        </xdr:nvGrpSpPr>
        <xdr:grpSpPr>
          <a:xfrm>
            <a:off x="5559500" y="12683817"/>
            <a:ext cx="3263666" cy="2270557"/>
            <a:chOff x="5642199" y="35913741"/>
            <a:chExt cx="3256906" cy="2270557"/>
          </a:xfrm>
        </xdr:grpSpPr>
        <xdr:grpSp>
          <xdr:nvGrpSpPr>
            <xdr:cNvPr id="2010" name="Group 1135"/>
            <xdr:cNvGrpSpPr/>
          </xdr:nvGrpSpPr>
          <xdr:grpSpPr>
            <a:xfrm>
              <a:off x="5695932" y="35981016"/>
              <a:ext cx="3106289" cy="2203282"/>
              <a:chOff x="6271344" y="13876118"/>
              <a:chExt cx="3155246" cy="2090942"/>
            </a:xfrm>
          </xdr:grpSpPr>
          <xdr:grpSp>
            <xdr:nvGrpSpPr>
              <xdr:cNvPr id="2012" name="Group 465"/>
              <xdr:cNvGrpSpPr/>
            </xdr:nvGrpSpPr>
            <xdr:grpSpPr>
              <a:xfrm>
                <a:off x="6271344" y="13876118"/>
                <a:ext cx="2018276" cy="2090942"/>
                <a:chOff x="14473235" y="4892399"/>
                <a:chExt cx="3598082" cy="4480145"/>
              </a:xfrm>
            </xdr:grpSpPr>
            <xdr:grpSp>
              <xdr:nvGrpSpPr>
                <xdr:cNvPr id="2033" name="Group 460"/>
                <xdr:cNvGrpSpPr/>
              </xdr:nvGrpSpPr>
              <xdr:grpSpPr>
                <a:xfrm>
                  <a:off x="14473235" y="4892399"/>
                  <a:ext cx="3598082" cy="4480145"/>
                  <a:chOff x="14473235" y="4892399"/>
                  <a:chExt cx="3598082" cy="4480145"/>
                </a:xfrm>
                <a:noFill/>
              </xdr:grpSpPr>
              <xdr:grpSp>
                <xdr:nvGrpSpPr>
                  <xdr:cNvPr id="2037" name="Group 448"/>
                  <xdr:cNvGrpSpPr/>
                </xdr:nvGrpSpPr>
                <xdr:grpSpPr>
                  <a:xfrm>
                    <a:off x="14473235" y="4892399"/>
                    <a:ext cx="3598082" cy="4480145"/>
                    <a:chOff x="14473235" y="4892399"/>
                    <a:chExt cx="3598082" cy="4480145"/>
                  </a:xfrm>
                  <a:grpFill/>
                </xdr:grpSpPr>
                <xdr:grpSp>
                  <xdr:nvGrpSpPr>
                    <xdr:cNvPr id="2048" name="Group 428"/>
                    <xdr:cNvGrpSpPr/>
                  </xdr:nvGrpSpPr>
                  <xdr:grpSpPr>
                    <a:xfrm>
                      <a:off x="14473235" y="4892399"/>
                      <a:ext cx="3598082" cy="4480145"/>
                      <a:chOff x="14511335" y="4905099"/>
                      <a:chExt cx="3598082" cy="4480145"/>
                    </a:xfrm>
                    <a:grpFill/>
                  </xdr:grpSpPr>
                  <xdr:grpSp>
                    <xdr:nvGrpSpPr>
                      <xdr:cNvPr id="2052" name="Group 418"/>
                      <xdr:cNvGrpSpPr/>
                    </xdr:nvGrpSpPr>
                    <xdr:grpSpPr>
                      <a:xfrm>
                        <a:off x="14511335" y="5057696"/>
                        <a:ext cx="3598082" cy="4327548"/>
                        <a:chOff x="14511331" y="5057696"/>
                        <a:chExt cx="3598082" cy="4327548"/>
                      </a:xfrm>
                      <a:grpFill/>
                    </xdr:grpSpPr>
                    <xdr:grpSp>
                      <xdr:nvGrpSpPr>
                        <xdr:cNvPr id="2054" name="Group 406"/>
                        <xdr:cNvGrpSpPr/>
                      </xdr:nvGrpSpPr>
                      <xdr:grpSpPr>
                        <a:xfrm>
                          <a:off x="14511331" y="5057696"/>
                          <a:ext cx="3598082" cy="4327548"/>
                          <a:chOff x="14479741" y="4930696"/>
                          <a:chExt cx="3600004" cy="4327548"/>
                        </a:xfrm>
                        <a:grpFill/>
                      </xdr:grpSpPr>
                      <xdr:graphicFrame macro="">
                        <xdr:nvGraphicFramePr>
                          <xdr:cNvPr id="2064" name="Chart 2063"/>
                          <xdr:cNvGraphicFramePr/>
                        </xdr:nvGraphicFramePr>
                        <xdr:xfrm>
                          <a:off x="14479743" y="4930698"/>
                          <a:ext cx="3600002" cy="432000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2065" name="Chart 2064"/>
                          <xdr:cNvGraphicFramePr/>
                        </xdr:nvGraphicFramePr>
                        <xdr:xfrm>
                          <a:off x="14479741" y="4930696"/>
                          <a:ext cx="3600002" cy="4327548"/>
                        </xdr:xfrm>
                        <a:graphic>
                          <a:graphicData uri="http://schemas.openxmlformats.org/drawingml/2006/chart">
                            <c:chart xmlns:c="http://schemas.openxmlformats.org/drawingml/2006/chart" xmlns:r="http://schemas.openxmlformats.org/officeDocument/2006/relationships" r:id="rId8"/>
                          </a:graphicData>
                        </a:graphic>
                      </xdr:graphicFrame>
                    </xdr:grpSp>
                    <xdr:sp macro="" textlink="'desigh Stairs'!$BG$21">
                      <xdr:nvSpPr>
                        <xdr:cNvPr id="2055" name="Rectangle 2054"/>
                        <xdr:cNvSpPr>
                          <a:spLocks noChangeAspect="1"/>
                        </xdr:cNvSpPr>
                      </xdr:nvSpPr>
                      <xdr:spPr>
                        <a:xfrm>
                          <a:off x="14871694" y="7434913"/>
                          <a:ext cx="967499" cy="458288"/>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8E446B01-D646-46CD-B11E-32D7D97B7812}" type="TxLink">
                            <a:rPr lang="th-TH" sz="800">
                              <a:solidFill>
                                <a:schemeClr val="tx1"/>
                              </a:solidFill>
                            </a:rPr>
                            <a:pPr algn="l"/>
                            <a:t> </a:t>
                          </a:fld>
                          <a:endParaRPr lang="th-TH" sz="800">
                            <a:solidFill>
                              <a:schemeClr val="tx1"/>
                            </a:solidFill>
                          </a:endParaRPr>
                        </a:p>
                      </xdr:txBody>
                    </xdr:sp>
                    <xdr:sp macro="" textlink="'desigh Stairs'!$BG$22">
                      <xdr:nvSpPr>
                        <xdr:cNvPr id="2056" name="Rectangle 2055"/>
                        <xdr:cNvSpPr>
                          <a:spLocks/>
                        </xdr:cNvSpPr>
                      </xdr:nvSpPr>
                      <xdr:spPr>
                        <a:xfrm>
                          <a:off x="14858992" y="7193173"/>
                          <a:ext cx="1056007" cy="41558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CAF885F0-F42C-4703-8D01-964A8D059A74}" type="TxLink">
                            <a:rPr lang="th-TH" sz="800">
                              <a:solidFill>
                                <a:schemeClr val="tx1"/>
                              </a:solidFill>
                            </a:rPr>
                            <a:pPr algn="l"/>
                            <a:t> </a:t>
                          </a:fld>
                          <a:endParaRPr lang="th-TH" sz="800">
                            <a:solidFill>
                              <a:schemeClr val="tx1"/>
                            </a:solidFill>
                          </a:endParaRPr>
                        </a:p>
                      </xdr:txBody>
                    </xdr:sp>
                    <xdr:sp macro="" textlink="'desigh Stairs'!$BG$24">
                      <xdr:nvSpPr>
                        <xdr:cNvPr id="2057" name="Rectangle 2056"/>
                        <xdr:cNvSpPr>
                          <a:spLocks/>
                        </xdr:cNvSpPr>
                      </xdr:nvSpPr>
                      <xdr:spPr>
                        <a:xfrm>
                          <a:off x="14676556" y="6617614"/>
                          <a:ext cx="1319366" cy="364656"/>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B750A037-2408-42E2-8154-D1B71C1891A5}" type="TxLink">
                            <a:rPr lang="th-TH" sz="900">
                              <a:solidFill>
                                <a:schemeClr val="tx1"/>
                              </a:solidFill>
                            </a:rPr>
                            <a:pPr algn="l"/>
                            <a:t>30 cm.</a:t>
                          </a:fld>
                          <a:endParaRPr lang="th-TH" sz="900">
                            <a:solidFill>
                              <a:schemeClr val="tx1"/>
                            </a:solidFill>
                          </a:endParaRPr>
                        </a:p>
                      </xdr:txBody>
                    </xdr:sp>
                    <xdr:sp macro="" textlink="'desigh Stairs'!BG$25">
                      <xdr:nvSpPr>
                        <xdr:cNvPr id="2058" name="Rectangle 2057"/>
                        <xdr:cNvSpPr>
                          <a:spLocks/>
                        </xdr:cNvSpPr>
                      </xdr:nvSpPr>
                      <xdr:spPr>
                        <a:xfrm>
                          <a:off x="14858991" y="6426202"/>
                          <a:ext cx="977692" cy="31840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4D49D5FC-594C-4656-8955-A362048B0A6B}" type="TxLink">
                            <a:rPr lang="th-TH" sz="800">
                              <a:solidFill>
                                <a:schemeClr val="tx1"/>
                              </a:solidFill>
                            </a:rPr>
                            <a:pPr algn="l"/>
                            <a:t> </a:t>
                          </a:fld>
                          <a:endParaRPr lang="th-TH" sz="800">
                            <a:solidFill>
                              <a:schemeClr val="tx1"/>
                            </a:solidFill>
                          </a:endParaRPr>
                        </a:p>
                      </xdr:txBody>
                    </xdr:sp>
                    <xdr:sp macro="" textlink="'desigh Stairs'!$BG$26">
                      <xdr:nvSpPr>
                        <xdr:cNvPr id="2059" name="Rectangle 2058"/>
                        <xdr:cNvSpPr>
                          <a:spLocks noChangeAspect="1"/>
                        </xdr:cNvSpPr>
                      </xdr:nvSpPr>
                      <xdr:spPr>
                        <a:xfrm>
                          <a:off x="14740168" y="6110358"/>
                          <a:ext cx="932255" cy="332183"/>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7AC1A92D-0833-49C3-937C-5EDB995EE40B}" type="TxLink">
                            <a:rPr lang="th-TH" sz="800">
                              <a:solidFill>
                                <a:schemeClr val="tx1"/>
                              </a:solidFill>
                            </a:rPr>
                            <a:pPr algn="l"/>
                            <a:t> </a:t>
                          </a:fld>
                          <a:endParaRPr lang="th-TH" sz="800">
                            <a:solidFill>
                              <a:schemeClr val="tx1"/>
                            </a:solidFill>
                          </a:endParaRPr>
                        </a:p>
                      </xdr:txBody>
                    </xdr:sp>
                    <xdr:sp macro="" textlink="'desigh Stairs'!BG$27">
                      <xdr:nvSpPr>
                        <xdr:cNvPr id="2060" name="Rectangle 2059"/>
                        <xdr:cNvSpPr>
                          <a:spLocks noChangeAspect="1"/>
                        </xdr:cNvSpPr>
                      </xdr:nvSpPr>
                      <xdr:spPr>
                        <a:xfrm>
                          <a:off x="14858990" y="5841210"/>
                          <a:ext cx="1313750" cy="364442"/>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F4EDD874-8ED4-4D43-A9B4-4BA7354CFCC8}" type="TxLink">
                            <a:rPr lang="th-TH" sz="800">
                              <a:solidFill>
                                <a:schemeClr val="tx1"/>
                              </a:solidFill>
                            </a:rPr>
                            <a:pPr algn="l"/>
                            <a:t> </a:t>
                          </a:fld>
                          <a:endParaRPr lang="th-TH" sz="800">
                            <a:solidFill>
                              <a:schemeClr val="tx1"/>
                            </a:solidFill>
                          </a:endParaRPr>
                        </a:p>
                      </xdr:txBody>
                    </xdr:sp>
                    <xdr:sp macro="" textlink="'desigh Stairs'!$BG$28">
                      <xdr:nvSpPr>
                        <xdr:cNvPr id="2061" name="Rectangle 2060"/>
                        <xdr:cNvSpPr>
                          <a:spLocks noChangeAspect="1"/>
                        </xdr:cNvSpPr>
                      </xdr:nvSpPr>
                      <xdr:spPr>
                        <a:xfrm>
                          <a:off x="14815971" y="5484194"/>
                          <a:ext cx="947418" cy="375243"/>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45FBCF9B-D3C1-4BA9-87A8-C7AC14DDD3A6}" type="TxLink">
                            <a:rPr lang="th-TH" sz="900">
                              <a:solidFill>
                                <a:schemeClr val="tx1"/>
                              </a:solidFill>
                            </a:rPr>
                            <a:pPr algn="l"/>
                            <a:t> </a:t>
                          </a:fld>
                          <a:endParaRPr lang="th-TH" sz="900">
                            <a:solidFill>
                              <a:schemeClr val="tx1"/>
                            </a:solidFill>
                          </a:endParaRPr>
                        </a:p>
                      </xdr:txBody>
                    </xdr:sp>
                    <xdr:sp macro="" textlink="'desigh Stairs'!BG$29">
                      <xdr:nvSpPr>
                        <xdr:cNvPr id="2062" name="Rectangle 2061"/>
                        <xdr:cNvSpPr>
                          <a:spLocks noChangeAspect="1"/>
                        </xdr:cNvSpPr>
                      </xdr:nvSpPr>
                      <xdr:spPr>
                        <a:xfrm>
                          <a:off x="14601262" y="5199970"/>
                          <a:ext cx="1071171" cy="457153"/>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fld id="{00D0F0A3-DD45-4F14-B6E8-8FFAD20657EE}" type="TxLink">
                            <a:rPr lang="th-TH" sz="800">
                              <a:solidFill>
                                <a:schemeClr val="tx1"/>
                              </a:solidFill>
                            </a:rPr>
                            <a:pPr algn="r"/>
                            <a:t> </a:t>
                          </a:fld>
                          <a:endParaRPr lang="th-TH" sz="800">
                            <a:solidFill>
                              <a:schemeClr val="tx1"/>
                            </a:solidFill>
                          </a:endParaRPr>
                        </a:p>
                      </xdr:txBody>
                    </xdr:sp>
                    <xdr:sp macro="" textlink="'desigh Stairs'!$BG23">
                      <xdr:nvSpPr>
                        <xdr:cNvPr id="2063" name="Rectangle 2062"/>
                        <xdr:cNvSpPr>
                          <a:spLocks noChangeAspect="1"/>
                        </xdr:cNvSpPr>
                      </xdr:nvSpPr>
                      <xdr:spPr>
                        <a:xfrm>
                          <a:off x="14858998" y="6847676"/>
                          <a:ext cx="919550" cy="52824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46BCD274-7976-4A0B-80B2-D5B002495FCC}" type="TxLink">
                            <a:rPr lang="th-TH" sz="800">
                              <a:solidFill>
                                <a:schemeClr val="tx1"/>
                              </a:solidFill>
                            </a:rPr>
                            <a:pPr algn="l"/>
                            <a:t> </a:t>
                          </a:fld>
                          <a:endParaRPr lang="th-TH" sz="800">
                            <a:solidFill>
                              <a:schemeClr val="tx1"/>
                            </a:solidFill>
                          </a:endParaRPr>
                        </a:p>
                      </xdr:txBody>
                    </xdr:sp>
                  </xdr:grpSp>
                  <xdr:sp macro="" textlink="'desigh Stairs'!BG$30">
                    <xdr:nvSpPr>
                      <xdr:cNvPr id="2053" name="Rectangle 2052"/>
                      <xdr:cNvSpPr>
                        <a:spLocks noChangeAspect="1"/>
                      </xdr:cNvSpPr>
                    </xdr:nvSpPr>
                    <xdr:spPr>
                      <a:xfrm>
                        <a:off x="14768037" y="4905099"/>
                        <a:ext cx="995358" cy="54916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CCE6BECA-819B-4E86-8D26-B1DF02D090DC}" type="TxLink">
                          <a:rPr lang="th-TH" sz="800">
                            <a:solidFill>
                              <a:schemeClr val="tx1"/>
                            </a:solidFill>
                          </a:rPr>
                          <a:pPr algn="l"/>
                          <a:t> </a:t>
                        </a:fld>
                        <a:endParaRPr lang="th-TH" sz="800">
                          <a:solidFill>
                            <a:schemeClr val="tx1"/>
                          </a:solidFill>
                        </a:endParaRPr>
                      </a:p>
                    </xdr:txBody>
                  </xdr:sp>
                </xdr:grpSp>
                <xdr:sp macro="" textlink="'desigh Stairs'!$BH$21">
                  <xdr:nvSpPr>
                    <xdr:cNvPr id="2049" name="Rectangle 2048"/>
                    <xdr:cNvSpPr/>
                  </xdr:nvSpPr>
                  <xdr:spPr>
                    <a:xfrm>
                      <a:off x="16443247" y="8160924"/>
                      <a:ext cx="449460" cy="100221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b"/>
                    <a:lstStyle/>
                    <a:p>
                      <a:pPr algn="ctr"/>
                      <a:fld id="{D107DDE9-83C4-4322-B19A-3D3042A4CA3C}" type="TxLink">
                        <a:rPr lang="th-TH" sz="800">
                          <a:solidFill>
                            <a:schemeClr val="tx1"/>
                          </a:solidFill>
                        </a:rPr>
                        <a:pPr algn="ctr"/>
                        <a:t> </a:t>
                      </a:fld>
                      <a:endParaRPr lang="th-TH" sz="800">
                        <a:solidFill>
                          <a:schemeClr val="tx1"/>
                        </a:solidFill>
                      </a:endParaRPr>
                    </a:p>
                  </xdr:txBody>
                </xdr:sp>
                <xdr:sp macro="" textlink="'desigh Stairs'!BH$22">
                  <xdr:nvSpPr>
                    <xdr:cNvPr id="2050" name="Rectangle 2049"/>
                    <xdr:cNvSpPr/>
                  </xdr:nvSpPr>
                  <xdr:spPr>
                    <a:xfrm>
                      <a:off x="16195293" y="7687160"/>
                      <a:ext cx="424517" cy="892879"/>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fld id="{09162708-5A99-48BF-82E8-2F9910D4D582}" type="TxLink">
                        <a:rPr lang="th-TH" sz="800">
                          <a:solidFill>
                            <a:schemeClr val="tx1"/>
                          </a:solidFill>
                        </a:rPr>
                        <a:pPr algn="ctr"/>
                        <a:t> </a:t>
                      </a:fld>
                      <a:endParaRPr lang="th-TH" sz="800">
                        <a:solidFill>
                          <a:schemeClr val="tx1"/>
                        </a:solidFill>
                      </a:endParaRPr>
                    </a:p>
                  </xdr:txBody>
                </xdr:sp>
                <xdr:sp macro="" textlink="'desigh Stairs'!BH$23">
                  <xdr:nvSpPr>
                    <xdr:cNvPr id="2051" name="Rectangle 2050"/>
                    <xdr:cNvSpPr/>
                  </xdr:nvSpPr>
                  <xdr:spPr>
                    <a:xfrm>
                      <a:off x="16286260" y="7151209"/>
                      <a:ext cx="394195" cy="1137286"/>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t"/>
                    <a:lstStyle/>
                    <a:p>
                      <a:pPr algn="ctr"/>
                      <a:fld id="{DE391D4B-392C-42E0-9A9B-E29FAF866332}" type="TxLink">
                        <a:rPr lang="th-TH" sz="800">
                          <a:solidFill>
                            <a:schemeClr val="tx1"/>
                          </a:solidFill>
                        </a:rPr>
                        <a:pPr algn="ctr"/>
                        <a:t> </a:t>
                      </a:fld>
                      <a:endParaRPr lang="th-TH" sz="800">
                        <a:solidFill>
                          <a:schemeClr val="tx1"/>
                        </a:solidFill>
                      </a:endParaRPr>
                    </a:p>
                  </xdr:txBody>
                </xdr:sp>
              </xdr:grpSp>
              <xdr:sp macro="" textlink="'desigh Stairs'!BF$21">
                <xdr:nvSpPr>
                  <xdr:cNvPr id="2038" name="Rectangle 2037"/>
                  <xdr:cNvSpPr/>
                </xdr:nvSpPr>
                <xdr:spPr>
                  <a:xfrm>
                    <a:off x="15011399" y="7395606"/>
                    <a:ext cx="1062601" cy="364442"/>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89A4AF04-06ED-458D-9DA6-347F6404F4B8}" type="TxLink">
                      <a:rPr lang="th-TH" sz="800">
                        <a:solidFill>
                          <a:schemeClr val="tx1"/>
                        </a:solidFill>
                      </a:rPr>
                      <a:pPr algn="ctr"/>
                      <a:t> </a:t>
                    </a:fld>
                    <a:endParaRPr lang="th-TH" sz="800">
                      <a:solidFill>
                        <a:schemeClr val="tx1"/>
                      </a:solidFill>
                    </a:endParaRPr>
                  </a:p>
                </xdr:txBody>
              </xdr:sp>
              <xdr:sp macro="" textlink="'desigh Stairs'!BF$22">
                <xdr:nvSpPr>
                  <xdr:cNvPr id="2039" name="Rectangle 2038"/>
                  <xdr:cNvSpPr/>
                </xdr:nvSpPr>
                <xdr:spPr>
                  <a:xfrm>
                    <a:off x="15011399" y="7067607"/>
                    <a:ext cx="1092924" cy="474536"/>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fld id="{8842CF78-47A1-414A-B7C2-D2B2F94EC2CC}" type="TxLink">
                      <a:rPr lang="th-TH" sz="800">
                        <a:solidFill>
                          <a:schemeClr val="tx1"/>
                        </a:solidFill>
                      </a:rPr>
                      <a:pPr algn="ctr"/>
                      <a:t> </a:t>
                    </a:fld>
                    <a:endParaRPr lang="th-TH" sz="800">
                      <a:solidFill>
                        <a:schemeClr val="tx1"/>
                      </a:solidFill>
                    </a:endParaRPr>
                  </a:p>
                </xdr:txBody>
              </xdr:sp>
              <xdr:sp macro="" textlink="'desigh Stairs'!BF$23">
                <xdr:nvSpPr>
                  <xdr:cNvPr id="2040" name="Rectangle 2039"/>
                  <xdr:cNvSpPr/>
                </xdr:nvSpPr>
                <xdr:spPr>
                  <a:xfrm>
                    <a:off x="15011399" y="6867163"/>
                    <a:ext cx="1077763" cy="437329"/>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1DBC0138-0309-4DF8-B156-ADFB342B5837}" type="TxLink">
                      <a:rPr lang="th-TH" sz="800">
                        <a:solidFill>
                          <a:schemeClr val="tx1"/>
                        </a:solidFill>
                      </a:rPr>
                      <a:pPr algn="ctr"/>
                      <a:t> </a:t>
                    </a:fld>
                    <a:endParaRPr lang="th-TH" sz="800">
                      <a:solidFill>
                        <a:schemeClr val="tx1"/>
                      </a:solidFill>
                    </a:endParaRPr>
                  </a:p>
                </xdr:txBody>
              </xdr:sp>
              <xdr:sp macro="" textlink="'desigh Stairs'!BF$24">
                <xdr:nvSpPr>
                  <xdr:cNvPr id="2041" name="Rectangle 2040"/>
                  <xdr:cNvSpPr/>
                </xdr:nvSpPr>
                <xdr:spPr>
                  <a:xfrm>
                    <a:off x="14950757" y="6593839"/>
                    <a:ext cx="986795" cy="398343"/>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657B89E-140C-4CFB-A145-B0DA415F8278}" type="TxLink">
                      <a:rPr lang="th-TH" sz="800">
                        <a:solidFill>
                          <a:schemeClr val="tx1"/>
                        </a:solidFill>
                      </a:rPr>
                      <a:pPr algn="ctr"/>
                      <a:t> </a:t>
                    </a:fld>
                    <a:endParaRPr lang="th-TH" sz="800">
                      <a:solidFill>
                        <a:schemeClr val="tx1"/>
                      </a:solidFill>
                    </a:endParaRPr>
                  </a:p>
                </xdr:txBody>
              </xdr:sp>
              <xdr:sp macro="" textlink="'desigh Stairs'!BF$25">
                <xdr:nvSpPr>
                  <xdr:cNvPr id="2042" name="Rectangle 2041"/>
                  <xdr:cNvSpPr/>
                </xdr:nvSpPr>
                <xdr:spPr>
                  <a:xfrm>
                    <a:off x="14950757" y="6302287"/>
                    <a:ext cx="956472" cy="404973"/>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2067E2CD-2001-4AC8-B100-0D8CFD1B9937}" type="TxLink">
                      <a:rPr lang="th-TH" sz="800">
                        <a:solidFill>
                          <a:schemeClr val="tx1"/>
                        </a:solidFill>
                      </a:rPr>
                      <a:pPr algn="ctr"/>
                      <a:t> </a:t>
                    </a:fld>
                    <a:endParaRPr lang="th-TH" sz="800">
                      <a:solidFill>
                        <a:schemeClr val="tx1"/>
                      </a:solidFill>
                    </a:endParaRPr>
                  </a:p>
                </xdr:txBody>
              </xdr:sp>
              <xdr:sp macro="" textlink="'desigh Stairs'!BF$26">
                <xdr:nvSpPr>
                  <xdr:cNvPr id="2043" name="Rectangle 2042"/>
                  <xdr:cNvSpPr/>
                </xdr:nvSpPr>
                <xdr:spPr>
                  <a:xfrm>
                    <a:off x="14996239" y="6065400"/>
                    <a:ext cx="986795" cy="346219"/>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18D6AAD5-D983-4C8A-8686-4EA77FB6637D}" type="TxLink">
                      <a:rPr lang="th-TH" sz="800">
                        <a:solidFill>
                          <a:schemeClr val="tx1"/>
                        </a:solidFill>
                      </a:rPr>
                      <a:pPr algn="ctr"/>
                      <a:t> </a:t>
                    </a:fld>
                    <a:endParaRPr lang="th-TH" sz="800">
                      <a:solidFill>
                        <a:schemeClr val="tx1"/>
                      </a:solidFill>
                    </a:endParaRPr>
                  </a:p>
                </xdr:txBody>
              </xdr:sp>
              <xdr:sp macro="" textlink="'desigh Stairs'!BF$30">
                <xdr:nvSpPr>
                  <xdr:cNvPr id="2044" name="Rectangle 2043"/>
                  <xdr:cNvSpPr/>
                </xdr:nvSpPr>
                <xdr:spPr>
                  <a:xfrm>
                    <a:off x="14996239" y="5008520"/>
                    <a:ext cx="986795" cy="346219"/>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C71362F-94C5-4287-B245-090970997AF8}" type="TxLink">
                      <a:rPr lang="th-TH" sz="900">
                        <a:solidFill>
                          <a:schemeClr val="tx1"/>
                        </a:solidFill>
                      </a:rPr>
                      <a:pPr algn="ctr"/>
                      <a:t> </a:t>
                    </a:fld>
                    <a:endParaRPr lang="th-TH" sz="900">
                      <a:solidFill>
                        <a:schemeClr val="tx1"/>
                      </a:solidFill>
                    </a:endParaRPr>
                  </a:p>
                </xdr:txBody>
              </xdr:sp>
              <xdr:sp macro="" textlink="'desigh Stairs'!BF$27">
                <xdr:nvSpPr>
                  <xdr:cNvPr id="2045" name="Rectangle 2044"/>
                  <xdr:cNvSpPr/>
                </xdr:nvSpPr>
                <xdr:spPr>
                  <a:xfrm>
                    <a:off x="14981078" y="5773844"/>
                    <a:ext cx="941312" cy="40088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1B247BB0-B14F-4E03-B558-AD5F99C8DBAE}" type="TxLink">
                      <a:rPr lang="th-TH" sz="800">
                        <a:solidFill>
                          <a:schemeClr val="tx1"/>
                        </a:solidFill>
                      </a:rPr>
                      <a:pPr algn="ctr"/>
                      <a:t> </a:t>
                    </a:fld>
                    <a:endParaRPr lang="th-TH" sz="800">
                      <a:solidFill>
                        <a:schemeClr val="tx1"/>
                      </a:solidFill>
                    </a:endParaRPr>
                  </a:p>
                </xdr:txBody>
              </xdr:sp>
              <xdr:sp macro="" textlink="'desigh Stairs'!BF$28">
                <xdr:nvSpPr>
                  <xdr:cNvPr id="2046" name="Rectangle 2045"/>
                  <xdr:cNvSpPr/>
                </xdr:nvSpPr>
                <xdr:spPr>
                  <a:xfrm>
                    <a:off x="15011399" y="5518735"/>
                    <a:ext cx="986795" cy="412166"/>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E58CC30F-977D-415C-BE70-B11B87E8505B}" type="TxLink">
                      <a:rPr lang="th-TH" sz="800">
                        <a:solidFill>
                          <a:schemeClr val="tx1"/>
                        </a:solidFill>
                      </a:rPr>
                      <a:pPr algn="ctr"/>
                      <a:t> </a:t>
                    </a:fld>
                    <a:endParaRPr lang="th-TH" sz="800">
                      <a:solidFill>
                        <a:schemeClr val="tx1"/>
                      </a:solidFill>
                    </a:endParaRPr>
                  </a:p>
                </xdr:txBody>
              </xdr:sp>
              <xdr:sp macro="" textlink="'desigh Stairs'!BF$29">
                <xdr:nvSpPr>
                  <xdr:cNvPr id="2047" name="Rectangle 2046"/>
                  <xdr:cNvSpPr/>
                </xdr:nvSpPr>
                <xdr:spPr>
                  <a:xfrm>
                    <a:off x="14981077" y="5281851"/>
                    <a:ext cx="1001956" cy="364442"/>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7AD39ED0-C8A3-498E-8324-4DC44A924B22}" type="TxLink">
                      <a:rPr lang="th-TH" sz="800">
                        <a:solidFill>
                          <a:schemeClr val="tx1"/>
                        </a:solidFill>
                      </a:rPr>
                      <a:pPr algn="ctr"/>
                      <a:t> </a:t>
                    </a:fld>
                    <a:endParaRPr lang="th-TH" sz="800">
                      <a:solidFill>
                        <a:schemeClr val="tx1"/>
                      </a:solidFill>
                    </a:endParaRPr>
                  </a:p>
                </xdr:txBody>
              </xdr:sp>
            </xdr:grpSp>
            <xdr:sp macro="" textlink="'desigh Stairs'!$BI$21">
              <xdr:nvSpPr>
                <xdr:cNvPr id="2034" name="Rectangle 2033"/>
                <xdr:cNvSpPr/>
              </xdr:nvSpPr>
              <xdr:spPr>
                <a:xfrm>
                  <a:off x="15867617" y="7915977"/>
                  <a:ext cx="448966" cy="9920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b"/>
                <a:lstStyle/>
                <a:p>
                  <a:pPr algn="ctr"/>
                  <a:fld id="{669449AC-3EA9-470B-8BD0-087F230B04FC}" type="TxLink">
                    <a:rPr lang="th-TH" sz="800">
                      <a:solidFill>
                        <a:schemeClr val="tx1"/>
                      </a:solidFill>
                    </a:rPr>
                    <a:pPr algn="ctr"/>
                    <a:t> </a:t>
                  </a:fld>
                  <a:endParaRPr lang="th-TH" sz="800">
                    <a:solidFill>
                      <a:schemeClr val="tx1"/>
                    </a:solidFill>
                  </a:endParaRPr>
                </a:p>
              </xdr:txBody>
            </xdr:sp>
            <xdr:sp macro="" textlink="'desigh Stairs'!$BI$22">
              <xdr:nvSpPr>
                <xdr:cNvPr id="2035" name="Rectangle 2034"/>
                <xdr:cNvSpPr/>
              </xdr:nvSpPr>
              <xdr:spPr>
                <a:xfrm>
                  <a:off x="15913098" y="7797797"/>
                  <a:ext cx="327671" cy="9644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b"/>
                <a:lstStyle/>
                <a:p>
                  <a:pPr algn="ctr"/>
                  <a:fld id="{80F8210D-5289-48E2-9755-DEAE641992D0}" type="TxLink">
                    <a:rPr lang="th-TH" sz="800">
                      <a:solidFill>
                        <a:schemeClr val="tx1"/>
                      </a:solidFill>
                    </a:rPr>
                    <a:pPr algn="ctr"/>
                    <a:t>60 cm.</a:t>
                  </a:fld>
                  <a:endParaRPr lang="th-TH" sz="800">
                    <a:solidFill>
                      <a:schemeClr val="tx1"/>
                    </a:solidFill>
                  </a:endParaRPr>
                </a:p>
              </xdr:txBody>
            </xdr:sp>
            <xdr:sp macro="" textlink="'desigh Stairs'!$BI$23">
              <xdr:nvSpPr>
                <xdr:cNvPr id="2036" name="Rectangle 2035"/>
                <xdr:cNvSpPr/>
              </xdr:nvSpPr>
              <xdr:spPr>
                <a:xfrm>
                  <a:off x="15963899" y="7277098"/>
                  <a:ext cx="383006" cy="10660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fld id="{CE37101E-14B2-4F1C-B5A9-A32D3DEC4ABE}" type="TxLink">
                    <a:rPr lang="th-TH" sz="800">
                      <a:solidFill>
                        <a:schemeClr val="tx1"/>
                      </a:solidFill>
                    </a:rPr>
                    <a:pPr algn="ctr"/>
                    <a:t> </a:t>
                  </a:fld>
                  <a:endParaRPr lang="th-TH" sz="800">
                    <a:solidFill>
                      <a:schemeClr val="tx1"/>
                    </a:solidFill>
                  </a:endParaRPr>
                </a:p>
              </xdr:txBody>
            </xdr:sp>
          </xdr:grpSp>
          <xdr:sp macro="" textlink="'desigh Stairs'!BJ$21">
            <xdr:nvSpPr>
              <xdr:cNvPr id="2013" name="Rectangle 2012"/>
              <xdr:cNvSpPr/>
            </xdr:nvSpPr>
            <xdr:spPr>
              <a:xfrm>
                <a:off x="7534933" y="15360448"/>
                <a:ext cx="178615" cy="3898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fld id="{0AAFA5E5-D0E6-4512-8C4B-CD60E06ACB13}" type="TxLink">
                  <a:rPr lang="th-TH" sz="800">
                    <a:solidFill>
                      <a:schemeClr val="tx1"/>
                    </a:solidFill>
                  </a:rPr>
                  <a:pPr algn="ctr"/>
                  <a:t> </a:t>
                </a:fld>
                <a:endParaRPr lang="th-TH" sz="800">
                  <a:solidFill>
                    <a:schemeClr val="tx1"/>
                  </a:solidFill>
                </a:endParaRPr>
              </a:p>
            </xdr:txBody>
          </xdr:sp>
          <xdr:sp macro="" textlink="'desigh Stairs'!BJ$22">
            <xdr:nvSpPr>
              <xdr:cNvPr id="2014" name="Rectangle 2013"/>
              <xdr:cNvSpPr/>
            </xdr:nvSpPr>
            <xdr:spPr>
              <a:xfrm>
                <a:off x="7536715" y="15151125"/>
                <a:ext cx="151321" cy="395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fld id="{6F729D04-3F22-4197-96AA-9663ED455B60}" type="TxLink">
                  <a:rPr lang="th-TH" sz="800">
                    <a:solidFill>
                      <a:schemeClr val="tx1"/>
                    </a:solidFill>
                  </a:rPr>
                  <a:pPr algn="ctr"/>
                  <a:t> </a:t>
                </a:fld>
                <a:endParaRPr lang="th-TH" sz="800">
                  <a:solidFill>
                    <a:schemeClr val="tx1"/>
                  </a:solidFill>
                </a:endParaRPr>
              </a:p>
            </xdr:txBody>
          </xdr:sp>
          <xdr:sp macro="" textlink="'desigh Stairs'!BJ$23">
            <xdr:nvSpPr>
              <xdr:cNvPr id="2015" name="Rectangle 2014"/>
              <xdr:cNvSpPr/>
            </xdr:nvSpPr>
            <xdr:spPr>
              <a:xfrm>
                <a:off x="7451398" y="15013572"/>
                <a:ext cx="188500" cy="5070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fld id="{36B306EA-64FE-444D-8F19-A431A13BECC1}" type="TxLink">
                  <a:rPr lang="th-TH" sz="800">
                    <a:solidFill>
                      <a:schemeClr val="tx1"/>
                    </a:solidFill>
                  </a:rPr>
                  <a:pPr algn="ctr"/>
                  <a:t> </a:t>
                </a:fld>
                <a:endParaRPr lang="th-TH" sz="800">
                  <a:solidFill>
                    <a:schemeClr val="tx1"/>
                  </a:solidFill>
                </a:endParaRPr>
              </a:p>
            </xdr:txBody>
          </xdr:sp>
          <xdr:sp macro="" textlink="">
            <xdr:nvSpPr>
              <xdr:cNvPr id="2016" name="TextBox 2015"/>
              <xdr:cNvSpPr txBox="1"/>
            </xdr:nvSpPr>
            <xdr:spPr>
              <a:xfrm>
                <a:off x="7644171" y="13930326"/>
                <a:ext cx="1645401" cy="20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th-TH" sz="1100"/>
              </a:p>
            </xdr:txBody>
          </xdr:sp>
          <xdr:sp macro="" textlink="'desigh Stairs'!$BF$32">
            <xdr:nvSpPr>
              <xdr:cNvPr id="2017" name="Rectangle 2016"/>
              <xdr:cNvSpPr/>
            </xdr:nvSpPr>
            <xdr:spPr>
              <a:xfrm>
                <a:off x="7955637" y="15646827"/>
                <a:ext cx="367325" cy="1970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2C65E761-A148-4559-A928-7869921559DF}" type="TxLink">
                  <a:rPr lang="th-TH" sz="900" b="1">
                    <a:solidFill>
                      <a:schemeClr val="tx1"/>
                    </a:solidFill>
                  </a:rPr>
                  <a:pPr algn="ctr"/>
                  <a:t>DB</a:t>
                </a:fld>
                <a:endParaRPr lang="th-TH" sz="900" b="1">
                  <a:solidFill>
                    <a:schemeClr val="tx1"/>
                  </a:solidFill>
                </a:endParaRPr>
              </a:p>
            </xdr:txBody>
          </xdr:sp>
          <xdr:sp macro="" textlink="'desigh Stairs'!$BG$32">
            <xdr:nvSpPr>
              <xdr:cNvPr id="2018" name="Rectangle 2017"/>
              <xdr:cNvSpPr/>
            </xdr:nvSpPr>
            <xdr:spPr>
              <a:xfrm>
                <a:off x="8146191" y="15614281"/>
                <a:ext cx="748055" cy="2380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E0491B15-43B6-42C7-BCE4-BC9650C88FDF}" type="TxLink">
                  <a:rPr lang="th-TH" sz="900" b="0">
                    <a:solidFill>
                      <a:schemeClr val="tx1"/>
                    </a:solidFill>
                  </a:rPr>
                  <a:pPr algn="ctr"/>
                  <a:t>ø  12 mm.</a:t>
                </a:fld>
                <a:endParaRPr lang="th-TH" sz="900" b="0">
                  <a:solidFill>
                    <a:schemeClr val="tx1"/>
                  </a:solidFill>
                </a:endParaRPr>
              </a:p>
            </xdr:txBody>
          </xdr:sp>
          <xdr:sp macro="" textlink="'desigh Stairs'!$BH$32">
            <xdr:nvSpPr>
              <xdr:cNvPr id="2019" name="Rectangle 2018"/>
              <xdr:cNvSpPr/>
            </xdr:nvSpPr>
            <xdr:spPr>
              <a:xfrm>
                <a:off x="8589926" y="15649264"/>
                <a:ext cx="836664" cy="1762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273DC38D-3240-42E8-A79F-23F2E0D170B4}" type="TxLink">
                  <a:rPr lang="th-TH" sz="900">
                    <a:solidFill>
                      <a:schemeClr val="tx1"/>
                    </a:solidFill>
                  </a:rPr>
                  <a:pPr algn="ctr"/>
                  <a:t>@9.0 cm.</a:t>
                </a:fld>
                <a:endParaRPr lang="th-TH" sz="900">
                  <a:solidFill>
                    <a:schemeClr val="tx1"/>
                  </a:solidFill>
                </a:endParaRPr>
              </a:p>
            </xdr:txBody>
          </xdr:sp>
          <xdr:sp macro="" textlink="">
            <xdr:nvSpPr>
              <xdr:cNvPr id="2020" name="Rectangle 2019"/>
              <xdr:cNvSpPr/>
            </xdr:nvSpPr>
            <xdr:spPr>
              <a:xfrm>
                <a:off x="7882860" y="15412059"/>
                <a:ext cx="582917" cy="2191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lang="en-US" sz="900" b="1">
                    <a:solidFill>
                      <a:srgbClr val="FF0000"/>
                    </a:solidFill>
                  </a:rPr>
                  <a:t>Strirup</a:t>
                </a:r>
                <a:endParaRPr lang="th-TH" sz="900" b="1">
                  <a:solidFill>
                    <a:srgbClr val="FF0000"/>
                  </a:solidFill>
                </a:endParaRPr>
              </a:p>
            </xdr:txBody>
          </xdr:sp>
          <xdr:sp macro="" textlink="'desigh Stairs'!$BF$34">
            <xdr:nvSpPr>
              <xdr:cNvPr id="2021" name="Rectangle 2020"/>
              <xdr:cNvSpPr/>
            </xdr:nvSpPr>
            <xdr:spPr>
              <a:xfrm>
                <a:off x="7869075" y="15083163"/>
                <a:ext cx="652438" cy="1738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D5BD28D2-11F2-49B4-8F03-FAE0CE3208D5}" type="TxLink">
                  <a:rPr lang="th-TH" sz="900" b="1">
                    <a:solidFill>
                      <a:srgbClr val="FF0000"/>
                    </a:solidFill>
                  </a:rPr>
                  <a:pPr algn="l"/>
                  <a:t>Under</a:t>
                </a:fld>
                <a:endParaRPr lang="th-TH" sz="900" b="1">
                  <a:solidFill>
                    <a:srgbClr val="FF0000"/>
                  </a:solidFill>
                </a:endParaRPr>
              </a:p>
            </xdr:txBody>
          </xdr:sp>
          <xdr:sp macro="" textlink="'desigh Stairs'!$BG$34">
            <xdr:nvSpPr>
              <xdr:cNvPr id="2022" name="Rectangle 2021"/>
              <xdr:cNvSpPr/>
            </xdr:nvSpPr>
            <xdr:spPr>
              <a:xfrm>
                <a:off x="7902898" y="15292243"/>
                <a:ext cx="454990" cy="1993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EC5D3EC2-7291-4045-B62F-2ED4C87DB417}" type="TxLink">
                  <a:rPr lang="th-TH" sz="900">
                    <a:solidFill>
                      <a:schemeClr val="tx1"/>
                    </a:solidFill>
                  </a:rPr>
                  <a:pPr algn="ctr"/>
                  <a:t>5</a:t>
                </a:fld>
                <a:endParaRPr lang="th-TH" sz="900">
                  <a:solidFill>
                    <a:schemeClr val="tx1"/>
                  </a:solidFill>
                </a:endParaRPr>
              </a:p>
            </xdr:txBody>
          </xdr:sp>
          <xdr:sp macro="" textlink="'desigh Stairs'!$BH$34">
            <xdr:nvSpPr>
              <xdr:cNvPr id="2023" name="Rectangle 2022"/>
              <xdr:cNvSpPr/>
            </xdr:nvSpPr>
            <xdr:spPr>
              <a:xfrm>
                <a:off x="8154999" y="15277339"/>
                <a:ext cx="414655" cy="2052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8FAC1534-48A2-42D1-BB15-B65B461A4CE4}" type="TxLink">
                  <a:rPr lang="th-TH" sz="900" b="1">
                    <a:solidFill>
                      <a:schemeClr val="bg2">
                        <a:lumMod val="10000"/>
                      </a:schemeClr>
                    </a:solidFill>
                  </a:rPr>
                  <a:pPr algn="ctr"/>
                  <a:t>DB</a:t>
                </a:fld>
                <a:endParaRPr lang="th-TH" sz="900" b="1">
                  <a:solidFill>
                    <a:schemeClr val="bg2">
                      <a:lumMod val="10000"/>
                    </a:schemeClr>
                  </a:solidFill>
                </a:endParaRPr>
              </a:p>
            </xdr:txBody>
          </xdr:sp>
          <xdr:sp macro="" textlink="'desigh Stairs'!$BI$34">
            <xdr:nvSpPr>
              <xdr:cNvPr id="2024" name="Rectangle 2023"/>
              <xdr:cNvSpPr/>
            </xdr:nvSpPr>
            <xdr:spPr>
              <a:xfrm>
                <a:off x="8411675" y="15258744"/>
                <a:ext cx="777762" cy="2238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fld id="{15A25C24-04A2-4EE6-BF7B-7B37FE8FDFE2}" type="TxLink">
                  <a:rPr lang="th-TH" sz="900">
                    <a:solidFill>
                      <a:schemeClr val="tx1"/>
                    </a:solidFill>
                  </a:rPr>
                  <a:pPr algn="l"/>
                  <a:t>ø  20 mm.</a:t>
                </a:fld>
                <a:endParaRPr lang="th-TH" sz="900">
                  <a:solidFill>
                    <a:schemeClr val="tx1"/>
                  </a:solidFill>
                </a:endParaRPr>
              </a:p>
            </xdr:txBody>
          </xdr:sp>
          <xdr:sp macro="" textlink="$BF$36">
            <xdr:nvSpPr>
              <xdr:cNvPr id="2025" name="Rectangle 2024"/>
              <xdr:cNvSpPr/>
            </xdr:nvSpPr>
            <xdr:spPr>
              <a:xfrm>
                <a:off x="7867919" y="14627045"/>
                <a:ext cx="688761" cy="17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365B3782-2254-4162-9968-5274578FD380}" type="TxLink">
                  <a:rPr lang="th-TH" sz="900" b="1">
                    <a:solidFill>
                      <a:srgbClr val="FF0000"/>
                    </a:solidFill>
                  </a:rPr>
                  <a:pPr algn="l"/>
                  <a:t> </a:t>
                </a:fld>
                <a:endParaRPr lang="th-TH" sz="900" b="1">
                  <a:solidFill>
                    <a:srgbClr val="FF0000"/>
                  </a:solidFill>
                </a:endParaRPr>
              </a:p>
            </xdr:txBody>
          </xdr:sp>
          <xdr:sp macro="" textlink="'desigh Stairs'!$BG$36">
            <xdr:nvSpPr>
              <xdr:cNvPr id="2026" name="Rectangle 2025"/>
              <xdr:cNvSpPr/>
            </xdr:nvSpPr>
            <xdr:spPr>
              <a:xfrm>
                <a:off x="8015197" y="14775570"/>
                <a:ext cx="200155" cy="1752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1F23372B-FBEC-4514-AC01-E4A95A900D41}" type="TxLink">
                  <a:rPr lang="th-TH" sz="900">
                    <a:solidFill>
                      <a:schemeClr val="tx1"/>
                    </a:solidFill>
                  </a:rPr>
                  <a:pPr algn="ctr"/>
                  <a:t>4</a:t>
                </a:fld>
                <a:endParaRPr lang="th-TH" sz="900">
                  <a:solidFill>
                    <a:schemeClr val="tx1"/>
                  </a:solidFill>
                </a:endParaRPr>
              </a:p>
            </xdr:txBody>
          </xdr:sp>
          <xdr:sp macro="" textlink="'desigh Stairs'!$BI$36">
            <xdr:nvSpPr>
              <xdr:cNvPr id="2027" name="Rectangle 2026"/>
              <xdr:cNvSpPr/>
            </xdr:nvSpPr>
            <xdr:spPr>
              <a:xfrm>
                <a:off x="8090671" y="14770970"/>
                <a:ext cx="595846" cy="1758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A5C4208D-8FE5-4A99-B8E8-94EFC9F985BB}" type="TxLink">
                  <a:rPr lang="th-TH" sz="900" b="1">
                    <a:solidFill>
                      <a:schemeClr val="tx1"/>
                    </a:solidFill>
                  </a:rPr>
                  <a:pPr algn="ctr"/>
                  <a:t>DB</a:t>
                </a:fld>
                <a:endParaRPr lang="th-TH" sz="900" b="1">
                  <a:solidFill>
                    <a:schemeClr val="tx1"/>
                  </a:solidFill>
                </a:endParaRPr>
              </a:p>
            </xdr:txBody>
          </xdr:sp>
          <xdr:sp macro="" textlink="'desigh Stairs'!$BH$36">
            <xdr:nvSpPr>
              <xdr:cNvPr id="2028" name="Rectangle 2027"/>
              <xdr:cNvSpPr/>
            </xdr:nvSpPr>
            <xdr:spPr>
              <a:xfrm>
                <a:off x="8434764" y="14764468"/>
                <a:ext cx="783628" cy="2119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fld id="{3EE0BA95-241C-4C7F-95B1-9E56A43D3646}" type="TxLink">
                  <a:rPr lang="th-TH" sz="800">
                    <a:solidFill>
                      <a:schemeClr val="tx1"/>
                    </a:solidFill>
                  </a:rPr>
                  <a:pPr algn="l"/>
                  <a:t>ø  16 mm.</a:t>
                </a:fld>
                <a:endParaRPr lang="th-TH" sz="800">
                  <a:solidFill>
                    <a:schemeClr val="tx1"/>
                  </a:solidFill>
                </a:endParaRPr>
              </a:p>
            </xdr:txBody>
          </xdr:sp>
          <xdr:sp macro="" textlink="'desigh Stairs'!$BF$38">
            <xdr:nvSpPr>
              <xdr:cNvPr id="2029" name="Rectangle 2028"/>
              <xdr:cNvSpPr/>
            </xdr:nvSpPr>
            <xdr:spPr>
              <a:xfrm>
                <a:off x="7883473" y="14138650"/>
                <a:ext cx="984798" cy="1794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84781EC1-4B1B-4ABA-A63F-51AC5E8CD7F3}" type="TxLink">
                  <a:rPr lang="th-TH" sz="900" b="1">
                    <a:solidFill>
                      <a:srgbClr val="FF0000"/>
                    </a:solidFill>
                  </a:rPr>
                  <a:pPr algn="l"/>
                  <a:t>Top</a:t>
                </a:fld>
                <a:endParaRPr lang="th-TH" sz="900" b="1">
                  <a:solidFill>
                    <a:srgbClr val="FF0000"/>
                  </a:solidFill>
                </a:endParaRPr>
              </a:p>
            </xdr:txBody>
          </xdr:sp>
          <xdr:sp macro="" textlink="'desigh Stairs'!$BG$38">
            <xdr:nvSpPr>
              <xdr:cNvPr id="2030" name="Rectangle 2029"/>
              <xdr:cNvSpPr/>
            </xdr:nvSpPr>
            <xdr:spPr>
              <a:xfrm>
                <a:off x="7933082" y="14358358"/>
                <a:ext cx="376888" cy="1639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6C76F6AA-0992-48B4-ACCA-E82249314883}" type="TxLink">
                  <a:rPr lang="th-TH" sz="900">
                    <a:solidFill>
                      <a:schemeClr val="tx1"/>
                    </a:solidFill>
                  </a:rPr>
                  <a:pPr algn="ctr"/>
                  <a:t>5</a:t>
                </a:fld>
                <a:endParaRPr lang="th-TH" sz="900">
                  <a:solidFill>
                    <a:schemeClr val="tx1"/>
                  </a:solidFill>
                </a:endParaRPr>
              </a:p>
            </xdr:txBody>
          </xdr:sp>
          <xdr:sp macro="" textlink="'desigh Stairs'!$BH$38">
            <xdr:nvSpPr>
              <xdr:cNvPr id="2031" name="Rectangle 2030"/>
              <xdr:cNvSpPr/>
            </xdr:nvSpPr>
            <xdr:spPr>
              <a:xfrm>
                <a:off x="8120820" y="14345886"/>
                <a:ext cx="481255" cy="1797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4E7B634C-CDBE-406F-9FA7-8B4240336CB0}" type="TxLink">
                  <a:rPr lang="th-TH" sz="900" b="1">
                    <a:solidFill>
                      <a:schemeClr val="tx1"/>
                    </a:solidFill>
                  </a:rPr>
                  <a:pPr algn="ctr"/>
                  <a:t>DB</a:t>
                </a:fld>
                <a:endParaRPr lang="th-TH" sz="900" b="1">
                  <a:solidFill>
                    <a:schemeClr val="tx1"/>
                  </a:solidFill>
                </a:endParaRPr>
              </a:p>
            </xdr:txBody>
          </xdr:sp>
          <xdr:sp macro="" textlink="'desigh Stairs'!$BI$38">
            <xdr:nvSpPr>
              <xdr:cNvPr id="2032" name="Rectangle 2031"/>
              <xdr:cNvSpPr/>
            </xdr:nvSpPr>
            <xdr:spPr>
              <a:xfrm>
                <a:off x="8401577" y="14319615"/>
                <a:ext cx="885410" cy="1781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fld id="{F06DE34C-E89E-484E-BC3F-30926B1ECA3D}" type="TxLink">
                  <a:rPr lang="th-TH" sz="900">
                    <a:solidFill>
                      <a:schemeClr val="tx1"/>
                    </a:solidFill>
                  </a:rPr>
                  <a:pPr algn="l"/>
                  <a:t>ø  16 mm.</a:t>
                </a:fld>
                <a:endParaRPr lang="th-TH" sz="900">
                  <a:solidFill>
                    <a:schemeClr val="tx1"/>
                  </a:solidFill>
                </a:endParaRPr>
              </a:p>
            </xdr:txBody>
          </xdr:sp>
        </xdr:grpSp>
        <xdr:sp macro="" textlink="">
          <xdr:nvSpPr>
            <xdr:cNvPr id="2011" name="Rectangle 2010"/>
            <xdr:cNvSpPr/>
          </xdr:nvSpPr>
          <xdr:spPr>
            <a:xfrm>
              <a:off x="5642199" y="35913741"/>
              <a:ext cx="3256906" cy="2258027"/>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grpSp>
    </xdr:grpSp>
    <xdr:clientData/>
  </xdr:twoCellAnchor>
  <xdr:twoCellAnchor>
    <xdr:from>
      <xdr:col>0</xdr:col>
      <xdr:colOff>90061</xdr:colOff>
      <xdr:row>164</xdr:row>
      <xdr:rowOff>105151</xdr:rowOff>
    </xdr:from>
    <xdr:to>
      <xdr:col>17</xdr:col>
      <xdr:colOff>59891</xdr:colOff>
      <xdr:row>188</xdr:row>
      <xdr:rowOff>166907</xdr:rowOff>
    </xdr:to>
    <xdr:grpSp>
      <xdr:nvGrpSpPr>
        <xdr:cNvPr id="1271" name="Group 1270"/>
        <xdr:cNvGrpSpPr/>
      </xdr:nvGrpSpPr>
      <xdr:grpSpPr>
        <a:xfrm>
          <a:off x="90061" y="30789258"/>
          <a:ext cx="8289626" cy="4493797"/>
          <a:chOff x="1139595" y="30120495"/>
          <a:chExt cx="8275309" cy="4428273"/>
        </a:xfrm>
      </xdr:grpSpPr>
      <xdr:grpSp>
        <xdr:nvGrpSpPr>
          <xdr:cNvPr id="1892" name="Group 1891"/>
          <xdr:cNvGrpSpPr/>
        </xdr:nvGrpSpPr>
        <xdr:grpSpPr>
          <a:xfrm>
            <a:off x="1139595" y="30120495"/>
            <a:ext cx="8275309" cy="4428273"/>
            <a:chOff x="755963" y="36044439"/>
            <a:chExt cx="8354436" cy="4575778"/>
          </a:xfrm>
        </xdr:grpSpPr>
        <xdr:grpSp>
          <xdr:nvGrpSpPr>
            <xdr:cNvPr id="1005" name="Group 1004"/>
            <xdr:cNvGrpSpPr/>
          </xdr:nvGrpSpPr>
          <xdr:grpSpPr>
            <a:xfrm>
              <a:off x="755963" y="36044439"/>
              <a:ext cx="5497477" cy="4399535"/>
              <a:chOff x="780292" y="17760336"/>
              <a:chExt cx="5430099" cy="4323031"/>
            </a:xfrm>
          </xdr:grpSpPr>
          <xdr:cxnSp macro="">
            <xdr:nvCxnSpPr>
              <xdr:cNvPr id="1006" name="Straight Connector 1005"/>
              <xdr:cNvCxnSpPr/>
            </xdr:nvCxnSpPr>
            <xdr:spPr>
              <a:xfrm>
                <a:off x="3565842" y="19126380"/>
                <a:ext cx="690811" cy="1588"/>
              </a:xfrm>
              <a:prstGeom prst="line">
                <a:avLst/>
              </a:prstGeom>
              <a:ln>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grpSp>
            <xdr:nvGrpSpPr>
              <xdr:cNvPr id="1007" name="Group 908"/>
              <xdr:cNvGrpSpPr/>
            </xdr:nvGrpSpPr>
            <xdr:grpSpPr>
              <a:xfrm>
                <a:off x="780293" y="17760336"/>
                <a:ext cx="5430096" cy="4323031"/>
                <a:chOff x="780293" y="17760336"/>
                <a:chExt cx="5430096" cy="4323031"/>
              </a:xfrm>
            </xdr:grpSpPr>
            <xdr:grpSp>
              <xdr:nvGrpSpPr>
                <xdr:cNvPr id="1008" name="Group 907"/>
                <xdr:cNvGrpSpPr/>
              </xdr:nvGrpSpPr>
              <xdr:grpSpPr>
                <a:xfrm>
                  <a:off x="780293" y="17760336"/>
                  <a:ext cx="5430096" cy="4323031"/>
                  <a:chOff x="780293" y="17760336"/>
                  <a:chExt cx="5430096" cy="4323031"/>
                </a:xfrm>
              </xdr:grpSpPr>
              <xdr:grpSp>
                <xdr:nvGrpSpPr>
                  <xdr:cNvPr id="1011" name="Group 887"/>
                  <xdr:cNvGrpSpPr/>
                </xdr:nvGrpSpPr>
                <xdr:grpSpPr>
                  <a:xfrm>
                    <a:off x="780293" y="17760336"/>
                    <a:ext cx="5430096" cy="4323031"/>
                    <a:chOff x="689401" y="17176546"/>
                    <a:chExt cx="5428976" cy="4076135"/>
                  </a:xfrm>
                </xdr:grpSpPr>
                <xdr:grpSp>
                  <xdr:nvGrpSpPr>
                    <xdr:cNvPr id="1021" name="Group 388"/>
                    <xdr:cNvGrpSpPr/>
                  </xdr:nvGrpSpPr>
                  <xdr:grpSpPr>
                    <a:xfrm>
                      <a:off x="689401" y="17176546"/>
                      <a:ext cx="5428976" cy="4076135"/>
                      <a:chOff x="1384404" y="6994189"/>
                      <a:chExt cx="5399752" cy="4080008"/>
                    </a:xfrm>
                  </xdr:grpSpPr>
                  <xdr:grpSp>
                    <xdr:nvGrpSpPr>
                      <xdr:cNvPr id="1055" name="Group 485"/>
                      <xdr:cNvGrpSpPr/>
                    </xdr:nvGrpSpPr>
                    <xdr:grpSpPr>
                      <a:xfrm>
                        <a:off x="1384404" y="6994189"/>
                        <a:ext cx="5399752" cy="4080008"/>
                        <a:chOff x="1374963" y="6981608"/>
                        <a:chExt cx="5389698" cy="4080008"/>
                      </a:xfrm>
                    </xdr:grpSpPr>
                    <xdr:cxnSp macro="">
                      <xdr:nvCxnSpPr>
                        <xdr:cNvPr id="1063" name="Straight Connector 1062"/>
                        <xdr:cNvCxnSpPr/>
                      </xdr:nvCxnSpPr>
                      <xdr:spPr>
                        <a:xfrm>
                          <a:off x="2260938" y="7928974"/>
                          <a:ext cx="654033" cy="0"/>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64" name="Straight Connector 1063"/>
                        <xdr:cNvCxnSpPr/>
                      </xdr:nvCxnSpPr>
                      <xdr:spPr>
                        <a:xfrm rot="5400000">
                          <a:off x="2740704" y="8100985"/>
                          <a:ext cx="344500" cy="1561"/>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65" name="Straight Connector 1064"/>
                        <xdr:cNvCxnSpPr/>
                      </xdr:nvCxnSpPr>
                      <xdr:spPr>
                        <a:xfrm>
                          <a:off x="2914704" y="8270883"/>
                          <a:ext cx="431060" cy="1483"/>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66" name="Straight Connector 1065"/>
                        <xdr:cNvCxnSpPr/>
                      </xdr:nvCxnSpPr>
                      <xdr:spPr>
                        <a:xfrm rot="5400000">
                          <a:off x="3189158" y="8424904"/>
                          <a:ext cx="306580" cy="1561"/>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67" name="Straight Connector 1066"/>
                        <xdr:cNvCxnSpPr/>
                      </xdr:nvCxnSpPr>
                      <xdr:spPr>
                        <a:xfrm rot="5400000">
                          <a:off x="3625066" y="8724945"/>
                          <a:ext cx="297437" cy="1561"/>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68" name="Straight Connector 1067"/>
                        <xdr:cNvCxnSpPr/>
                      </xdr:nvCxnSpPr>
                      <xdr:spPr>
                        <a:xfrm rot="5400000">
                          <a:off x="4046810" y="9026361"/>
                          <a:ext cx="305863" cy="1561"/>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69" name="Straight Connector 1068"/>
                        <xdr:cNvCxnSpPr/>
                      </xdr:nvCxnSpPr>
                      <xdr:spPr>
                        <a:xfrm rot="5400000">
                          <a:off x="4476224" y="9339819"/>
                          <a:ext cx="308085" cy="1561"/>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70" name="Straight Connector 1069"/>
                        <xdr:cNvCxnSpPr/>
                      </xdr:nvCxnSpPr>
                      <xdr:spPr>
                        <a:xfrm rot="16200000" flipH="1">
                          <a:off x="4897858" y="9664093"/>
                          <a:ext cx="348058" cy="0"/>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71" name="Straight Connector 1070"/>
                        <xdr:cNvCxnSpPr/>
                      </xdr:nvCxnSpPr>
                      <xdr:spPr>
                        <a:xfrm>
                          <a:off x="3341669" y="8577484"/>
                          <a:ext cx="431062" cy="1483"/>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72" name="Straight Connector 1071"/>
                        <xdr:cNvCxnSpPr/>
                      </xdr:nvCxnSpPr>
                      <xdr:spPr>
                        <a:xfrm>
                          <a:off x="3773706" y="8876260"/>
                          <a:ext cx="427038" cy="1483"/>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73" name="Straight Connector 1072"/>
                        <xdr:cNvCxnSpPr/>
                      </xdr:nvCxnSpPr>
                      <xdr:spPr>
                        <a:xfrm>
                          <a:off x="4198961" y="9182484"/>
                          <a:ext cx="431062" cy="1483"/>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74" name="Straight Connector 1073"/>
                        <xdr:cNvCxnSpPr/>
                      </xdr:nvCxnSpPr>
                      <xdr:spPr>
                        <a:xfrm>
                          <a:off x="4631311" y="9490185"/>
                          <a:ext cx="434789" cy="1483"/>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75" name="Straight Connector 1074"/>
                        <xdr:cNvCxnSpPr/>
                      </xdr:nvCxnSpPr>
                      <xdr:spPr>
                        <a:xfrm flipV="1">
                          <a:off x="5072671" y="9840039"/>
                          <a:ext cx="503317" cy="0"/>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76" name="Straight Connector 1075"/>
                        <xdr:cNvCxnSpPr/>
                      </xdr:nvCxnSpPr>
                      <xdr:spPr>
                        <a:xfrm rot="5400000">
                          <a:off x="2544993" y="8336789"/>
                          <a:ext cx="306291" cy="2"/>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77" name="Straight Connector 1076"/>
                        <xdr:cNvCxnSpPr/>
                      </xdr:nvCxnSpPr>
                      <xdr:spPr>
                        <a:xfrm>
                          <a:off x="2253935" y="8189459"/>
                          <a:ext cx="442020" cy="0"/>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078" name="Flowchart: Connector 1077"/>
                        <xdr:cNvSpPr/>
                      </xdr:nvSpPr>
                      <xdr:spPr>
                        <a:xfrm>
                          <a:off x="3282106" y="8311053"/>
                          <a:ext cx="10607" cy="10083"/>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079" name="Flowchart: Connector 1078"/>
                        <xdr:cNvSpPr/>
                      </xdr:nvSpPr>
                      <xdr:spPr>
                        <a:xfrm>
                          <a:off x="2859067" y="7973714"/>
                          <a:ext cx="10607" cy="10083"/>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080" name="Flowchart: Connector 1079"/>
                        <xdr:cNvSpPr/>
                      </xdr:nvSpPr>
                      <xdr:spPr>
                        <a:xfrm>
                          <a:off x="3716811" y="8622059"/>
                          <a:ext cx="10607" cy="10083"/>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081" name="Flowchart: Connector 1080"/>
                        <xdr:cNvSpPr/>
                      </xdr:nvSpPr>
                      <xdr:spPr>
                        <a:xfrm>
                          <a:off x="2740270" y="8428637"/>
                          <a:ext cx="10607" cy="10083"/>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082" name="Flowchart: Connector 1081"/>
                        <xdr:cNvSpPr/>
                      </xdr:nvSpPr>
                      <xdr:spPr>
                        <a:xfrm>
                          <a:off x="4128561" y="8928916"/>
                          <a:ext cx="10607" cy="10083"/>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083" name="Flowchart: Connector 1082"/>
                        <xdr:cNvSpPr/>
                      </xdr:nvSpPr>
                      <xdr:spPr>
                        <a:xfrm>
                          <a:off x="4552091" y="9243091"/>
                          <a:ext cx="10607" cy="10083"/>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084" name="Flowchart: Connector 1083"/>
                        <xdr:cNvSpPr/>
                      </xdr:nvSpPr>
                      <xdr:spPr>
                        <a:xfrm>
                          <a:off x="4048112" y="9329789"/>
                          <a:ext cx="10607" cy="10083"/>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085" name="Flowchart: Connector 1084"/>
                        <xdr:cNvSpPr/>
                      </xdr:nvSpPr>
                      <xdr:spPr>
                        <a:xfrm>
                          <a:off x="3189888" y="8735533"/>
                          <a:ext cx="10658" cy="1007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086" name="Flowchart: Connector 1085"/>
                        <xdr:cNvSpPr/>
                      </xdr:nvSpPr>
                      <xdr:spPr>
                        <a:xfrm>
                          <a:off x="5016870" y="9532607"/>
                          <a:ext cx="10658" cy="1007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087" name="Flowchart: Connector 1086"/>
                        <xdr:cNvSpPr/>
                      </xdr:nvSpPr>
                      <xdr:spPr>
                        <a:xfrm>
                          <a:off x="4459348" y="9640851"/>
                          <a:ext cx="10658" cy="1007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088" name="Flowchart: Connector 1087"/>
                        <xdr:cNvSpPr/>
                      </xdr:nvSpPr>
                      <xdr:spPr>
                        <a:xfrm>
                          <a:off x="3623447" y="9023447"/>
                          <a:ext cx="10658" cy="1007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089" name="Flowchart: Connector 1088"/>
                        <xdr:cNvSpPr/>
                      </xdr:nvSpPr>
                      <xdr:spPr>
                        <a:xfrm>
                          <a:off x="4894780" y="9987725"/>
                          <a:ext cx="10658" cy="1007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cxnSp macro="">
                      <xdr:nvCxnSpPr>
                        <xdr:cNvPr id="1090" name="Straight Arrow Connector 1089"/>
                        <xdr:cNvCxnSpPr/>
                      </xdr:nvCxnSpPr>
                      <xdr:spPr>
                        <a:xfrm rot="16200000" flipH="1">
                          <a:off x="3809180" y="8607551"/>
                          <a:ext cx="665297" cy="3350"/>
                        </a:xfrm>
                        <a:prstGeom prst="straightConnector1">
                          <a:avLst/>
                        </a:prstGeom>
                        <a:ln w="3175" cap="flat">
                          <a:solidFill>
                            <a:schemeClr val="tx1">
                              <a:lumMod val="65000"/>
                              <a:lumOff val="35000"/>
                            </a:schemeClr>
                          </a:solidFill>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1091" name="Straight Arrow Connector 1090"/>
                        <xdr:cNvCxnSpPr/>
                      </xdr:nvCxnSpPr>
                      <xdr:spPr>
                        <a:xfrm rot="16200000" flipH="1">
                          <a:off x="3454078" y="8466348"/>
                          <a:ext cx="972255" cy="11083"/>
                        </a:xfrm>
                        <a:prstGeom prst="straightConnector1">
                          <a:avLst/>
                        </a:prstGeom>
                        <a:ln w="3175" cap="flat">
                          <a:solidFill>
                            <a:schemeClr val="tx1">
                              <a:lumMod val="65000"/>
                              <a:lumOff val="35000"/>
                            </a:schemeClr>
                          </a:solidFill>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1092" name="Straight Connector 1091"/>
                        <xdr:cNvCxnSpPr/>
                      </xdr:nvCxnSpPr>
                      <xdr:spPr>
                        <a:xfrm flipV="1">
                          <a:off x="3934939" y="7988562"/>
                          <a:ext cx="884206" cy="0"/>
                        </a:xfrm>
                        <a:prstGeom prst="line">
                          <a:avLst/>
                        </a:prstGeom>
                        <a:ln w="3175">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093" name="Rectangle 1092"/>
                        <xdr:cNvSpPr/>
                      </xdr:nvSpPr>
                      <xdr:spPr>
                        <a:xfrm>
                          <a:off x="1374963" y="6981608"/>
                          <a:ext cx="5389698" cy="40800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cxnSp macro="">
                      <xdr:nvCxnSpPr>
                        <xdr:cNvPr id="1094" name="Straight Connector 1093"/>
                        <xdr:cNvCxnSpPr/>
                      </xdr:nvCxnSpPr>
                      <xdr:spPr>
                        <a:xfrm>
                          <a:off x="2695616" y="8490989"/>
                          <a:ext cx="431195" cy="1588"/>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95" name="Straight Connector 1094"/>
                        <xdr:cNvCxnSpPr/>
                      </xdr:nvCxnSpPr>
                      <xdr:spPr>
                        <a:xfrm rot="5400000">
                          <a:off x="2972917" y="8642687"/>
                          <a:ext cx="299084" cy="1588"/>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96" name="Straight Connector 1095"/>
                        <xdr:cNvCxnSpPr/>
                      </xdr:nvCxnSpPr>
                      <xdr:spPr>
                        <a:xfrm>
                          <a:off x="3125900" y="8793742"/>
                          <a:ext cx="433828" cy="1588"/>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97" name="Straight Connector 1096"/>
                        <xdr:cNvCxnSpPr/>
                      </xdr:nvCxnSpPr>
                      <xdr:spPr>
                        <a:xfrm rot="5400000">
                          <a:off x="3409866" y="8939260"/>
                          <a:ext cx="297496" cy="1588"/>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98" name="Straight Connector 1097"/>
                        <xdr:cNvCxnSpPr/>
                      </xdr:nvCxnSpPr>
                      <xdr:spPr>
                        <a:xfrm>
                          <a:off x="3561940" y="9090556"/>
                          <a:ext cx="432000" cy="1588"/>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99" name="Straight Connector 1098"/>
                        <xdr:cNvCxnSpPr/>
                      </xdr:nvCxnSpPr>
                      <xdr:spPr>
                        <a:xfrm rot="5400000">
                          <a:off x="3834714" y="9247597"/>
                          <a:ext cx="304455" cy="466"/>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00" name="Straight Connector 1099"/>
                        <xdr:cNvCxnSpPr/>
                      </xdr:nvCxnSpPr>
                      <xdr:spPr>
                        <a:xfrm>
                          <a:off x="3981134" y="9398093"/>
                          <a:ext cx="428123" cy="1588"/>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01" name="Straight Connector 1100"/>
                        <xdr:cNvCxnSpPr/>
                      </xdr:nvCxnSpPr>
                      <xdr:spPr>
                        <a:xfrm rot="5400000">
                          <a:off x="4256015" y="9554466"/>
                          <a:ext cx="299084" cy="0"/>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02" name="Straight Connector 1101"/>
                        <xdr:cNvCxnSpPr/>
                      </xdr:nvCxnSpPr>
                      <xdr:spPr>
                        <a:xfrm>
                          <a:off x="4396851" y="9710894"/>
                          <a:ext cx="432448" cy="0"/>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03" name="Straight Connector 1102"/>
                        <xdr:cNvCxnSpPr/>
                      </xdr:nvCxnSpPr>
                      <xdr:spPr>
                        <a:xfrm rot="5400000">
                          <a:off x="4656825" y="9888748"/>
                          <a:ext cx="350731" cy="0"/>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04" name="Straight Connector 1103"/>
                        <xdr:cNvCxnSpPr/>
                      </xdr:nvCxnSpPr>
                      <xdr:spPr>
                        <a:xfrm rot="10800000" flipV="1">
                          <a:off x="4824133" y="10066616"/>
                          <a:ext cx="744409" cy="0"/>
                        </a:xfrm>
                        <a:prstGeom prst="line">
                          <a:avLst/>
                        </a:prstGeom>
                        <a:ln>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grpSp>
                    <xdr:nvGrpSpPr>
                      <xdr:cNvPr id="1056" name="Group 524"/>
                      <xdr:cNvGrpSpPr/>
                    </xdr:nvGrpSpPr>
                    <xdr:grpSpPr>
                      <a:xfrm>
                        <a:off x="4653642" y="8536931"/>
                        <a:ext cx="847449" cy="722486"/>
                        <a:chOff x="4653642" y="8536931"/>
                        <a:chExt cx="847449" cy="722486"/>
                      </a:xfrm>
                    </xdr:grpSpPr>
                    <xdr:cxnSp macro="">
                      <xdr:nvCxnSpPr>
                        <xdr:cNvPr id="1057" name="Straight Connector 1056"/>
                        <xdr:cNvCxnSpPr/>
                      </xdr:nvCxnSpPr>
                      <xdr:spPr>
                        <a:xfrm>
                          <a:off x="5115148" y="8895641"/>
                          <a:ext cx="385943" cy="1588"/>
                        </a:xfrm>
                        <a:prstGeom prst="line">
                          <a:avLst/>
                        </a:prstGeom>
                        <a:ln w="317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58" name="Straight Connector 1057"/>
                        <xdr:cNvCxnSpPr/>
                      </xdr:nvCxnSpPr>
                      <xdr:spPr>
                        <a:xfrm>
                          <a:off x="5147436" y="9257829"/>
                          <a:ext cx="337511" cy="1588"/>
                        </a:xfrm>
                        <a:prstGeom prst="line">
                          <a:avLst/>
                        </a:prstGeom>
                        <a:ln w="317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59" name="Straight Connector 1058"/>
                        <xdr:cNvCxnSpPr/>
                      </xdr:nvCxnSpPr>
                      <xdr:spPr>
                        <a:xfrm rot="5400000" flipH="1" flipV="1">
                          <a:off x="4484418" y="8706155"/>
                          <a:ext cx="340035" cy="1588"/>
                        </a:xfrm>
                        <a:prstGeom prst="line">
                          <a:avLst/>
                        </a:prstGeom>
                        <a:ln w="317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60" name="Straight Connector 1059"/>
                        <xdr:cNvCxnSpPr/>
                      </xdr:nvCxnSpPr>
                      <xdr:spPr>
                        <a:xfrm rot="5400000" flipH="1" flipV="1">
                          <a:off x="4908301" y="8710696"/>
                          <a:ext cx="349116" cy="1588"/>
                        </a:xfrm>
                        <a:prstGeom prst="line">
                          <a:avLst/>
                        </a:prstGeom>
                        <a:ln w="317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61" name="Straight Connector 1060"/>
                        <xdr:cNvCxnSpPr/>
                      </xdr:nvCxnSpPr>
                      <xdr:spPr>
                        <a:xfrm>
                          <a:off x="4662508" y="8583667"/>
                          <a:ext cx="418232" cy="1588"/>
                        </a:xfrm>
                        <a:prstGeom prst="line">
                          <a:avLst/>
                        </a:prstGeom>
                        <a:ln w="3175">
                          <a:solidFill>
                            <a:schemeClr val="tx1">
                              <a:lumMod val="75000"/>
                              <a:lumOff val="25000"/>
                            </a:schemeClr>
                          </a:solidFill>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1062" name="Straight Connector 1061"/>
                        <xdr:cNvCxnSpPr/>
                      </xdr:nvCxnSpPr>
                      <xdr:spPr>
                        <a:xfrm rot="16200000" flipH="1">
                          <a:off x="5273002" y="9077951"/>
                          <a:ext cx="344920" cy="1292"/>
                        </a:xfrm>
                        <a:prstGeom prst="line">
                          <a:avLst/>
                        </a:prstGeom>
                        <a:ln w="3175">
                          <a:solidFill>
                            <a:schemeClr val="tx1">
                              <a:lumMod val="75000"/>
                              <a:lumOff val="25000"/>
                            </a:schemeClr>
                          </a:solidFill>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grpSp>
                </xdr:grpSp>
                <xdr:cxnSp macro="">
                  <xdr:nvCxnSpPr>
                    <xdr:cNvPr id="1022" name="Straight Connector 1021"/>
                    <xdr:cNvCxnSpPr>
                      <a:stCxn id="1034" idx="2"/>
                      <a:endCxn id="1035" idx="2"/>
                    </xdr:cNvCxnSpPr>
                  </xdr:nvCxnSpPr>
                  <xdr:spPr>
                    <a:xfrm rot="5400000">
                      <a:off x="1899950" y="18316259"/>
                      <a:ext cx="457359" cy="168979"/>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023" name="Straight Connector 1022"/>
                    <xdr:cNvCxnSpPr>
                      <a:stCxn id="1035" idx="0"/>
                      <a:endCxn id="1036" idx="0"/>
                    </xdr:cNvCxnSpPr>
                  </xdr:nvCxnSpPr>
                  <xdr:spPr>
                    <a:xfrm flipV="1">
                      <a:off x="2071251" y="18489014"/>
                      <a:ext cx="542655" cy="16327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024" name="Straight Connector 1023"/>
                    <xdr:cNvCxnSpPr>
                      <a:stCxn id="1036" idx="2"/>
                      <a:endCxn id="1043" idx="2"/>
                    </xdr:cNvCxnSpPr>
                  </xdr:nvCxnSpPr>
                  <xdr:spPr>
                    <a:xfrm rot="5400000">
                      <a:off x="2358969" y="18652717"/>
                      <a:ext cx="416479" cy="140196"/>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025" name="Straight Connector 1024"/>
                    <xdr:cNvCxnSpPr>
                      <a:stCxn id="1043" idx="0"/>
                      <a:endCxn id="1037" idx="0"/>
                    </xdr:cNvCxnSpPr>
                  </xdr:nvCxnSpPr>
                  <xdr:spPr>
                    <a:xfrm flipV="1">
                      <a:off x="2519969" y="18800976"/>
                      <a:ext cx="527871" cy="15429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026" name="Straight Connector 1025"/>
                    <xdr:cNvCxnSpPr>
                      <a:stCxn id="1037" idx="2"/>
                      <a:endCxn id="1044" idx="2"/>
                    </xdr:cNvCxnSpPr>
                  </xdr:nvCxnSpPr>
                  <xdr:spPr>
                    <a:xfrm rot="5400000">
                      <a:off x="2801997" y="18954470"/>
                      <a:ext cx="399336" cy="138068"/>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027" name="Straight Connector 1026"/>
                    <xdr:cNvCxnSpPr>
                      <a:stCxn id="1044" idx="0"/>
                      <a:endCxn id="1038" idx="0"/>
                    </xdr:cNvCxnSpPr>
                  </xdr:nvCxnSpPr>
                  <xdr:spPr>
                    <a:xfrm flipV="1">
                      <a:off x="2956031" y="19105405"/>
                      <a:ext cx="515853" cy="140627"/>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028" name="Straight Connector 1027"/>
                    <xdr:cNvCxnSpPr>
                      <a:stCxn id="1038" idx="2"/>
                      <a:endCxn id="1042" idx="2"/>
                    </xdr:cNvCxnSpPr>
                  </xdr:nvCxnSpPr>
                  <xdr:spPr>
                    <a:xfrm rot="5400000">
                      <a:off x="3228311" y="19262303"/>
                      <a:ext cx="401851" cy="131012"/>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029" name="Straight Connector 1028"/>
                    <xdr:cNvCxnSpPr>
                      <a:stCxn id="1042" idx="0"/>
                    </xdr:cNvCxnSpPr>
                  </xdr:nvCxnSpPr>
                  <xdr:spPr>
                    <a:xfrm flipV="1">
                      <a:off x="3386590" y="19416748"/>
                      <a:ext cx="513111" cy="134846"/>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030" name="Straight Connector 1029"/>
                    <xdr:cNvCxnSpPr>
                      <a:stCxn id="1045" idx="0"/>
                      <a:endCxn id="1040" idx="0"/>
                    </xdr:cNvCxnSpPr>
                  </xdr:nvCxnSpPr>
                  <xdr:spPr>
                    <a:xfrm flipV="1">
                      <a:off x="3802257" y="19710797"/>
                      <a:ext cx="561491" cy="150647"/>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031" name="Straight Connector 1030"/>
                    <xdr:cNvCxnSpPr>
                      <a:stCxn id="1040" idx="2"/>
                      <a:endCxn id="1041" idx="2"/>
                    </xdr:cNvCxnSpPr>
                  </xdr:nvCxnSpPr>
                  <xdr:spPr>
                    <a:xfrm rot="5400000">
                      <a:off x="4077111" y="19879882"/>
                      <a:ext cx="445273" cy="173719"/>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032" name="Straight Connector 1031"/>
                    <xdr:cNvCxnSpPr>
                      <a:stCxn id="1039" idx="2"/>
                      <a:endCxn id="1045" idx="2"/>
                    </xdr:cNvCxnSpPr>
                  </xdr:nvCxnSpPr>
                  <xdr:spPr>
                    <a:xfrm rot="5400000">
                      <a:off x="3649120" y="19572754"/>
                      <a:ext cx="395028" cy="135553"/>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033" name="Straight Connector 1032"/>
                    <xdr:cNvCxnSpPr>
                      <a:stCxn id="1034" idx="0"/>
                      <a:endCxn id="1046" idx="0"/>
                    </xdr:cNvCxnSpPr>
                  </xdr:nvCxnSpPr>
                  <xdr:spPr>
                    <a:xfrm rot="10800000" flipV="1">
                      <a:off x="1630897" y="18149209"/>
                      <a:ext cx="559362" cy="79997"/>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1034" name="Arc 1033"/>
                    <xdr:cNvSpPr/>
                  </xdr:nvSpPr>
                  <xdr:spPr>
                    <a:xfrm>
                      <a:off x="2167399" y="18149210"/>
                      <a:ext cx="45719" cy="45719"/>
                    </a:xfrm>
                    <a:prstGeom prst="arc">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sp macro="" textlink="">
                  <xdr:nvSpPr>
                    <xdr:cNvPr id="1035" name="Arc 1034"/>
                    <xdr:cNvSpPr/>
                  </xdr:nvSpPr>
                  <xdr:spPr>
                    <a:xfrm flipH="1" flipV="1">
                      <a:off x="2044139" y="18606570"/>
                      <a:ext cx="49972" cy="45719"/>
                    </a:xfrm>
                    <a:prstGeom prst="arc">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sp macro="" textlink="">
                  <xdr:nvSpPr>
                    <xdr:cNvPr id="1036" name="Arc 1035"/>
                    <xdr:cNvSpPr/>
                  </xdr:nvSpPr>
                  <xdr:spPr>
                    <a:xfrm>
                      <a:off x="2590506" y="18489014"/>
                      <a:ext cx="46800" cy="51123"/>
                    </a:xfrm>
                    <a:prstGeom prst="arc">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sp macro="" textlink="">
                  <xdr:nvSpPr>
                    <xdr:cNvPr id="1037" name="Arc 1036"/>
                    <xdr:cNvSpPr/>
                  </xdr:nvSpPr>
                  <xdr:spPr>
                    <a:xfrm>
                      <a:off x="3024980" y="18800976"/>
                      <a:ext cx="45719" cy="45719"/>
                    </a:xfrm>
                    <a:prstGeom prst="arc">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sp macro="" textlink="">
                  <xdr:nvSpPr>
                    <xdr:cNvPr id="1038" name="Arc 1037"/>
                    <xdr:cNvSpPr/>
                  </xdr:nvSpPr>
                  <xdr:spPr>
                    <a:xfrm>
                      <a:off x="3449024" y="19105405"/>
                      <a:ext cx="45719" cy="45129"/>
                    </a:xfrm>
                    <a:prstGeom prst="arc">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sp macro="" textlink="">
                  <xdr:nvSpPr>
                    <xdr:cNvPr id="1039" name="Arc 1038"/>
                    <xdr:cNvSpPr/>
                  </xdr:nvSpPr>
                  <xdr:spPr>
                    <a:xfrm>
                      <a:off x="3868691" y="19420156"/>
                      <a:ext cx="45719" cy="45719"/>
                    </a:xfrm>
                    <a:prstGeom prst="arc">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sp macro="" textlink="">
                  <xdr:nvSpPr>
                    <xdr:cNvPr id="1040" name="Arc 1039"/>
                    <xdr:cNvSpPr/>
                  </xdr:nvSpPr>
                  <xdr:spPr>
                    <a:xfrm>
                      <a:off x="4340888" y="19710797"/>
                      <a:ext cx="45719" cy="66613"/>
                    </a:xfrm>
                    <a:prstGeom prst="arc">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sp macro="" textlink="">
                  <xdr:nvSpPr>
                    <xdr:cNvPr id="1041" name="Arc 1040"/>
                    <xdr:cNvSpPr/>
                  </xdr:nvSpPr>
                  <xdr:spPr>
                    <a:xfrm flipH="1" flipV="1">
                      <a:off x="4212888" y="20168152"/>
                      <a:ext cx="77392" cy="45038"/>
                    </a:xfrm>
                    <a:prstGeom prst="arc">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sp macro="" textlink="">
                  <xdr:nvSpPr>
                    <xdr:cNvPr id="1042" name="Arc 1041"/>
                    <xdr:cNvSpPr/>
                  </xdr:nvSpPr>
                  <xdr:spPr>
                    <a:xfrm flipH="1" flipV="1">
                      <a:off x="3363731" y="19505875"/>
                      <a:ext cx="45719" cy="45719"/>
                    </a:xfrm>
                    <a:prstGeom prst="arc">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sp macro="" textlink="">
                  <xdr:nvSpPr>
                    <xdr:cNvPr id="1043" name="Arc 1042"/>
                    <xdr:cNvSpPr/>
                  </xdr:nvSpPr>
                  <xdr:spPr>
                    <a:xfrm flipH="1" flipV="1">
                      <a:off x="2497110" y="18904666"/>
                      <a:ext cx="45719" cy="50605"/>
                    </a:xfrm>
                    <a:prstGeom prst="arc">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sp macro="" textlink="">
                  <xdr:nvSpPr>
                    <xdr:cNvPr id="1044" name="Arc 1043"/>
                    <xdr:cNvSpPr/>
                  </xdr:nvSpPr>
                  <xdr:spPr>
                    <a:xfrm flipH="1" flipV="1">
                      <a:off x="2932631" y="19200313"/>
                      <a:ext cx="46800" cy="45719"/>
                    </a:xfrm>
                    <a:prstGeom prst="arc">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sp macro="" textlink="">
                  <xdr:nvSpPr>
                    <xdr:cNvPr id="1045" name="Arc 1044"/>
                    <xdr:cNvSpPr/>
                  </xdr:nvSpPr>
                  <xdr:spPr>
                    <a:xfrm flipH="1" flipV="1">
                      <a:off x="3778857" y="19816817"/>
                      <a:ext cx="46800" cy="44627"/>
                    </a:xfrm>
                    <a:prstGeom prst="arc">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sp macro="" textlink="">
                  <xdr:nvSpPr>
                    <xdr:cNvPr id="1046" name="Freeform 1045"/>
                    <xdr:cNvSpPr/>
                  </xdr:nvSpPr>
                  <xdr:spPr>
                    <a:xfrm>
                      <a:off x="1618956" y="18229207"/>
                      <a:ext cx="108877" cy="66732"/>
                    </a:xfrm>
                    <a:custGeom>
                      <a:avLst/>
                      <a:gdLst>
                        <a:gd name="connsiteX0" fmla="*/ 11941 w 108877"/>
                        <a:gd name="connsiteY0" fmla="*/ 0 h 66732"/>
                        <a:gd name="connsiteX1" fmla="*/ 16156 w 108877"/>
                        <a:gd name="connsiteY1" fmla="*/ 59005 h 66732"/>
                        <a:gd name="connsiteX2" fmla="*/ 108877 w 108877"/>
                        <a:gd name="connsiteY2" fmla="*/ 46361 h 66732"/>
                      </a:gdLst>
                      <a:ahLst/>
                      <a:cxnLst>
                        <a:cxn ang="0">
                          <a:pos x="connsiteX0" y="connsiteY0"/>
                        </a:cxn>
                        <a:cxn ang="0">
                          <a:pos x="connsiteX1" y="connsiteY1"/>
                        </a:cxn>
                        <a:cxn ang="0">
                          <a:pos x="connsiteX2" y="connsiteY2"/>
                        </a:cxn>
                      </a:cxnLst>
                      <a:rect l="l" t="t" r="r" b="b"/>
                      <a:pathLst>
                        <a:path w="108877" h="66732">
                          <a:moveTo>
                            <a:pt x="11941" y="0"/>
                          </a:moveTo>
                          <a:cubicBezTo>
                            <a:pt x="5970" y="25639"/>
                            <a:pt x="0" y="51278"/>
                            <a:pt x="16156" y="59005"/>
                          </a:cubicBezTo>
                          <a:cubicBezTo>
                            <a:pt x="32312" y="66732"/>
                            <a:pt x="93423" y="49171"/>
                            <a:pt x="108877" y="46361"/>
                          </a:cubicBezTo>
                        </a:path>
                      </a:pathLst>
                    </a:cu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solidFill>
                          <a:srgbClr val="FF0000"/>
                        </a:solidFill>
                      </a:endParaRPr>
                    </a:p>
                  </xdr:txBody>
                </xdr:sp>
                <xdr:cxnSp macro="">
                  <xdr:nvCxnSpPr>
                    <xdr:cNvPr id="1047" name="Straight Connector 1046"/>
                    <xdr:cNvCxnSpPr/>
                  </xdr:nvCxnSpPr>
                  <xdr:spPr>
                    <a:xfrm>
                      <a:off x="1573326" y="18412165"/>
                      <a:ext cx="3341884" cy="2403066"/>
                    </a:xfrm>
                    <a:prstGeom prst="line">
                      <a:avLst/>
                    </a:prstGeom>
                    <a:ln w="12700" cmpd="sng">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48" name="Straight Connector 1047"/>
                    <xdr:cNvCxnSpPr/>
                  </xdr:nvCxnSpPr>
                  <xdr:spPr>
                    <a:xfrm>
                      <a:off x="1564082" y="17621251"/>
                      <a:ext cx="3351128" cy="2396779"/>
                    </a:xfrm>
                    <a:prstGeom prst="line">
                      <a:avLst/>
                    </a:prstGeom>
                    <a:ln w="12700" cmpd="sng">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49" name="Straight Connector 1048"/>
                    <xdr:cNvCxnSpPr>
                      <a:stCxn id="1041" idx="0"/>
                      <a:endCxn id="1050" idx="0"/>
                    </xdr:cNvCxnSpPr>
                  </xdr:nvCxnSpPr>
                  <xdr:spPr>
                    <a:xfrm flipV="1">
                      <a:off x="4251584" y="20127516"/>
                      <a:ext cx="542383" cy="85674"/>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1050" name="Freeform 1049"/>
                    <xdr:cNvSpPr/>
                  </xdr:nvSpPr>
                  <xdr:spPr>
                    <a:xfrm>
                      <a:off x="4686810" y="20066001"/>
                      <a:ext cx="125016" cy="61515"/>
                    </a:xfrm>
                    <a:custGeom>
                      <a:avLst/>
                      <a:gdLst>
                        <a:gd name="connsiteX0" fmla="*/ 107157 w 125016"/>
                        <a:gd name="connsiteY0" fmla="*/ 61515 h 61515"/>
                        <a:gd name="connsiteX1" fmla="*/ 107157 w 125016"/>
                        <a:gd name="connsiteY1" fmla="*/ 7937 h 61515"/>
                        <a:gd name="connsiteX2" fmla="*/ 0 w 125016"/>
                        <a:gd name="connsiteY2" fmla="*/ 13890 h 61515"/>
                      </a:gdLst>
                      <a:ahLst/>
                      <a:cxnLst>
                        <a:cxn ang="0">
                          <a:pos x="connsiteX0" y="connsiteY0"/>
                        </a:cxn>
                        <a:cxn ang="0">
                          <a:pos x="connsiteX1" y="connsiteY1"/>
                        </a:cxn>
                        <a:cxn ang="0">
                          <a:pos x="connsiteX2" y="connsiteY2"/>
                        </a:cxn>
                      </a:cxnLst>
                      <a:rect l="l" t="t" r="r" b="b"/>
                      <a:pathLst>
                        <a:path w="125016" h="61515">
                          <a:moveTo>
                            <a:pt x="107157" y="61515"/>
                          </a:moveTo>
                          <a:cubicBezTo>
                            <a:pt x="116086" y="38694"/>
                            <a:pt x="125016" y="15874"/>
                            <a:pt x="107157" y="7937"/>
                          </a:cubicBezTo>
                          <a:cubicBezTo>
                            <a:pt x="89298" y="0"/>
                            <a:pt x="20836" y="13890"/>
                            <a:pt x="0" y="13890"/>
                          </a:cubicBezTo>
                        </a:path>
                      </a:pathLst>
                    </a:cu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cxnSp macro="">
                  <xdr:nvCxnSpPr>
                    <xdr:cNvPr id="1051" name="Straight Connector 1050"/>
                    <xdr:cNvCxnSpPr/>
                  </xdr:nvCxnSpPr>
                  <xdr:spPr>
                    <a:xfrm rot="5400000">
                      <a:off x="853326" y="18043590"/>
                      <a:ext cx="1440000" cy="0"/>
                    </a:xfrm>
                    <a:prstGeom prst="line">
                      <a:avLst/>
                    </a:prstGeom>
                    <a:ln w="12700" cmpd="sng">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52" name="Straight Connector 1051"/>
                    <xdr:cNvCxnSpPr/>
                  </xdr:nvCxnSpPr>
                  <xdr:spPr>
                    <a:xfrm rot="5400000">
                      <a:off x="436610" y="18043589"/>
                      <a:ext cx="1440000" cy="0"/>
                    </a:xfrm>
                    <a:prstGeom prst="line">
                      <a:avLst/>
                    </a:prstGeom>
                    <a:ln w="12700" cmpd="sng">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53" name="Straight Connector 1052"/>
                    <xdr:cNvCxnSpPr/>
                  </xdr:nvCxnSpPr>
                  <xdr:spPr>
                    <a:xfrm rot="5400000">
                      <a:off x="4195584" y="20373814"/>
                      <a:ext cx="1440000" cy="1588"/>
                    </a:xfrm>
                    <a:prstGeom prst="line">
                      <a:avLst/>
                    </a:prstGeom>
                    <a:ln w="12700" cmpd="sng">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54" name="Straight Connector 1053"/>
                    <xdr:cNvCxnSpPr/>
                  </xdr:nvCxnSpPr>
                  <xdr:spPr>
                    <a:xfrm rot="5400000">
                      <a:off x="4637818" y="20373811"/>
                      <a:ext cx="1440000" cy="0"/>
                    </a:xfrm>
                    <a:prstGeom prst="line">
                      <a:avLst/>
                    </a:prstGeom>
                    <a:ln w="12700" cmpd="sng">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sp macro="" textlink="'desigh Stairs'!$F$73">
                <xdr:nvSpPr>
                  <xdr:cNvPr id="1012" name="Rectangle 1011"/>
                  <xdr:cNvSpPr/>
                </xdr:nvSpPr>
                <xdr:spPr>
                  <a:xfrm>
                    <a:off x="4322123" y="18992106"/>
                    <a:ext cx="813621" cy="2295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3DF35B90-A7B2-4029-82D1-DEE2F507D6CA}" type="TxLink">
                      <a:rPr lang="th-TH" sz="1050">
                        <a:solidFill>
                          <a:schemeClr val="tx2">
                            <a:lumMod val="60000"/>
                            <a:lumOff val="40000"/>
                          </a:schemeClr>
                        </a:solidFill>
                        <a:latin typeface="Times New Roman" pitchFamily="18" charset="0"/>
                      </a:rPr>
                      <a:pPr algn="ctr"/>
                      <a:t> </a:t>
                    </a:fld>
                    <a:endParaRPr lang="th-TH" sz="1050">
                      <a:solidFill>
                        <a:schemeClr val="tx2">
                          <a:lumMod val="60000"/>
                          <a:lumOff val="40000"/>
                        </a:schemeClr>
                      </a:solidFill>
                      <a:latin typeface="Times New Roman" pitchFamily="18" charset="0"/>
                    </a:endParaRPr>
                  </a:p>
                </xdr:txBody>
              </xdr:sp>
              <xdr:sp macro="" textlink="'desigh Stairs'!$E$73">
                <xdr:nvSpPr>
                  <xdr:cNvPr id="1013" name="Rectangle 1012"/>
                  <xdr:cNvSpPr/>
                </xdr:nvSpPr>
                <xdr:spPr>
                  <a:xfrm>
                    <a:off x="4224364" y="18991101"/>
                    <a:ext cx="354968" cy="2295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5181A05A-2551-48F3-B166-A6E498251F0E}" type="TxLink">
                      <a:rPr lang="th-TH" sz="1100" b="1">
                        <a:solidFill>
                          <a:schemeClr val="tx2">
                            <a:lumMod val="60000"/>
                            <a:lumOff val="40000"/>
                          </a:schemeClr>
                        </a:solidFill>
                      </a:rPr>
                      <a:pPr algn="ctr"/>
                      <a:t>   </a:t>
                    </a:fld>
                    <a:endParaRPr lang="th-TH" sz="1100" b="1">
                      <a:solidFill>
                        <a:schemeClr val="tx2">
                          <a:lumMod val="60000"/>
                          <a:lumOff val="40000"/>
                        </a:schemeClr>
                      </a:solidFill>
                    </a:endParaRPr>
                  </a:p>
                </xdr:txBody>
              </xdr:sp>
              <xdr:sp macro="" textlink="'desigh Stairs'!$G$73">
                <xdr:nvSpPr>
                  <xdr:cNvPr id="1014" name="Rectangle 1013"/>
                  <xdr:cNvSpPr/>
                </xdr:nvSpPr>
                <xdr:spPr>
                  <a:xfrm>
                    <a:off x="4899235" y="18998530"/>
                    <a:ext cx="1053847" cy="2295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4271CBE2-581B-48BC-8685-44118ADC499A}" type="TxLink">
                      <a:rPr lang="th-TH" sz="1050">
                        <a:solidFill>
                          <a:schemeClr val="tx2">
                            <a:lumMod val="60000"/>
                            <a:lumOff val="40000"/>
                          </a:schemeClr>
                        </a:solidFill>
                        <a:latin typeface="Times New Roman" pitchFamily="18" charset="0"/>
                      </a:rPr>
                      <a:pPr algn="l"/>
                      <a:t> </a:t>
                    </a:fld>
                    <a:endParaRPr lang="th-TH" sz="1050">
                      <a:solidFill>
                        <a:schemeClr val="tx2">
                          <a:lumMod val="60000"/>
                          <a:lumOff val="40000"/>
                        </a:schemeClr>
                      </a:solidFill>
                      <a:latin typeface="Times New Roman" pitchFamily="18" charset="0"/>
                    </a:endParaRPr>
                  </a:p>
                </xdr:txBody>
              </xdr:sp>
              <xdr:sp macro="" textlink="'desigh Stairs'!$F$73">
                <xdr:nvSpPr>
                  <xdr:cNvPr id="1015" name="Rectangle 1014"/>
                  <xdr:cNvSpPr/>
                </xdr:nvSpPr>
                <xdr:spPr>
                  <a:xfrm>
                    <a:off x="4294131" y="18705220"/>
                    <a:ext cx="809462" cy="2237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71A0CD6D-678E-4605-B028-69E7E66E11C7}" type="TxLink">
                      <a:rPr lang="th-TH" sz="1050">
                        <a:solidFill>
                          <a:schemeClr val="tx2">
                            <a:lumMod val="60000"/>
                            <a:lumOff val="40000"/>
                          </a:schemeClr>
                        </a:solidFill>
                        <a:latin typeface="Times New Roman" pitchFamily="18" charset="0"/>
                      </a:rPr>
                      <a:pPr algn="ctr"/>
                      <a:t> </a:t>
                    </a:fld>
                    <a:endParaRPr lang="th-TH" sz="1050">
                      <a:solidFill>
                        <a:schemeClr val="tx2">
                          <a:lumMod val="60000"/>
                          <a:lumOff val="40000"/>
                        </a:schemeClr>
                      </a:solidFill>
                      <a:latin typeface="Times New Roman" pitchFamily="18" charset="0"/>
                    </a:endParaRPr>
                  </a:p>
                </xdr:txBody>
              </xdr:sp>
              <xdr:sp macro="" textlink="'desigh Stairs'!$I$73">
                <xdr:nvSpPr>
                  <xdr:cNvPr id="1016" name="Rectangle 1015"/>
                  <xdr:cNvSpPr/>
                </xdr:nvSpPr>
                <xdr:spPr>
                  <a:xfrm>
                    <a:off x="4216292" y="18702132"/>
                    <a:ext cx="353801" cy="2237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A33F4A5B-76AF-4C9A-91D9-13CA4114D1DA}" type="TxLink">
                      <a:rPr lang="th-TH" sz="1100" b="1">
                        <a:solidFill>
                          <a:schemeClr val="tx2">
                            <a:lumMod val="60000"/>
                            <a:lumOff val="40000"/>
                          </a:schemeClr>
                        </a:solidFill>
                      </a:rPr>
                      <a:pPr algn="ctr"/>
                      <a:t>   </a:t>
                    </a:fld>
                    <a:endParaRPr lang="th-TH" sz="1100" b="1">
                      <a:solidFill>
                        <a:schemeClr val="tx2">
                          <a:lumMod val="60000"/>
                          <a:lumOff val="40000"/>
                        </a:schemeClr>
                      </a:solidFill>
                    </a:endParaRPr>
                  </a:p>
                </xdr:txBody>
              </xdr:sp>
              <xdr:sp macro="" textlink="'desigh Stairs'!$L$73">
                <xdr:nvSpPr>
                  <xdr:cNvPr id="1017" name="Rectangle 1016"/>
                  <xdr:cNvSpPr/>
                </xdr:nvSpPr>
                <xdr:spPr>
                  <a:xfrm>
                    <a:off x="4905258" y="18703336"/>
                    <a:ext cx="725307" cy="2237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8F1FF4D4-CDAC-49B6-9590-77B5E019BEA3}" type="TxLink">
                      <a:rPr lang="th-TH" sz="1050">
                        <a:solidFill>
                          <a:schemeClr val="tx2">
                            <a:lumMod val="60000"/>
                            <a:lumOff val="40000"/>
                          </a:schemeClr>
                        </a:solidFill>
                        <a:latin typeface="Times New Roman" pitchFamily="18" charset="0"/>
                      </a:rPr>
                      <a:pPr algn="ctr"/>
                      <a:t> </a:t>
                    </a:fld>
                    <a:endParaRPr lang="th-TH" sz="1050">
                      <a:solidFill>
                        <a:schemeClr val="tx2">
                          <a:lumMod val="60000"/>
                          <a:lumOff val="40000"/>
                        </a:schemeClr>
                      </a:solidFill>
                      <a:latin typeface="Times New Roman" pitchFamily="18" charset="0"/>
                    </a:endParaRPr>
                  </a:p>
                </xdr:txBody>
              </xdr:sp>
              <xdr:sp macro="" textlink="'desigh Stairs'!$K$73">
                <xdr:nvSpPr>
                  <xdr:cNvPr id="1018" name="Rectangle 1017"/>
                  <xdr:cNvSpPr/>
                </xdr:nvSpPr>
                <xdr:spPr>
                  <a:xfrm>
                    <a:off x="4799821" y="18701163"/>
                    <a:ext cx="350406" cy="2237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9CBD9DF5-E60E-4730-9529-D23C60DFEE4B}" type="TxLink">
                      <a:rPr lang="th-TH" sz="1050">
                        <a:solidFill>
                          <a:schemeClr val="tx2">
                            <a:lumMod val="60000"/>
                            <a:lumOff val="40000"/>
                          </a:schemeClr>
                        </a:solidFill>
                      </a:rPr>
                      <a:pPr algn="ctr"/>
                      <a:t> </a:t>
                    </a:fld>
                    <a:endParaRPr lang="th-TH" sz="1050">
                      <a:solidFill>
                        <a:schemeClr val="tx2">
                          <a:lumMod val="60000"/>
                          <a:lumOff val="40000"/>
                        </a:schemeClr>
                      </a:solidFill>
                    </a:endParaRPr>
                  </a:p>
                </xdr:txBody>
              </xdr:sp>
              <xdr:sp macro="" textlink="'desigh Stairs'!L32">
                <xdr:nvSpPr>
                  <xdr:cNvPr id="1019" name="Rectangle 1018"/>
                  <xdr:cNvSpPr/>
                </xdr:nvSpPr>
                <xdr:spPr>
                  <a:xfrm>
                    <a:off x="3996005" y="19229434"/>
                    <a:ext cx="478234" cy="2610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85762047-5DFA-4444-B5D4-9F8D4C05DBF0}" type="TxLink">
                      <a:rPr lang="th-TH" sz="900">
                        <a:solidFill>
                          <a:schemeClr val="tx2">
                            <a:lumMod val="60000"/>
                            <a:lumOff val="40000"/>
                          </a:schemeClr>
                        </a:solidFill>
                        <a:latin typeface="Times New Roman" pitchFamily="18" charset="0"/>
                      </a:rPr>
                      <a:pPr algn="ctr"/>
                      <a:t>0.25</a:t>
                    </a:fld>
                    <a:endParaRPr lang="th-TH" sz="900">
                      <a:solidFill>
                        <a:schemeClr val="tx2">
                          <a:lumMod val="60000"/>
                          <a:lumOff val="40000"/>
                        </a:schemeClr>
                      </a:solidFill>
                      <a:latin typeface="Times New Roman" pitchFamily="18" charset="0"/>
                    </a:endParaRPr>
                  </a:p>
                </xdr:txBody>
              </xdr:sp>
              <xdr:sp macro="" textlink="'desigh Stairs'!L31">
                <xdr:nvSpPr>
                  <xdr:cNvPr id="1020" name="Rectangle 1019"/>
                  <xdr:cNvSpPr/>
                </xdr:nvSpPr>
                <xdr:spPr>
                  <a:xfrm>
                    <a:off x="4840182" y="19725361"/>
                    <a:ext cx="284865" cy="3846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fld id="{1C941E59-0EBE-4E04-A7BA-AC671554E3AA}" type="TxLink">
                      <a:rPr lang="th-TH" sz="900" b="0">
                        <a:solidFill>
                          <a:schemeClr val="tx2">
                            <a:lumMod val="60000"/>
                            <a:lumOff val="40000"/>
                          </a:schemeClr>
                        </a:solidFill>
                      </a:rPr>
                      <a:pPr algn="ctr"/>
                      <a:t>0.18</a:t>
                    </a:fld>
                    <a:endParaRPr lang="th-TH" sz="900" b="0">
                      <a:solidFill>
                        <a:schemeClr val="tx2">
                          <a:lumMod val="60000"/>
                          <a:lumOff val="40000"/>
                        </a:schemeClr>
                      </a:solidFill>
                    </a:endParaRPr>
                  </a:p>
                </xdr:txBody>
              </xdr:sp>
            </xdr:grpSp>
            <xdr:sp macro="" textlink="'desigh Stairs'!$M$31">
              <xdr:nvSpPr>
                <xdr:cNvPr id="1009" name="Rectangle 1008"/>
                <xdr:cNvSpPr/>
              </xdr:nvSpPr>
              <xdr:spPr>
                <a:xfrm>
                  <a:off x="4184006" y="19221363"/>
                  <a:ext cx="478234" cy="2610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F77B803-C200-4A15-8775-674FC897E97B}" type="TxLink">
                    <a:rPr lang="th-TH" sz="1050">
                      <a:solidFill>
                        <a:schemeClr val="tx2">
                          <a:lumMod val="60000"/>
                          <a:lumOff val="40000"/>
                        </a:schemeClr>
                      </a:solidFill>
                      <a:latin typeface="Times New Roman" pitchFamily="18" charset="0"/>
                    </a:rPr>
                    <a:pPr algn="ctr"/>
                    <a:t>m.</a:t>
                  </a:fld>
                  <a:endParaRPr lang="th-TH" sz="1050">
                    <a:solidFill>
                      <a:schemeClr val="tx2">
                        <a:lumMod val="60000"/>
                        <a:lumOff val="40000"/>
                      </a:schemeClr>
                    </a:solidFill>
                    <a:latin typeface="Times New Roman" pitchFamily="18" charset="0"/>
                  </a:endParaRPr>
                </a:p>
              </xdr:txBody>
            </xdr:sp>
            <xdr:sp macro="" textlink="'desigh Stairs'!M31">
              <xdr:nvSpPr>
                <xdr:cNvPr id="1010" name="Rectangle 1009"/>
                <xdr:cNvSpPr/>
              </xdr:nvSpPr>
              <xdr:spPr>
                <a:xfrm>
                  <a:off x="4848255" y="19996140"/>
                  <a:ext cx="284865"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fld id="{DF596312-60C2-49D7-BFBB-A871919E362C}" type="TxLink">
                    <a:rPr lang="th-TH" sz="1000" b="0">
                      <a:solidFill>
                        <a:schemeClr val="tx2">
                          <a:lumMod val="60000"/>
                          <a:lumOff val="40000"/>
                        </a:schemeClr>
                      </a:solidFill>
                    </a:rPr>
                    <a:pPr algn="ctr"/>
                    <a:t>m.</a:t>
                  </a:fld>
                  <a:endParaRPr lang="th-TH" sz="1000" b="0">
                    <a:solidFill>
                      <a:schemeClr val="tx2">
                        <a:lumMod val="60000"/>
                        <a:lumOff val="40000"/>
                      </a:schemeClr>
                    </a:solidFill>
                  </a:endParaRPr>
                </a:p>
              </xdr:txBody>
            </xdr:sp>
          </xdr:grpSp>
        </xdr:grpSp>
        <xdr:grpSp>
          <xdr:nvGrpSpPr>
            <xdr:cNvPr id="1891" name="Group 1890"/>
            <xdr:cNvGrpSpPr/>
          </xdr:nvGrpSpPr>
          <xdr:grpSpPr>
            <a:xfrm>
              <a:off x="5859410" y="36202365"/>
              <a:ext cx="3250989" cy="2285347"/>
              <a:chOff x="5642199" y="35913741"/>
              <a:chExt cx="3256906" cy="2270557"/>
            </a:xfrm>
          </xdr:grpSpPr>
          <xdr:grpSp>
            <xdr:nvGrpSpPr>
              <xdr:cNvPr id="1491" name="Group 1135"/>
              <xdr:cNvGrpSpPr/>
            </xdr:nvGrpSpPr>
            <xdr:grpSpPr>
              <a:xfrm>
                <a:off x="5695932" y="35981016"/>
                <a:ext cx="3106289" cy="2203282"/>
                <a:chOff x="6271344" y="13876118"/>
                <a:chExt cx="3155246" cy="2090942"/>
              </a:xfrm>
            </xdr:grpSpPr>
            <xdr:grpSp>
              <xdr:nvGrpSpPr>
                <xdr:cNvPr id="1493" name="Group 465"/>
                <xdr:cNvGrpSpPr/>
              </xdr:nvGrpSpPr>
              <xdr:grpSpPr>
                <a:xfrm>
                  <a:off x="6271344" y="13876118"/>
                  <a:ext cx="2018276" cy="2090942"/>
                  <a:chOff x="14473235" y="4892399"/>
                  <a:chExt cx="3598082" cy="4480145"/>
                </a:xfrm>
              </xdr:grpSpPr>
              <xdr:grpSp>
                <xdr:nvGrpSpPr>
                  <xdr:cNvPr id="1514" name="Group 460"/>
                  <xdr:cNvGrpSpPr/>
                </xdr:nvGrpSpPr>
                <xdr:grpSpPr>
                  <a:xfrm>
                    <a:off x="14473235" y="4892399"/>
                    <a:ext cx="3598082" cy="4480145"/>
                    <a:chOff x="14473235" y="4892399"/>
                    <a:chExt cx="3598082" cy="4480145"/>
                  </a:xfrm>
                  <a:noFill/>
                </xdr:grpSpPr>
                <xdr:grpSp>
                  <xdr:nvGrpSpPr>
                    <xdr:cNvPr id="1518" name="Group 448"/>
                    <xdr:cNvGrpSpPr/>
                  </xdr:nvGrpSpPr>
                  <xdr:grpSpPr>
                    <a:xfrm>
                      <a:off x="14473235" y="4892399"/>
                      <a:ext cx="3598082" cy="4480145"/>
                      <a:chOff x="14473235" y="4892399"/>
                      <a:chExt cx="3598082" cy="4480145"/>
                    </a:xfrm>
                    <a:grpFill/>
                  </xdr:grpSpPr>
                  <xdr:grpSp>
                    <xdr:nvGrpSpPr>
                      <xdr:cNvPr id="1529" name="Group 428"/>
                      <xdr:cNvGrpSpPr/>
                    </xdr:nvGrpSpPr>
                    <xdr:grpSpPr>
                      <a:xfrm>
                        <a:off x="14473235" y="4892399"/>
                        <a:ext cx="3598082" cy="4480145"/>
                        <a:chOff x="14511335" y="4905099"/>
                        <a:chExt cx="3598082" cy="4480145"/>
                      </a:xfrm>
                      <a:grpFill/>
                    </xdr:grpSpPr>
                    <xdr:grpSp>
                      <xdr:nvGrpSpPr>
                        <xdr:cNvPr id="1533" name="Group 418"/>
                        <xdr:cNvGrpSpPr/>
                      </xdr:nvGrpSpPr>
                      <xdr:grpSpPr>
                        <a:xfrm>
                          <a:off x="14511335" y="5057696"/>
                          <a:ext cx="3598082" cy="4327548"/>
                          <a:chOff x="14511331" y="5057696"/>
                          <a:chExt cx="3598082" cy="4327548"/>
                        </a:xfrm>
                        <a:grpFill/>
                      </xdr:grpSpPr>
                      <xdr:grpSp>
                        <xdr:nvGrpSpPr>
                          <xdr:cNvPr id="1535" name="Group 406"/>
                          <xdr:cNvGrpSpPr/>
                        </xdr:nvGrpSpPr>
                        <xdr:grpSpPr>
                          <a:xfrm>
                            <a:off x="14511331" y="5057696"/>
                            <a:ext cx="3598082" cy="4327548"/>
                            <a:chOff x="14479741" y="4930696"/>
                            <a:chExt cx="3600004" cy="4327548"/>
                          </a:xfrm>
                          <a:grpFill/>
                        </xdr:grpSpPr>
                        <xdr:graphicFrame macro="">
                          <xdr:nvGraphicFramePr>
                            <xdr:cNvPr id="1545" name="Chart 1544"/>
                            <xdr:cNvGraphicFramePr/>
                          </xdr:nvGraphicFramePr>
                          <xdr:xfrm>
                            <a:off x="14479743" y="4930698"/>
                            <a:ext cx="3600002" cy="4320000"/>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546" name="Chart 1545"/>
                            <xdr:cNvGraphicFramePr/>
                          </xdr:nvGraphicFramePr>
                          <xdr:xfrm>
                            <a:off x="14479741" y="4930696"/>
                            <a:ext cx="3600002" cy="4327548"/>
                          </xdr:xfrm>
                          <a:graphic>
                            <a:graphicData uri="http://schemas.openxmlformats.org/drawingml/2006/chart">
                              <c:chart xmlns:c="http://schemas.openxmlformats.org/drawingml/2006/chart" xmlns:r="http://schemas.openxmlformats.org/officeDocument/2006/relationships" r:id="rId10"/>
                            </a:graphicData>
                          </a:graphic>
                        </xdr:graphicFrame>
                      </xdr:grpSp>
                      <xdr:sp macro="" textlink="'desigh Stairs'!$BG$21">
                        <xdr:nvSpPr>
                          <xdr:cNvPr id="1536" name="Rectangle 1535"/>
                          <xdr:cNvSpPr>
                            <a:spLocks noChangeAspect="1"/>
                          </xdr:cNvSpPr>
                        </xdr:nvSpPr>
                        <xdr:spPr>
                          <a:xfrm>
                            <a:off x="14871694" y="7434913"/>
                            <a:ext cx="967499" cy="458288"/>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8E446B01-D646-46CD-B11E-32D7D97B7812}" type="TxLink">
                              <a:rPr lang="th-TH" sz="800">
                                <a:solidFill>
                                  <a:schemeClr val="tx1"/>
                                </a:solidFill>
                              </a:rPr>
                              <a:pPr algn="l"/>
                              <a:t> </a:t>
                            </a:fld>
                            <a:endParaRPr lang="th-TH" sz="800">
                              <a:solidFill>
                                <a:schemeClr val="tx1"/>
                              </a:solidFill>
                            </a:endParaRPr>
                          </a:p>
                        </xdr:txBody>
                      </xdr:sp>
                      <xdr:sp macro="" textlink="'desigh Stairs'!$BG$22">
                        <xdr:nvSpPr>
                          <xdr:cNvPr id="1537" name="Rectangle 1536"/>
                          <xdr:cNvSpPr>
                            <a:spLocks/>
                          </xdr:cNvSpPr>
                        </xdr:nvSpPr>
                        <xdr:spPr>
                          <a:xfrm>
                            <a:off x="14858992" y="7193173"/>
                            <a:ext cx="1056007" cy="41558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CAF885F0-F42C-4703-8D01-964A8D059A74}" type="TxLink">
                              <a:rPr lang="th-TH" sz="800">
                                <a:solidFill>
                                  <a:schemeClr val="tx1"/>
                                </a:solidFill>
                              </a:rPr>
                              <a:pPr algn="l"/>
                              <a:t> </a:t>
                            </a:fld>
                            <a:endParaRPr lang="th-TH" sz="800">
                              <a:solidFill>
                                <a:schemeClr val="tx1"/>
                              </a:solidFill>
                            </a:endParaRPr>
                          </a:p>
                        </xdr:txBody>
                      </xdr:sp>
                      <xdr:sp macro="" textlink="'desigh Stairs'!$BG$24">
                        <xdr:nvSpPr>
                          <xdr:cNvPr id="1538" name="Rectangle 1537"/>
                          <xdr:cNvSpPr>
                            <a:spLocks/>
                          </xdr:cNvSpPr>
                        </xdr:nvSpPr>
                        <xdr:spPr>
                          <a:xfrm>
                            <a:off x="14676556" y="6617614"/>
                            <a:ext cx="1319366" cy="364656"/>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B750A037-2408-42E2-8154-D1B71C1891A5}" type="TxLink">
                              <a:rPr lang="th-TH" sz="900">
                                <a:solidFill>
                                  <a:schemeClr val="tx1"/>
                                </a:solidFill>
                              </a:rPr>
                              <a:pPr algn="l"/>
                              <a:t>30 cm.</a:t>
                            </a:fld>
                            <a:endParaRPr lang="th-TH" sz="900">
                              <a:solidFill>
                                <a:schemeClr val="tx1"/>
                              </a:solidFill>
                            </a:endParaRPr>
                          </a:p>
                        </xdr:txBody>
                      </xdr:sp>
                      <xdr:sp macro="" textlink="'desigh Stairs'!BG$25">
                        <xdr:nvSpPr>
                          <xdr:cNvPr id="1539" name="Rectangle 1538"/>
                          <xdr:cNvSpPr>
                            <a:spLocks/>
                          </xdr:cNvSpPr>
                        </xdr:nvSpPr>
                        <xdr:spPr>
                          <a:xfrm>
                            <a:off x="14858990" y="6366863"/>
                            <a:ext cx="1165608" cy="340976"/>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4D49D5FC-594C-4656-8955-A362048B0A6B}" type="TxLink">
                              <a:rPr lang="th-TH" sz="800">
                                <a:solidFill>
                                  <a:schemeClr val="tx1"/>
                                </a:solidFill>
                              </a:rPr>
                              <a:pPr algn="l"/>
                              <a:t> </a:t>
                            </a:fld>
                            <a:endParaRPr lang="th-TH" sz="800">
                              <a:solidFill>
                                <a:schemeClr val="tx1"/>
                              </a:solidFill>
                            </a:endParaRPr>
                          </a:p>
                        </xdr:txBody>
                      </xdr:sp>
                      <xdr:sp macro="" textlink="'desigh Stairs'!$BG$26">
                        <xdr:nvSpPr>
                          <xdr:cNvPr id="1540" name="Rectangle 1539"/>
                          <xdr:cNvSpPr>
                            <a:spLocks noChangeAspect="1"/>
                          </xdr:cNvSpPr>
                        </xdr:nvSpPr>
                        <xdr:spPr>
                          <a:xfrm>
                            <a:off x="14740168" y="6110358"/>
                            <a:ext cx="932255" cy="332183"/>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7AC1A92D-0833-49C3-937C-5EDB995EE40B}" type="TxLink">
                              <a:rPr lang="th-TH" sz="800">
                                <a:solidFill>
                                  <a:schemeClr val="tx1"/>
                                </a:solidFill>
                              </a:rPr>
                              <a:pPr algn="l"/>
                              <a:t> </a:t>
                            </a:fld>
                            <a:endParaRPr lang="th-TH" sz="800">
                              <a:solidFill>
                                <a:schemeClr val="tx1"/>
                              </a:solidFill>
                            </a:endParaRPr>
                          </a:p>
                        </xdr:txBody>
                      </xdr:sp>
                      <xdr:sp macro="" textlink="'desigh Stairs'!BG$27">
                        <xdr:nvSpPr>
                          <xdr:cNvPr id="1541" name="Rectangle 1540"/>
                          <xdr:cNvSpPr>
                            <a:spLocks noChangeAspect="1"/>
                          </xdr:cNvSpPr>
                        </xdr:nvSpPr>
                        <xdr:spPr>
                          <a:xfrm>
                            <a:off x="14858990" y="5841210"/>
                            <a:ext cx="1313750" cy="364442"/>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F4EDD874-8ED4-4D43-A9B4-4BA7354CFCC8}" type="TxLink">
                              <a:rPr lang="th-TH" sz="800">
                                <a:solidFill>
                                  <a:schemeClr val="tx1"/>
                                </a:solidFill>
                              </a:rPr>
                              <a:pPr algn="l"/>
                              <a:t> </a:t>
                            </a:fld>
                            <a:endParaRPr lang="th-TH" sz="800">
                              <a:solidFill>
                                <a:schemeClr val="tx1"/>
                              </a:solidFill>
                            </a:endParaRPr>
                          </a:p>
                        </xdr:txBody>
                      </xdr:sp>
                      <xdr:sp macro="" textlink="'desigh Stairs'!$BG$28">
                        <xdr:nvSpPr>
                          <xdr:cNvPr id="1542" name="Rectangle 1541"/>
                          <xdr:cNvSpPr>
                            <a:spLocks noChangeAspect="1"/>
                          </xdr:cNvSpPr>
                        </xdr:nvSpPr>
                        <xdr:spPr>
                          <a:xfrm>
                            <a:off x="14815971" y="5484194"/>
                            <a:ext cx="947418" cy="375243"/>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45FBCF9B-D3C1-4BA9-87A8-C7AC14DDD3A6}" type="TxLink">
                              <a:rPr lang="th-TH" sz="900">
                                <a:solidFill>
                                  <a:schemeClr val="tx1"/>
                                </a:solidFill>
                              </a:rPr>
                              <a:pPr algn="l"/>
                              <a:t> </a:t>
                            </a:fld>
                            <a:endParaRPr lang="th-TH" sz="900">
                              <a:solidFill>
                                <a:schemeClr val="tx1"/>
                              </a:solidFill>
                            </a:endParaRPr>
                          </a:p>
                        </xdr:txBody>
                      </xdr:sp>
                      <xdr:sp macro="" textlink="'desigh Stairs'!BG$29">
                        <xdr:nvSpPr>
                          <xdr:cNvPr id="1543" name="Rectangle 1542"/>
                          <xdr:cNvSpPr>
                            <a:spLocks noChangeAspect="1"/>
                          </xdr:cNvSpPr>
                        </xdr:nvSpPr>
                        <xdr:spPr>
                          <a:xfrm>
                            <a:off x="14601262" y="5199970"/>
                            <a:ext cx="1071171" cy="457153"/>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fld id="{00D0F0A3-DD45-4F14-B6E8-8FFAD20657EE}" type="TxLink">
                              <a:rPr lang="th-TH" sz="800">
                                <a:solidFill>
                                  <a:schemeClr val="tx1"/>
                                </a:solidFill>
                              </a:rPr>
                              <a:pPr algn="r"/>
                              <a:t> </a:t>
                            </a:fld>
                            <a:endParaRPr lang="th-TH" sz="800">
                              <a:solidFill>
                                <a:schemeClr val="tx1"/>
                              </a:solidFill>
                            </a:endParaRPr>
                          </a:p>
                        </xdr:txBody>
                      </xdr:sp>
                      <xdr:sp macro="" textlink="'desigh Stairs'!$BG23">
                        <xdr:nvSpPr>
                          <xdr:cNvPr id="1544" name="Rectangle 1543"/>
                          <xdr:cNvSpPr>
                            <a:spLocks noChangeAspect="1"/>
                          </xdr:cNvSpPr>
                        </xdr:nvSpPr>
                        <xdr:spPr>
                          <a:xfrm>
                            <a:off x="14858998" y="6847676"/>
                            <a:ext cx="919550" cy="52824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46BCD274-7976-4A0B-80B2-D5B002495FCC}" type="TxLink">
                              <a:rPr lang="th-TH" sz="800">
                                <a:solidFill>
                                  <a:schemeClr val="tx1"/>
                                </a:solidFill>
                              </a:rPr>
                              <a:pPr algn="l"/>
                              <a:t> </a:t>
                            </a:fld>
                            <a:endParaRPr lang="th-TH" sz="800">
                              <a:solidFill>
                                <a:schemeClr val="tx1"/>
                              </a:solidFill>
                            </a:endParaRPr>
                          </a:p>
                        </xdr:txBody>
                      </xdr:sp>
                    </xdr:grpSp>
                    <xdr:sp macro="" textlink="'desigh Stairs'!BG$30">
                      <xdr:nvSpPr>
                        <xdr:cNvPr id="1534" name="Rectangle 1533"/>
                        <xdr:cNvSpPr>
                          <a:spLocks noChangeAspect="1"/>
                        </xdr:cNvSpPr>
                      </xdr:nvSpPr>
                      <xdr:spPr>
                        <a:xfrm>
                          <a:off x="14768037" y="4905099"/>
                          <a:ext cx="995358" cy="54916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CCE6BECA-819B-4E86-8D26-B1DF02D090DC}" type="TxLink">
                            <a:rPr lang="th-TH" sz="800">
                              <a:solidFill>
                                <a:schemeClr val="tx1"/>
                              </a:solidFill>
                            </a:rPr>
                            <a:pPr algn="l"/>
                            <a:t> </a:t>
                          </a:fld>
                          <a:endParaRPr lang="th-TH" sz="800">
                            <a:solidFill>
                              <a:schemeClr val="tx1"/>
                            </a:solidFill>
                          </a:endParaRPr>
                        </a:p>
                      </xdr:txBody>
                    </xdr:sp>
                  </xdr:grpSp>
                  <xdr:sp macro="" textlink="'desigh Stairs'!$BH$21">
                    <xdr:nvSpPr>
                      <xdr:cNvPr id="1530" name="Rectangle 1529"/>
                      <xdr:cNvSpPr/>
                    </xdr:nvSpPr>
                    <xdr:spPr>
                      <a:xfrm>
                        <a:off x="16443247" y="8160924"/>
                        <a:ext cx="449460" cy="100221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b"/>
                      <a:lstStyle/>
                      <a:p>
                        <a:pPr algn="ctr"/>
                        <a:fld id="{D107DDE9-83C4-4322-B19A-3D3042A4CA3C}" type="TxLink">
                          <a:rPr lang="th-TH" sz="800">
                            <a:solidFill>
                              <a:schemeClr val="tx1"/>
                            </a:solidFill>
                          </a:rPr>
                          <a:pPr algn="ctr"/>
                          <a:t> </a:t>
                        </a:fld>
                        <a:endParaRPr lang="th-TH" sz="800">
                          <a:solidFill>
                            <a:schemeClr val="tx1"/>
                          </a:solidFill>
                        </a:endParaRPr>
                      </a:p>
                    </xdr:txBody>
                  </xdr:sp>
                  <xdr:sp macro="" textlink="'desigh Stairs'!BH$22">
                    <xdr:nvSpPr>
                      <xdr:cNvPr id="1531" name="Rectangle 1530"/>
                      <xdr:cNvSpPr/>
                    </xdr:nvSpPr>
                    <xdr:spPr>
                      <a:xfrm>
                        <a:off x="16195293" y="7687160"/>
                        <a:ext cx="424517" cy="892879"/>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fld id="{09162708-5A99-48BF-82E8-2F9910D4D582}" type="TxLink">
                          <a:rPr lang="th-TH" sz="800">
                            <a:solidFill>
                              <a:schemeClr val="tx1"/>
                            </a:solidFill>
                          </a:rPr>
                          <a:pPr algn="ctr"/>
                          <a:t> </a:t>
                        </a:fld>
                        <a:endParaRPr lang="th-TH" sz="800">
                          <a:solidFill>
                            <a:schemeClr val="tx1"/>
                          </a:solidFill>
                        </a:endParaRPr>
                      </a:p>
                    </xdr:txBody>
                  </xdr:sp>
                  <xdr:sp macro="" textlink="'desigh Stairs'!BH$23">
                    <xdr:nvSpPr>
                      <xdr:cNvPr id="1532" name="Rectangle 1531"/>
                      <xdr:cNvSpPr/>
                    </xdr:nvSpPr>
                    <xdr:spPr>
                      <a:xfrm>
                        <a:off x="16286260" y="7151209"/>
                        <a:ext cx="394195" cy="1137286"/>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t"/>
                      <a:lstStyle/>
                      <a:p>
                        <a:pPr algn="ctr"/>
                        <a:fld id="{DE391D4B-392C-42E0-9A9B-E29FAF866332}" type="TxLink">
                          <a:rPr lang="th-TH" sz="800">
                            <a:solidFill>
                              <a:schemeClr val="tx1"/>
                            </a:solidFill>
                          </a:rPr>
                          <a:pPr algn="ctr"/>
                          <a:t> </a:t>
                        </a:fld>
                        <a:endParaRPr lang="th-TH" sz="800">
                          <a:solidFill>
                            <a:schemeClr val="tx1"/>
                          </a:solidFill>
                        </a:endParaRPr>
                      </a:p>
                    </xdr:txBody>
                  </xdr:sp>
                </xdr:grpSp>
                <xdr:sp macro="" textlink="'desigh Stairs'!BF$21">
                  <xdr:nvSpPr>
                    <xdr:cNvPr id="1519" name="Rectangle 1518"/>
                    <xdr:cNvSpPr/>
                  </xdr:nvSpPr>
                  <xdr:spPr>
                    <a:xfrm>
                      <a:off x="15011399" y="7395606"/>
                      <a:ext cx="1062601" cy="364442"/>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89A4AF04-06ED-458D-9DA6-347F6404F4B8}" type="TxLink">
                        <a:rPr lang="th-TH" sz="800">
                          <a:solidFill>
                            <a:schemeClr val="tx1"/>
                          </a:solidFill>
                        </a:rPr>
                        <a:pPr algn="ctr"/>
                        <a:t> </a:t>
                      </a:fld>
                      <a:endParaRPr lang="th-TH" sz="800">
                        <a:solidFill>
                          <a:schemeClr val="tx1"/>
                        </a:solidFill>
                      </a:endParaRPr>
                    </a:p>
                  </xdr:txBody>
                </xdr:sp>
                <xdr:sp macro="" textlink="'desigh Stairs'!BF$22">
                  <xdr:nvSpPr>
                    <xdr:cNvPr id="1520" name="Rectangle 1519"/>
                    <xdr:cNvSpPr/>
                  </xdr:nvSpPr>
                  <xdr:spPr>
                    <a:xfrm>
                      <a:off x="15011399" y="7067607"/>
                      <a:ext cx="1092924" cy="474536"/>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fld id="{8842CF78-47A1-414A-B7C2-D2B2F94EC2CC}" type="TxLink">
                        <a:rPr lang="th-TH" sz="800">
                          <a:solidFill>
                            <a:schemeClr val="tx1"/>
                          </a:solidFill>
                        </a:rPr>
                        <a:pPr algn="ctr"/>
                        <a:t> </a:t>
                      </a:fld>
                      <a:endParaRPr lang="th-TH" sz="800">
                        <a:solidFill>
                          <a:schemeClr val="tx1"/>
                        </a:solidFill>
                      </a:endParaRPr>
                    </a:p>
                  </xdr:txBody>
                </xdr:sp>
                <xdr:sp macro="" textlink="'desigh Stairs'!BF$23">
                  <xdr:nvSpPr>
                    <xdr:cNvPr id="1521" name="Rectangle 1520"/>
                    <xdr:cNvSpPr/>
                  </xdr:nvSpPr>
                  <xdr:spPr>
                    <a:xfrm>
                      <a:off x="15011399" y="6867163"/>
                      <a:ext cx="1077763" cy="437329"/>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1DBC0138-0309-4DF8-B156-ADFB342B5837}" type="TxLink">
                        <a:rPr lang="th-TH" sz="800">
                          <a:solidFill>
                            <a:schemeClr val="tx1"/>
                          </a:solidFill>
                        </a:rPr>
                        <a:pPr algn="ctr"/>
                        <a:t> </a:t>
                      </a:fld>
                      <a:endParaRPr lang="th-TH" sz="800">
                        <a:solidFill>
                          <a:schemeClr val="tx1"/>
                        </a:solidFill>
                      </a:endParaRPr>
                    </a:p>
                  </xdr:txBody>
                </xdr:sp>
                <xdr:sp macro="" textlink="'desigh Stairs'!BF$24">
                  <xdr:nvSpPr>
                    <xdr:cNvPr id="1522" name="Rectangle 1521"/>
                    <xdr:cNvSpPr/>
                  </xdr:nvSpPr>
                  <xdr:spPr>
                    <a:xfrm>
                      <a:off x="14950757" y="6593839"/>
                      <a:ext cx="986795" cy="398343"/>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657B89E-140C-4CFB-A145-B0DA415F8278}" type="TxLink">
                        <a:rPr lang="th-TH" sz="800">
                          <a:solidFill>
                            <a:schemeClr val="tx1"/>
                          </a:solidFill>
                        </a:rPr>
                        <a:pPr algn="ctr"/>
                        <a:t> </a:t>
                      </a:fld>
                      <a:endParaRPr lang="th-TH" sz="800">
                        <a:solidFill>
                          <a:schemeClr val="tx1"/>
                        </a:solidFill>
                      </a:endParaRPr>
                    </a:p>
                  </xdr:txBody>
                </xdr:sp>
                <xdr:sp macro="" textlink="'desigh Stairs'!BF$25">
                  <xdr:nvSpPr>
                    <xdr:cNvPr id="1523" name="Rectangle 1522"/>
                    <xdr:cNvSpPr/>
                  </xdr:nvSpPr>
                  <xdr:spPr>
                    <a:xfrm>
                      <a:off x="14950756" y="6302287"/>
                      <a:ext cx="956472" cy="404973"/>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2067E2CD-2001-4AC8-B100-0D8CFD1B9937}" type="TxLink">
                        <a:rPr lang="th-TH" sz="800">
                          <a:solidFill>
                            <a:schemeClr val="tx1"/>
                          </a:solidFill>
                        </a:rPr>
                        <a:pPr algn="ctr"/>
                        <a:t> </a:t>
                      </a:fld>
                      <a:endParaRPr lang="th-TH" sz="800">
                        <a:solidFill>
                          <a:schemeClr val="tx1"/>
                        </a:solidFill>
                      </a:endParaRPr>
                    </a:p>
                  </xdr:txBody>
                </xdr:sp>
                <xdr:sp macro="" textlink="'desigh Stairs'!BF$26">
                  <xdr:nvSpPr>
                    <xdr:cNvPr id="1524" name="Rectangle 1523"/>
                    <xdr:cNvSpPr/>
                  </xdr:nvSpPr>
                  <xdr:spPr>
                    <a:xfrm>
                      <a:off x="14996239" y="6065400"/>
                      <a:ext cx="986795" cy="346219"/>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18D6AAD5-D983-4C8A-8686-4EA77FB6637D}" type="TxLink">
                        <a:rPr lang="th-TH" sz="800">
                          <a:solidFill>
                            <a:schemeClr val="tx1"/>
                          </a:solidFill>
                        </a:rPr>
                        <a:pPr algn="ctr"/>
                        <a:t> </a:t>
                      </a:fld>
                      <a:endParaRPr lang="th-TH" sz="800">
                        <a:solidFill>
                          <a:schemeClr val="tx1"/>
                        </a:solidFill>
                      </a:endParaRPr>
                    </a:p>
                  </xdr:txBody>
                </xdr:sp>
                <xdr:sp macro="" textlink="'desigh Stairs'!BF$30">
                  <xdr:nvSpPr>
                    <xdr:cNvPr id="1525" name="Rectangle 1524"/>
                    <xdr:cNvSpPr/>
                  </xdr:nvSpPr>
                  <xdr:spPr>
                    <a:xfrm>
                      <a:off x="14996239" y="5008520"/>
                      <a:ext cx="986795" cy="346219"/>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C71362F-94C5-4287-B245-090970997AF8}" type="TxLink">
                        <a:rPr lang="th-TH" sz="900">
                          <a:solidFill>
                            <a:schemeClr val="tx1"/>
                          </a:solidFill>
                        </a:rPr>
                        <a:pPr algn="ctr"/>
                        <a:t> </a:t>
                      </a:fld>
                      <a:endParaRPr lang="th-TH" sz="900">
                        <a:solidFill>
                          <a:schemeClr val="tx1"/>
                        </a:solidFill>
                      </a:endParaRPr>
                    </a:p>
                  </xdr:txBody>
                </xdr:sp>
                <xdr:sp macro="" textlink="'desigh Stairs'!BF$27">
                  <xdr:nvSpPr>
                    <xdr:cNvPr id="1526" name="Rectangle 1525"/>
                    <xdr:cNvSpPr/>
                  </xdr:nvSpPr>
                  <xdr:spPr>
                    <a:xfrm>
                      <a:off x="14981078" y="5773844"/>
                      <a:ext cx="941312" cy="40088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1B247BB0-B14F-4E03-B558-AD5F99C8DBAE}" type="TxLink">
                        <a:rPr lang="th-TH" sz="800">
                          <a:solidFill>
                            <a:schemeClr val="tx1"/>
                          </a:solidFill>
                        </a:rPr>
                        <a:pPr algn="ctr"/>
                        <a:t> </a:t>
                      </a:fld>
                      <a:endParaRPr lang="th-TH" sz="800">
                        <a:solidFill>
                          <a:schemeClr val="tx1"/>
                        </a:solidFill>
                      </a:endParaRPr>
                    </a:p>
                  </xdr:txBody>
                </xdr:sp>
                <xdr:sp macro="" textlink="'desigh Stairs'!BF$28">
                  <xdr:nvSpPr>
                    <xdr:cNvPr id="1527" name="Rectangle 1526"/>
                    <xdr:cNvSpPr/>
                  </xdr:nvSpPr>
                  <xdr:spPr>
                    <a:xfrm>
                      <a:off x="15011399" y="5518735"/>
                      <a:ext cx="986795" cy="412166"/>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E58CC30F-977D-415C-BE70-B11B87E8505B}" type="TxLink">
                        <a:rPr lang="th-TH" sz="800">
                          <a:solidFill>
                            <a:schemeClr val="tx1"/>
                          </a:solidFill>
                        </a:rPr>
                        <a:pPr algn="ctr"/>
                        <a:t> </a:t>
                      </a:fld>
                      <a:endParaRPr lang="th-TH" sz="800">
                        <a:solidFill>
                          <a:schemeClr val="tx1"/>
                        </a:solidFill>
                      </a:endParaRPr>
                    </a:p>
                  </xdr:txBody>
                </xdr:sp>
                <xdr:sp macro="" textlink="'desigh Stairs'!BF$29">
                  <xdr:nvSpPr>
                    <xdr:cNvPr id="1528" name="Rectangle 1527"/>
                    <xdr:cNvSpPr/>
                  </xdr:nvSpPr>
                  <xdr:spPr>
                    <a:xfrm>
                      <a:off x="14981077" y="5281851"/>
                      <a:ext cx="1001956" cy="364442"/>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7AD39ED0-C8A3-498E-8324-4DC44A924B22}" type="TxLink">
                        <a:rPr lang="th-TH" sz="800">
                          <a:solidFill>
                            <a:schemeClr val="tx1"/>
                          </a:solidFill>
                        </a:rPr>
                        <a:pPr algn="ctr"/>
                        <a:t> </a:t>
                      </a:fld>
                      <a:endParaRPr lang="th-TH" sz="800">
                        <a:solidFill>
                          <a:schemeClr val="tx1"/>
                        </a:solidFill>
                      </a:endParaRPr>
                    </a:p>
                  </xdr:txBody>
                </xdr:sp>
              </xdr:grpSp>
              <xdr:sp macro="" textlink="'desigh Stairs'!$BI$21">
                <xdr:nvSpPr>
                  <xdr:cNvPr id="1515" name="Rectangle 1514"/>
                  <xdr:cNvSpPr/>
                </xdr:nvSpPr>
                <xdr:spPr>
                  <a:xfrm>
                    <a:off x="15867617" y="7915977"/>
                    <a:ext cx="448966" cy="9920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b"/>
                  <a:lstStyle/>
                  <a:p>
                    <a:pPr algn="ctr"/>
                    <a:fld id="{669449AC-3EA9-470B-8BD0-087F230B04FC}" type="TxLink">
                      <a:rPr lang="th-TH" sz="800">
                        <a:solidFill>
                          <a:schemeClr val="tx1"/>
                        </a:solidFill>
                      </a:rPr>
                      <a:pPr algn="ctr"/>
                      <a:t> </a:t>
                    </a:fld>
                    <a:endParaRPr lang="th-TH" sz="800">
                      <a:solidFill>
                        <a:schemeClr val="tx1"/>
                      </a:solidFill>
                    </a:endParaRPr>
                  </a:p>
                </xdr:txBody>
              </xdr:sp>
              <xdr:sp macro="" textlink="'desigh Stairs'!$BI$22">
                <xdr:nvSpPr>
                  <xdr:cNvPr id="1516" name="Rectangle 1515"/>
                  <xdr:cNvSpPr/>
                </xdr:nvSpPr>
                <xdr:spPr>
                  <a:xfrm>
                    <a:off x="15913098" y="7797797"/>
                    <a:ext cx="327671" cy="9644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b"/>
                  <a:lstStyle/>
                  <a:p>
                    <a:pPr algn="ctr"/>
                    <a:fld id="{80F8210D-5289-48E2-9755-DEAE641992D0}" type="TxLink">
                      <a:rPr lang="th-TH" sz="800">
                        <a:solidFill>
                          <a:schemeClr val="tx1"/>
                        </a:solidFill>
                      </a:rPr>
                      <a:pPr algn="ctr"/>
                      <a:t>60 cm.</a:t>
                    </a:fld>
                    <a:endParaRPr lang="th-TH" sz="800">
                      <a:solidFill>
                        <a:schemeClr val="tx1"/>
                      </a:solidFill>
                    </a:endParaRPr>
                  </a:p>
                </xdr:txBody>
              </xdr:sp>
              <xdr:sp macro="" textlink="'desigh Stairs'!$BI$23">
                <xdr:nvSpPr>
                  <xdr:cNvPr id="1517" name="Rectangle 1516"/>
                  <xdr:cNvSpPr/>
                </xdr:nvSpPr>
                <xdr:spPr>
                  <a:xfrm>
                    <a:off x="15963899" y="7277098"/>
                    <a:ext cx="383006" cy="10660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fld id="{CE37101E-14B2-4F1C-B5A9-A32D3DEC4ABE}" type="TxLink">
                      <a:rPr lang="th-TH" sz="800">
                        <a:solidFill>
                          <a:schemeClr val="tx1"/>
                        </a:solidFill>
                      </a:rPr>
                      <a:pPr algn="ctr"/>
                      <a:t> </a:t>
                    </a:fld>
                    <a:endParaRPr lang="th-TH" sz="800">
                      <a:solidFill>
                        <a:schemeClr val="tx1"/>
                      </a:solidFill>
                    </a:endParaRPr>
                  </a:p>
                </xdr:txBody>
              </xdr:sp>
            </xdr:grpSp>
            <xdr:sp macro="" textlink="'desigh Stairs'!BJ$21">
              <xdr:nvSpPr>
                <xdr:cNvPr id="1494" name="Rectangle 1493"/>
                <xdr:cNvSpPr/>
              </xdr:nvSpPr>
              <xdr:spPr>
                <a:xfrm>
                  <a:off x="7534933" y="15360448"/>
                  <a:ext cx="178615" cy="3898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fld id="{0AAFA5E5-D0E6-4512-8C4B-CD60E06ACB13}" type="TxLink">
                    <a:rPr lang="th-TH" sz="800">
                      <a:solidFill>
                        <a:schemeClr val="tx1"/>
                      </a:solidFill>
                    </a:rPr>
                    <a:pPr algn="ctr"/>
                    <a:t> </a:t>
                  </a:fld>
                  <a:endParaRPr lang="th-TH" sz="800">
                    <a:solidFill>
                      <a:schemeClr val="tx1"/>
                    </a:solidFill>
                  </a:endParaRPr>
                </a:p>
              </xdr:txBody>
            </xdr:sp>
            <xdr:sp macro="" textlink="'desigh Stairs'!BJ$22">
              <xdr:nvSpPr>
                <xdr:cNvPr id="1495" name="Rectangle 1494"/>
                <xdr:cNvSpPr/>
              </xdr:nvSpPr>
              <xdr:spPr>
                <a:xfrm>
                  <a:off x="7536715" y="15151125"/>
                  <a:ext cx="151321" cy="395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fld id="{6F729D04-3F22-4197-96AA-9663ED455B60}" type="TxLink">
                    <a:rPr lang="th-TH" sz="800">
                      <a:solidFill>
                        <a:schemeClr val="tx1"/>
                      </a:solidFill>
                    </a:rPr>
                    <a:pPr algn="ctr"/>
                    <a:t> </a:t>
                  </a:fld>
                  <a:endParaRPr lang="th-TH" sz="800">
                    <a:solidFill>
                      <a:schemeClr val="tx1"/>
                    </a:solidFill>
                  </a:endParaRPr>
                </a:p>
              </xdr:txBody>
            </xdr:sp>
            <xdr:sp macro="" textlink="'desigh Stairs'!BJ$23">
              <xdr:nvSpPr>
                <xdr:cNvPr id="1496" name="Rectangle 1495"/>
                <xdr:cNvSpPr/>
              </xdr:nvSpPr>
              <xdr:spPr>
                <a:xfrm>
                  <a:off x="7451398" y="15013572"/>
                  <a:ext cx="188500" cy="5070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fld id="{36B306EA-64FE-444D-8F19-A431A13BECC1}" type="TxLink">
                    <a:rPr lang="th-TH" sz="800">
                      <a:solidFill>
                        <a:schemeClr val="tx1"/>
                      </a:solidFill>
                    </a:rPr>
                    <a:pPr algn="ctr"/>
                    <a:t> </a:t>
                  </a:fld>
                  <a:endParaRPr lang="th-TH" sz="800">
                    <a:solidFill>
                      <a:schemeClr val="tx1"/>
                    </a:solidFill>
                  </a:endParaRPr>
                </a:p>
              </xdr:txBody>
            </xdr:sp>
            <xdr:sp macro="" textlink="">
              <xdr:nvSpPr>
                <xdr:cNvPr id="1497" name="TextBox 1496"/>
                <xdr:cNvSpPr txBox="1"/>
              </xdr:nvSpPr>
              <xdr:spPr>
                <a:xfrm>
                  <a:off x="7644171" y="13930326"/>
                  <a:ext cx="1645401" cy="20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th-TH" sz="1100"/>
                </a:p>
              </xdr:txBody>
            </xdr:sp>
            <xdr:sp macro="" textlink="'desigh Stairs'!$BF$32">
              <xdr:nvSpPr>
                <xdr:cNvPr id="1498" name="Rectangle 1497"/>
                <xdr:cNvSpPr/>
              </xdr:nvSpPr>
              <xdr:spPr>
                <a:xfrm>
                  <a:off x="7955637" y="15646827"/>
                  <a:ext cx="367325" cy="1970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2C65E761-A148-4559-A928-7869921559DF}" type="TxLink">
                    <a:rPr lang="th-TH" sz="900" b="1">
                      <a:solidFill>
                        <a:schemeClr val="tx1"/>
                      </a:solidFill>
                    </a:rPr>
                    <a:pPr algn="ctr"/>
                    <a:t>DB</a:t>
                  </a:fld>
                  <a:endParaRPr lang="th-TH" sz="900" b="1">
                    <a:solidFill>
                      <a:schemeClr val="tx1"/>
                    </a:solidFill>
                  </a:endParaRPr>
                </a:p>
              </xdr:txBody>
            </xdr:sp>
            <xdr:sp macro="" textlink="'desigh Stairs'!$BG$32">
              <xdr:nvSpPr>
                <xdr:cNvPr id="1499" name="Rectangle 1498"/>
                <xdr:cNvSpPr/>
              </xdr:nvSpPr>
              <xdr:spPr>
                <a:xfrm>
                  <a:off x="8146191" y="15614281"/>
                  <a:ext cx="748055" cy="2380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E0491B15-43B6-42C7-BCE4-BC9650C88FDF}" type="TxLink">
                    <a:rPr lang="th-TH" sz="900" b="0">
                      <a:solidFill>
                        <a:schemeClr val="tx1"/>
                      </a:solidFill>
                    </a:rPr>
                    <a:pPr algn="ctr"/>
                    <a:t>ø  12 mm.</a:t>
                  </a:fld>
                  <a:endParaRPr lang="th-TH" sz="900" b="0">
                    <a:solidFill>
                      <a:schemeClr val="tx1"/>
                    </a:solidFill>
                  </a:endParaRPr>
                </a:p>
              </xdr:txBody>
            </xdr:sp>
            <xdr:sp macro="" textlink="'desigh Stairs'!$BH$32">
              <xdr:nvSpPr>
                <xdr:cNvPr id="1500" name="Rectangle 1499"/>
                <xdr:cNvSpPr/>
              </xdr:nvSpPr>
              <xdr:spPr>
                <a:xfrm>
                  <a:off x="8589926" y="15649264"/>
                  <a:ext cx="836664" cy="1762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273DC38D-3240-42E8-A79F-23F2E0D170B4}" type="TxLink">
                    <a:rPr lang="th-TH" sz="900">
                      <a:solidFill>
                        <a:schemeClr val="tx1"/>
                      </a:solidFill>
                    </a:rPr>
                    <a:pPr algn="ctr"/>
                    <a:t>@9.0 cm.</a:t>
                  </a:fld>
                  <a:endParaRPr lang="th-TH" sz="900">
                    <a:solidFill>
                      <a:schemeClr val="tx1"/>
                    </a:solidFill>
                  </a:endParaRPr>
                </a:p>
              </xdr:txBody>
            </xdr:sp>
            <xdr:sp macro="" textlink="">
              <xdr:nvSpPr>
                <xdr:cNvPr id="1501" name="Rectangle 1500"/>
                <xdr:cNvSpPr/>
              </xdr:nvSpPr>
              <xdr:spPr>
                <a:xfrm>
                  <a:off x="7882860" y="15412059"/>
                  <a:ext cx="582917" cy="2191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lang="en-US" sz="900" b="1">
                      <a:solidFill>
                        <a:srgbClr val="FF0000"/>
                      </a:solidFill>
                    </a:rPr>
                    <a:t>Strirup</a:t>
                  </a:r>
                  <a:endParaRPr lang="th-TH" sz="900" b="1">
                    <a:solidFill>
                      <a:srgbClr val="FF0000"/>
                    </a:solidFill>
                  </a:endParaRPr>
                </a:p>
              </xdr:txBody>
            </xdr:sp>
            <xdr:sp macro="" textlink="'desigh Stairs'!$BF$34">
              <xdr:nvSpPr>
                <xdr:cNvPr id="1502" name="Rectangle 1501"/>
                <xdr:cNvSpPr/>
              </xdr:nvSpPr>
              <xdr:spPr>
                <a:xfrm>
                  <a:off x="7869075" y="15083163"/>
                  <a:ext cx="652438" cy="1738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D5BD28D2-11F2-49B4-8F03-FAE0CE3208D5}" type="TxLink">
                    <a:rPr lang="th-TH" sz="900" b="1">
                      <a:solidFill>
                        <a:srgbClr val="FF0000"/>
                      </a:solidFill>
                    </a:rPr>
                    <a:pPr algn="l"/>
                    <a:t>Under</a:t>
                  </a:fld>
                  <a:endParaRPr lang="th-TH" sz="900" b="1">
                    <a:solidFill>
                      <a:srgbClr val="FF0000"/>
                    </a:solidFill>
                  </a:endParaRPr>
                </a:p>
              </xdr:txBody>
            </xdr:sp>
            <xdr:sp macro="" textlink="'desigh Stairs'!$BG$34">
              <xdr:nvSpPr>
                <xdr:cNvPr id="1503" name="Rectangle 1502"/>
                <xdr:cNvSpPr/>
              </xdr:nvSpPr>
              <xdr:spPr>
                <a:xfrm>
                  <a:off x="7902898" y="15292243"/>
                  <a:ext cx="454990" cy="1993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EC5D3EC2-7291-4045-B62F-2ED4C87DB417}" type="TxLink">
                    <a:rPr lang="th-TH" sz="900">
                      <a:solidFill>
                        <a:schemeClr val="tx1"/>
                      </a:solidFill>
                    </a:rPr>
                    <a:pPr algn="ctr"/>
                    <a:t>5</a:t>
                  </a:fld>
                  <a:endParaRPr lang="th-TH" sz="900">
                    <a:solidFill>
                      <a:schemeClr val="tx1"/>
                    </a:solidFill>
                  </a:endParaRPr>
                </a:p>
              </xdr:txBody>
            </xdr:sp>
            <xdr:sp macro="" textlink="'desigh Stairs'!$BH$34">
              <xdr:nvSpPr>
                <xdr:cNvPr id="1504" name="Rectangle 1503"/>
                <xdr:cNvSpPr/>
              </xdr:nvSpPr>
              <xdr:spPr>
                <a:xfrm>
                  <a:off x="8154999" y="15277339"/>
                  <a:ext cx="414655" cy="2052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8FAC1534-48A2-42D1-BB15-B65B461A4CE4}" type="TxLink">
                    <a:rPr lang="th-TH" sz="900" b="1">
                      <a:solidFill>
                        <a:schemeClr val="bg2">
                          <a:lumMod val="10000"/>
                        </a:schemeClr>
                      </a:solidFill>
                    </a:rPr>
                    <a:pPr algn="ctr"/>
                    <a:t>DB</a:t>
                  </a:fld>
                  <a:endParaRPr lang="th-TH" sz="900" b="1">
                    <a:solidFill>
                      <a:schemeClr val="bg2">
                        <a:lumMod val="10000"/>
                      </a:schemeClr>
                    </a:solidFill>
                  </a:endParaRPr>
                </a:p>
              </xdr:txBody>
            </xdr:sp>
            <xdr:sp macro="" textlink="'desigh Stairs'!$BI$34">
              <xdr:nvSpPr>
                <xdr:cNvPr id="1505" name="Rectangle 1504"/>
                <xdr:cNvSpPr/>
              </xdr:nvSpPr>
              <xdr:spPr>
                <a:xfrm>
                  <a:off x="8411675" y="15258744"/>
                  <a:ext cx="777762" cy="2238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fld id="{15A25C24-04A2-4EE6-BF7B-7B37FE8FDFE2}" type="TxLink">
                    <a:rPr lang="th-TH" sz="900">
                      <a:solidFill>
                        <a:schemeClr val="tx1"/>
                      </a:solidFill>
                    </a:rPr>
                    <a:pPr algn="l"/>
                    <a:t>ø  20 mm.</a:t>
                  </a:fld>
                  <a:endParaRPr lang="th-TH" sz="900">
                    <a:solidFill>
                      <a:schemeClr val="tx1"/>
                    </a:solidFill>
                  </a:endParaRPr>
                </a:p>
              </xdr:txBody>
            </xdr:sp>
            <xdr:sp macro="" textlink="$BF$36">
              <xdr:nvSpPr>
                <xdr:cNvPr id="1506" name="Rectangle 1505"/>
                <xdr:cNvSpPr/>
              </xdr:nvSpPr>
              <xdr:spPr>
                <a:xfrm>
                  <a:off x="7867919" y="14627045"/>
                  <a:ext cx="688761" cy="17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365B3782-2254-4162-9968-5274578FD380}" type="TxLink">
                    <a:rPr lang="th-TH" sz="900" b="1">
                      <a:solidFill>
                        <a:srgbClr val="FF0000"/>
                      </a:solidFill>
                    </a:rPr>
                    <a:pPr algn="l"/>
                    <a:t> </a:t>
                  </a:fld>
                  <a:endParaRPr lang="th-TH" sz="900" b="1">
                    <a:solidFill>
                      <a:srgbClr val="FF0000"/>
                    </a:solidFill>
                  </a:endParaRPr>
                </a:p>
              </xdr:txBody>
            </xdr:sp>
            <xdr:sp macro="" textlink="'desigh Stairs'!$BG$36">
              <xdr:nvSpPr>
                <xdr:cNvPr id="1507" name="Rectangle 1506"/>
                <xdr:cNvSpPr/>
              </xdr:nvSpPr>
              <xdr:spPr>
                <a:xfrm>
                  <a:off x="8015197" y="14775570"/>
                  <a:ext cx="200155" cy="1752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1F23372B-FBEC-4514-AC01-E4A95A900D41}" type="TxLink">
                    <a:rPr lang="th-TH" sz="900">
                      <a:solidFill>
                        <a:schemeClr val="tx1"/>
                      </a:solidFill>
                    </a:rPr>
                    <a:pPr algn="ctr"/>
                    <a:t>4</a:t>
                  </a:fld>
                  <a:endParaRPr lang="th-TH" sz="900">
                    <a:solidFill>
                      <a:schemeClr val="tx1"/>
                    </a:solidFill>
                  </a:endParaRPr>
                </a:p>
              </xdr:txBody>
            </xdr:sp>
            <xdr:sp macro="" textlink="'desigh Stairs'!$BI$36">
              <xdr:nvSpPr>
                <xdr:cNvPr id="1508" name="Rectangle 1507"/>
                <xdr:cNvSpPr/>
              </xdr:nvSpPr>
              <xdr:spPr>
                <a:xfrm>
                  <a:off x="8090671" y="14770970"/>
                  <a:ext cx="595846" cy="1758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A5C4208D-8FE5-4A99-B8E8-94EFC9F985BB}" type="TxLink">
                    <a:rPr lang="th-TH" sz="900" b="1">
                      <a:solidFill>
                        <a:schemeClr val="tx1"/>
                      </a:solidFill>
                    </a:rPr>
                    <a:pPr algn="ctr"/>
                    <a:t>DB</a:t>
                  </a:fld>
                  <a:endParaRPr lang="th-TH" sz="900" b="1">
                    <a:solidFill>
                      <a:schemeClr val="tx1"/>
                    </a:solidFill>
                  </a:endParaRPr>
                </a:p>
              </xdr:txBody>
            </xdr:sp>
            <xdr:sp macro="" textlink="'desigh Stairs'!$BH$36">
              <xdr:nvSpPr>
                <xdr:cNvPr id="1509" name="Rectangle 1508"/>
                <xdr:cNvSpPr/>
              </xdr:nvSpPr>
              <xdr:spPr>
                <a:xfrm>
                  <a:off x="8434764" y="14764468"/>
                  <a:ext cx="783628" cy="2119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fld id="{3EE0BA95-241C-4C7F-95B1-9E56A43D3646}" type="TxLink">
                    <a:rPr lang="th-TH" sz="800">
                      <a:solidFill>
                        <a:schemeClr val="tx1"/>
                      </a:solidFill>
                    </a:rPr>
                    <a:pPr algn="l"/>
                    <a:t>ø  16 mm.</a:t>
                  </a:fld>
                  <a:endParaRPr lang="th-TH" sz="800">
                    <a:solidFill>
                      <a:schemeClr val="tx1"/>
                    </a:solidFill>
                  </a:endParaRPr>
                </a:p>
              </xdr:txBody>
            </xdr:sp>
            <xdr:sp macro="" textlink="'desigh Stairs'!$BF$38">
              <xdr:nvSpPr>
                <xdr:cNvPr id="1510" name="Rectangle 1509"/>
                <xdr:cNvSpPr/>
              </xdr:nvSpPr>
              <xdr:spPr>
                <a:xfrm>
                  <a:off x="7883473" y="14138650"/>
                  <a:ext cx="984798" cy="1794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fld id="{84781EC1-4B1B-4ABA-A63F-51AC5E8CD7F3}" type="TxLink">
                    <a:rPr lang="th-TH" sz="900" b="1">
                      <a:solidFill>
                        <a:srgbClr val="FF0000"/>
                      </a:solidFill>
                    </a:rPr>
                    <a:pPr algn="l"/>
                    <a:t>Top</a:t>
                  </a:fld>
                  <a:endParaRPr lang="th-TH" sz="900" b="1">
                    <a:solidFill>
                      <a:srgbClr val="FF0000"/>
                    </a:solidFill>
                  </a:endParaRPr>
                </a:p>
              </xdr:txBody>
            </xdr:sp>
            <xdr:sp macro="" textlink="'desigh Stairs'!$BG$38">
              <xdr:nvSpPr>
                <xdr:cNvPr id="1511" name="Rectangle 1510"/>
                <xdr:cNvSpPr/>
              </xdr:nvSpPr>
              <xdr:spPr>
                <a:xfrm>
                  <a:off x="7933082" y="14358358"/>
                  <a:ext cx="376888" cy="1639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6C76F6AA-0992-48B4-ACCA-E82249314883}" type="TxLink">
                    <a:rPr lang="th-TH" sz="900">
                      <a:solidFill>
                        <a:schemeClr val="tx1"/>
                      </a:solidFill>
                    </a:rPr>
                    <a:pPr algn="ctr"/>
                    <a:t>5</a:t>
                  </a:fld>
                  <a:endParaRPr lang="th-TH" sz="900">
                    <a:solidFill>
                      <a:schemeClr val="tx1"/>
                    </a:solidFill>
                  </a:endParaRPr>
                </a:p>
              </xdr:txBody>
            </xdr:sp>
            <xdr:sp macro="" textlink="'desigh Stairs'!$BH$38">
              <xdr:nvSpPr>
                <xdr:cNvPr id="1512" name="Rectangle 1511"/>
                <xdr:cNvSpPr/>
              </xdr:nvSpPr>
              <xdr:spPr>
                <a:xfrm>
                  <a:off x="8120820" y="14345886"/>
                  <a:ext cx="481255" cy="1797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4E7B634C-CDBE-406F-9FA7-8B4240336CB0}" type="TxLink">
                    <a:rPr lang="th-TH" sz="900" b="1">
                      <a:solidFill>
                        <a:schemeClr val="tx1"/>
                      </a:solidFill>
                    </a:rPr>
                    <a:pPr algn="ctr"/>
                    <a:t>DB</a:t>
                  </a:fld>
                  <a:endParaRPr lang="th-TH" sz="900" b="1">
                    <a:solidFill>
                      <a:schemeClr val="tx1"/>
                    </a:solidFill>
                  </a:endParaRPr>
                </a:p>
              </xdr:txBody>
            </xdr:sp>
            <xdr:sp macro="" textlink="'desigh Stairs'!$BI$38">
              <xdr:nvSpPr>
                <xdr:cNvPr id="1513" name="Rectangle 1512"/>
                <xdr:cNvSpPr/>
              </xdr:nvSpPr>
              <xdr:spPr>
                <a:xfrm>
                  <a:off x="8401577" y="14319615"/>
                  <a:ext cx="885410" cy="1781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fld id="{F06DE34C-E89E-484E-BC3F-30926B1ECA3D}" type="TxLink">
                    <a:rPr lang="th-TH" sz="900">
                      <a:solidFill>
                        <a:schemeClr val="tx1"/>
                      </a:solidFill>
                    </a:rPr>
                    <a:pPr algn="l"/>
                    <a:t>ø  16 mm.</a:t>
                  </a:fld>
                  <a:endParaRPr lang="th-TH" sz="900">
                    <a:solidFill>
                      <a:schemeClr val="tx1"/>
                    </a:solidFill>
                  </a:endParaRPr>
                </a:p>
              </xdr:txBody>
            </xdr:sp>
          </xdr:grpSp>
          <xdr:sp macro="" textlink="">
            <xdr:nvSpPr>
              <xdr:cNvPr id="1492" name="Rectangle 1491"/>
              <xdr:cNvSpPr/>
            </xdr:nvSpPr>
            <xdr:spPr>
              <a:xfrm>
                <a:off x="5642199" y="35913741"/>
                <a:ext cx="3256906" cy="2258027"/>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grpSp>
        <xdr:grpSp>
          <xdr:nvGrpSpPr>
            <xdr:cNvPr id="1830" name="Group 1829"/>
            <xdr:cNvGrpSpPr/>
          </xdr:nvGrpSpPr>
          <xdr:grpSpPr>
            <a:xfrm>
              <a:off x="5920026" y="38812668"/>
              <a:ext cx="2973249" cy="1807549"/>
              <a:chOff x="6935056" y="36997669"/>
              <a:chExt cx="2980669" cy="1746178"/>
            </a:xfrm>
          </xdr:grpSpPr>
          <xdr:grpSp>
            <xdr:nvGrpSpPr>
              <xdr:cNvPr id="1609" name="Group 1608"/>
              <xdr:cNvGrpSpPr/>
            </xdr:nvGrpSpPr>
            <xdr:grpSpPr>
              <a:xfrm>
                <a:off x="6935056" y="36997669"/>
                <a:ext cx="2980669" cy="1259421"/>
                <a:chOff x="6156613" y="29628919"/>
                <a:chExt cx="2905203" cy="1326890"/>
              </a:xfrm>
            </xdr:grpSpPr>
            <xdr:cxnSp macro="">
              <xdr:nvCxnSpPr>
                <xdr:cNvPr id="1610" name="Straight Connector 1609"/>
                <xdr:cNvCxnSpPr/>
              </xdr:nvCxnSpPr>
              <xdr:spPr>
                <a:xfrm>
                  <a:off x="6158905" y="30281883"/>
                  <a:ext cx="349565" cy="1532"/>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11" name="Straight Connector 1610"/>
                <xdr:cNvCxnSpPr/>
              </xdr:nvCxnSpPr>
              <xdr:spPr>
                <a:xfrm rot="5400000">
                  <a:off x="5815580" y="30613215"/>
                  <a:ext cx="683627" cy="1561"/>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12" name="Straight Connector 1611"/>
                <xdr:cNvCxnSpPr/>
              </xdr:nvCxnSpPr>
              <xdr:spPr>
                <a:xfrm>
                  <a:off x="6157189" y="30953044"/>
                  <a:ext cx="349565" cy="1532"/>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13" name="Straight Connector 1612"/>
                <xdr:cNvCxnSpPr/>
              </xdr:nvCxnSpPr>
              <xdr:spPr>
                <a:xfrm>
                  <a:off x="6493358" y="30629200"/>
                  <a:ext cx="2562348" cy="0"/>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14" name="Straight Connector 1613"/>
                <xdr:cNvCxnSpPr/>
              </xdr:nvCxnSpPr>
              <xdr:spPr>
                <a:xfrm>
                  <a:off x="6499187" y="30842250"/>
                  <a:ext cx="2562424" cy="0"/>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15" name="Straight Connector 1614"/>
                <xdr:cNvCxnSpPr/>
              </xdr:nvCxnSpPr>
              <xdr:spPr>
                <a:xfrm flipV="1">
                  <a:off x="6489657" y="30313715"/>
                  <a:ext cx="2568533" cy="0"/>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16" name="Straight Connector 1615"/>
                <xdr:cNvCxnSpPr/>
              </xdr:nvCxnSpPr>
              <xdr:spPr>
                <a:xfrm>
                  <a:off x="6192563" y="30324848"/>
                  <a:ext cx="278786" cy="1532"/>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17" name="Straight Connector 1616"/>
                <xdr:cNvCxnSpPr/>
              </xdr:nvCxnSpPr>
              <xdr:spPr>
                <a:xfrm rot="16200000" flipH="1">
                  <a:off x="5891056" y="30620735"/>
                  <a:ext cx="608956" cy="0"/>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18" name="Straight Connector 1617"/>
                <xdr:cNvCxnSpPr/>
              </xdr:nvCxnSpPr>
              <xdr:spPr>
                <a:xfrm rot="16200000" flipH="1">
                  <a:off x="6162780" y="30624372"/>
                  <a:ext cx="601685" cy="1"/>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19" name="Straight Connector 1618"/>
                <xdr:cNvCxnSpPr/>
              </xdr:nvCxnSpPr>
              <xdr:spPr>
                <a:xfrm>
                  <a:off x="6187930" y="30914379"/>
                  <a:ext cx="278786" cy="1532"/>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20" name="Straight Connector 1619"/>
                <xdr:cNvCxnSpPr/>
              </xdr:nvCxnSpPr>
              <xdr:spPr>
                <a:xfrm rot="16200000" flipH="1">
                  <a:off x="8943425" y="30732102"/>
                  <a:ext cx="224562" cy="0"/>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21" name="Straight Connector 1620"/>
                <xdr:cNvCxnSpPr/>
              </xdr:nvCxnSpPr>
              <xdr:spPr>
                <a:xfrm>
                  <a:off x="6256880" y="30708471"/>
                  <a:ext cx="2750666"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622" name="Straight Connector 1621"/>
                <xdr:cNvCxnSpPr/>
              </xdr:nvCxnSpPr>
              <xdr:spPr>
                <a:xfrm rot="5400000">
                  <a:off x="6329598" y="30452119"/>
                  <a:ext cx="341814" cy="1561"/>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23" name="Straight Connector 1622"/>
                <xdr:cNvCxnSpPr/>
              </xdr:nvCxnSpPr>
              <xdr:spPr>
                <a:xfrm rot="5400000">
                  <a:off x="6440689" y="30896109"/>
                  <a:ext cx="118811" cy="0"/>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24" name="Straight Connector 1623"/>
                <xdr:cNvCxnSpPr/>
              </xdr:nvCxnSpPr>
              <xdr:spPr>
                <a:xfrm>
                  <a:off x="6243241" y="30388542"/>
                  <a:ext cx="2758954"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625" name="Straight Connector 1624"/>
                <xdr:cNvCxnSpPr/>
              </xdr:nvCxnSpPr>
              <xdr:spPr>
                <a:xfrm rot="5400000">
                  <a:off x="6587786" y="30499713"/>
                  <a:ext cx="220809"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626" name="Straight Connector 1625"/>
                <xdr:cNvCxnSpPr/>
              </xdr:nvCxnSpPr>
              <xdr:spPr>
                <a:xfrm rot="5400000">
                  <a:off x="6805539" y="30505053"/>
                  <a:ext cx="220809"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627" name="Straight Connector 1626"/>
                <xdr:cNvCxnSpPr/>
              </xdr:nvCxnSpPr>
              <xdr:spPr>
                <a:xfrm rot="5400000">
                  <a:off x="7031461" y="30505054"/>
                  <a:ext cx="220809"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628" name="Straight Connector 1627"/>
                <xdr:cNvCxnSpPr/>
              </xdr:nvCxnSpPr>
              <xdr:spPr>
                <a:xfrm rot="5400000">
                  <a:off x="7274801" y="30499713"/>
                  <a:ext cx="220809"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629" name="Straight Connector 1628"/>
                <xdr:cNvCxnSpPr/>
              </xdr:nvCxnSpPr>
              <xdr:spPr>
                <a:xfrm rot="5400000">
                  <a:off x="7517054" y="30505054"/>
                  <a:ext cx="220809"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630" name="Straight Connector 1629"/>
                <xdr:cNvCxnSpPr/>
              </xdr:nvCxnSpPr>
              <xdr:spPr>
                <a:xfrm rot="5400000">
                  <a:off x="7767471" y="30505054"/>
                  <a:ext cx="220809"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631" name="Straight Connector 1630"/>
                <xdr:cNvCxnSpPr/>
              </xdr:nvCxnSpPr>
              <xdr:spPr>
                <a:xfrm rot="5400000">
                  <a:off x="8016254" y="30505054"/>
                  <a:ext cx="220809"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632" name="Straight Connector 1631"/>
                <xdr:cNvCxnSpPr/>
              </xdr:nvCxnSpPr>
              <xdr:spPr>
                <a:xfrm rot="5400000">
                  <a:off x="8247622" y="30505054"/>
                  <a:ext cx="220809"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633" name="Straight Connector 1632"/>
                <xdr:cNvCxnSpPr/>
              </xdr:nvCxnSpPr>
              <xdr:spPr>
                <a:xfrm rot="5400000">
                  <a:off x="8476263" y="30505054"/>
                  <a:ext cx="220809"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634" name="Straight Connector 1633"/>
                <xdr:cNvCxnSpPr/>
              </xdr:nvCxnSpPr>
              <xdr:spPr>
                <a:xfrm rot="5400000">
                  <a:off x="6460417" y="30670706"/>
                  <a:ext cx="84916" cy="1561"/>
                </a:xfrm>
                <a:prstGeom prst="line">
                  <a:avLst/>
                </a:prstGeom>
                <a:ln w="127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635" name="Straight Connector 1634"/>
                <xdr:cNvCxnSpPr/>
              </xdr:nvCxnSpPr>
              <xdr:spPr>
                <a:xfrm rot="5400000">
                  <a:off x="6654947" y="30670528"/>
                  <a:ext cx="84916" cy="1561"/>
                </a:xfrm>
                <a:prstGeom prst="line">
                  <a:avLst/>
                </a:prstGeom>
                <a:ln w="127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636" name="Straight Connector 1635"/>
                <xdr:cNvCxnSpPr/>
              </xdr:nvCxnSpPr>
              <xdr:spPr>
                <a:xfrm rot="5400000">
                  <a:off x="6872701" y="30670528"/>
                  <a:ext cx="84916" cy="1561"/>
                </a:xfrm>
                <a:prstGeom prst="line">
                  <a:avLst/>
                </a:prstGeom>
                <a:ln w="127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637" name="Straight Connector 1636"/>
                <xdr:cNvCxnSpPr/>
              </xdr:nvCxnSpPr>
              <xdr:spPr>
                <a:xfrm rot="5400000">
                  <a:off x="7098624" y="30670528"/>
                  <a:ext cx="84916" cy="1561"/>
                </a:xfrm>
                <a:prstGeom prst="line">
                  <a:avLst/>
                </a:prstGeom>
                <a:ln w="127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638" name="Straight Connector 1637"/>
                <xdr:cNvCxnSpPr/>
              </xdr:nvCxnSpPr>
              <xdr:spPr>
                <a:xfrm rot="5400000">
                  <a:off x="7341966" y="30670528"/>
                  <a:ext cx="84916" cy="1561"/>
                </a:xfrm>
                <a:prstGeom prst="line">
                  <a:avLst/>
                </a:prstGeom>
                <a:ln w="127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639" name="Straight Connector 1638"/>
                <xdr:cNvCxnSpPr/>
              </xdr:nvCxnSpPr>
              <xdr:spPr>
                <a:xfrm rot="5400000">
                  <a:off x="7584219" y="30670528"/>
                  <a:ext cx="84916" cy="1561"/>
                </a:xfrm>
                <a:prstGeom prst="line">
                  <a:avLst/>
                </a:prstGeom>
                <a:ln w="127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640" name="Straight Connector 1639"/>
                <xdr:cNvCxnSpPr/>
              </xdr:nvCxnSpPr>
              <xdr:spPr>
                <a:xfrm rot="5400000">
                  <a:off x="7833971" y="30670528"/>
                  <a:ext cx="84916" cy="1561"/>
                </a:xfrm>
                <a:prstGeom prst="line">
                  <a:avLst/>
                </a:prstGeom>
                <a:ln w="127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641" name="Straight Connector 1640"/>
                <xdr:cNvCxnSpPr/>
              </xdr:nvCxnSpPr>
              <xdr:spPr>
                <a:xfrm rot="5400000">
                  <a:off x="8088199" y="30670528"/>
                  <a:ext cx="84916" cy="1561"/>
                </a:xfrm>
                <a:prstGeom prst="line">
                  <a:avLst/>
                </a:prstGeom>
                <a:ln w="127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642" name="Straight Connector 1641"/>
                <xdr:cNvCxnSpPr/>
              </xdr:nvCxnSpPr>
              <xdr:spPr>
                <a:xfrm rot="5400000">
                  <a:off x="8314788" y="30670528"/>
                  <a:ext cx="84916" cy="1561"/>
                </a:xfrm>
                <a:prstGeom prst="line">
                  <a:avLst/>
                </a:prstGeom>
                <a:ln w="127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643" name="Straight Connector 1642"/>
                <xdr:cNvCxnSpPr/>
              </xdr:nvCxnSpPr>
              <xdr:spPr>
                <a:xfrm rot="5400000">
                  <a:off x="8543431" y="30666493"/>
                  <a:ext cx="84916" cy="1561"/>
                </a:xfrm>
                <a:prstGeom prst="line">
                  <a:avLst/>
                </a:prstGeom>
                <a:ln w="127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644" name="Straight Connector 1643"/>
                <xdr:cNvCxnSpPr/>
              </xdr:nvCxnSpPr>
              <xdr:spPr>
                <a:xfrm rot="5400000">
                  <a:off x="8784772" y="30670708"/>
                  <a:ext cx="84916" cy="1561"/>
                </a:xfrm>
                <a:prstGeom prst="line">
                  <a:avLst/>
                </a:prstGeom>
                <a:ln w="127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sp macro="" textlink="">
              <xdr:nvSpPr>
                <xdr:cNvPr id="1645" name="Flowchart: Connector 1644"/>
                <xdr:cNvSpPr/>
              </xdr:nvSpPr>
              <xdr:spPr>
                <a:xfrm>
                  <a:off x="6218240" y="30345700"/>
                  <a:ext cx="10617" cy="10419"/>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646" name="Flowchart: Connector 1645"/>
                <xdr:cNvSpPr/>
              </xdr:nvSpPr>
              <xdr:spPr>
                <a:xfrm>
                  <a:off x="6425998" y="30345701"/>
                  <a:ext cx="10617" cy="10419"/>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647" name="Flowchart: Connector 1646"/>
                <xdr:cNvSpPr/>
              </xdr:nvSpPr>
              <xdr:spPr>
                <a:xfrm>
                  <a:off x="6214957" y="30875536"/>
                  <a:ext cx="10617" cy="10419"/>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648" name="Flowchart: Connector 1647"/>
                <xdr:cNvSpPr/>
              </xdr:nvSpPr>
              <xdr:spPr>
                <a:xfrm>
                  <a:off x="6426665" y="30878477"/>
                  <a:ext cx="10617" cy="10419"/>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649" name="Flowchart: Connector 1648"/>
                <xdr:cNvSpPr/>
              </xdr:nvSpPr>
              <xdr:spPr>
                <a:xfrm>
                  <a:off x="6217734" y="30787704"/>
                  <a:ext cx="10617" cy="10419"/>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sp macro="" textlink="">
              <xdr:nvSpPr>
                <xdr:cNvPr id="1650" name="Flowchart: Connector 1649"/>
                <xdr:cNvSpPr/>
              </xdr:nvSpPr>
              <xdr:spPr>
                <a:xfrm>
                  <a:off x="6425930" y="30792988"/>
                  <a:ext cx="10617" cy="10419"/>
                </a:xfrm>
                <a:prstGeom prst="flowChartConnector">
                  <a:avLst/>
                </a:prstGeom>
                <a:solidFill>
                  <a:srgbClr val="FF0000"/>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cxnSp macro="">
              <xdr:nvCxnSpPr>
                <xdr:cNvPr id="1651" name="Straight Connector 1650"/>
                <xdr:cNvCxnSpPr/>
              </xdr:nvCxnSpPr>
              <xdr:spPr>
                <a:xfrm rot="16200000" flipH="1">
                  <a:off x="6160737" y="30798826"/>
                  <a:ext cx="188562"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1652" name="Freeform 1651"/>
                <xdr:cNvSpPr/>
              </xdr:nvSpPr>
              <xdr:spPr>
                <a:xfrm>
                  <a:off x="6249579" y="30825682"/>
                  <a:ext cx="48160" cy="78126"/>
                </a:xfrm>
                <a:custGeom>
                  <a:avLst/>
                  <a:gdLst>
                    <a:gd name="connsiteX0" fmla="*/ 0 w 74915"/>
                    <a:gd name="connsiteY0" fmla="*/ 64214 h 80267"/>
                    <a:gd name="connsiteX1" fmla="*/ 64213 w 74915"/>
                    <a:gd name="connsiteY1" fmla="*/ 69565 h 80267"/>
                    <a:gd name="connsiteX2" fmla="*/ 64213 w 74915"/>
                    <a:gd name="connsiteY2" fmla="*/ 0 h 80267"/>
                  </a:gdLst>
                  <a:ahLst/>
                  <a:cxnLst>
                    <a:cxn ang="0">
                      <a:pos x="connsiteX0" y="connsiteY0"/>
                    </a:cxn>
                    <a:cxn ang="0">
                      <a:pos x="connsiteX1" y="connsiteY1"/>
                    </a:cxn>
                    <a:cxn ang="0">
                      <a:pos x="connsiteX2" y="connsiteY2"/>
                    </a:cxn>
                  </a:cxnLst>
                  <a:rect l="l" t="t" r="r" b="b"/>
                  <a:pathLst>
                    <a:path w="74915" h="80267">
                      <a:moveTo>
                        <a:pt x="0" y="64214"/>
                      </a:moveTo>
                      <a:cubicBezTo>
                        <a:pt x="26755" y="72240"/>
                        <a:pt x="53511" y="80267"/>
                        <a:pt x="64213" y="69565"/>
                      </a:cubicBezTo>
                      <a:cubicBezTo>
                        <a:pt x="74915" y="58863"/>
                        <a:pt x="67780" y="20513"/>
                        <a:pt x="64213" y="0"/>
                      </a:cubicBezTo>
                    </a:path>
                  </a:pathLst>
                </a:cu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sp macro="" textlink="">
              <xdr:nvSpPr>
                <xdr:cNvPr id="1653" name="Freeform 1652"/>
                <xdr:cNvSpPr/>
              </xdr:nvSpPr>
              <xdr:spPr>
                <a:xfrm>
                  <a:off x="8932630" y="30702607"/>
                  <a:ext cx="87401" cy="45719"/>
                </a:xfrm>
                <a:custGeom>
                  <a:avLst/>
                  <a:gdLst>
                    <a:gd name="connsiteX0" fmla="*/ 107023 w 124860"/>
                    <a:gd name="connsiteY0" fmla="*/ 0 h 69564"/>
                    <a:gd name="connsiteX1" fmla="*/ 107023 w 124860"/>
                    <a:gd name="connsiteY1" fmla="*/ 58862 h 69564"/>
                    <a:gd name="connsiteX2" fmla="*/ 0 w 124860"/>
                    <a:gd name="connsiteY2" fmla="*/ 64213 h 69564"/>
                  </a:gdLst>
                  <a:ahLst/>
                  <a:cxnLst>
                    <a:cxn ang="0">
                      <a:pos x="connsiteX0" y="connsiteY0"/>
                    </a:cxn>
                    <a:cxn ang="0">
                      <a:pos x="connsiteX1" y="connsiteY1"/>
                    </a:cxn>
                    <a:cxn ang="0">
                      <a:pos x="connsiteX2" y="connsiteY2"/>
                    </a:cxn>
                  </a:cxnLst>
                  <a:rect l="l" t="t" r="r" b="b"/>
                  <a:pathLst>
                    <a:path w="124860" h="69564">
                      <a:moveTo>
                        <a:pt x="107023" y="0"/>
                      </a:moveTo>
                      <a:cubicBezTo>
                        <a:pt x="115941" y="24080"/>
                        <a:pt x="124860" y="48160"/>
                        <a:pt x="107023" y="58862"/>
                      </a:cubicBezTo>
                      <a:cubicBezTo>
                        <a:pt x="89186" y="69564"/>
                        <a:pt x="16053" y="64213"/>
                        <a:pt x="0" y="64213"/>
                      </a:cubicBezTo>
                    </a:path>
                  </a:pathLst>
                </a:cu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cxnSp macro="">
              <xdr:nvCxnSpPr>
                <xdr:cNvPr id="1654" name="Straight Connector 1653"/>
                <xdr:cNvCxnSpPr/>
              </xdr:nvCxnSpPr>
              <xdr:spPr>
                <a:xfrm rot="5400000">
                  <a:off x="6131946" y="30508804"/>
                  <a:ext cx="224561" cy="1588"/>
                </a:xfrm>
                <a:prstGeom prst="line">
                  <a:avLst/>
                </a:prstGeom>
                <a:ln w="317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655" name="Straight Connector 1654"/>
                <xdr:cNvCxnSpPr/>
              </xdr:nvCxnSpPr>
              <xdr:spPr>
                <a:xfrm rot="5400000">
                  <a:off x="8905327" y="30470367"/>
                  <a:ext cx="308224" cy="1588"/>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656" name="Freeform 1655"/>
                <xdr:cNvSpPr/>
              </xdr:nvSpPr>
              <xdr:spPr>
                <a:xfrm>
                  <a:off x="6249579" y="30549564"/>
                  <a:ext cx="45719" cy="74916"/>
                </a:xfrm>
                <a:custGeom>
                  <a:avLst/>
                  <a:gdLst>
                    <a:gd name="connsiteX0" fmla="*/ 0 w 82942"/>
                    <a:gd name="connsiteY0" fmla="*/ 74916 h 87402"/>
                    <a:gd name="connsiteX1" fmla="*/ 64213 w 82942"/>
                    <a:gd name="connsiteY1" fmla="*/ 74916 h 87402"/>
                    <a:gd name="connsiteX2" fmla="*/ 69564 w 82942"/>
                    <a:gd name="connsiteY2" fmla="*/ 0 h 87402"/>
                  </a:gdLst>
                  <a:ahLst/>
                  <a:cxnLst>
                    <a:cxn ang="0">
                      <a:pos x="connsiteX0" y="connsiteY0"/>
                    </a:cxn>
                    <a:cxn ang="0">
                      <a:pos x="connsiteX1" y="connsiteY1"/>
                    </a:cxn>
                    <a:cxn ang="0">
                      <a:pos x="connsiteX2" y="connsiteY2"/>
                    </a:cxn>
                  </a:cxnLst>
                  <a:rect l="l" t="t" r="r" b="b"/>
                  <a:pathLst>
                    <a:path w="82942" h="87402">
                      <a:moveTo>
                        <a:pt x="0" y="74916"/>
                      </a:moveTo>
                      <a:cubicBezTo>
                        <a:pt x="26309" y="81159"/>
                        <a:pt x="52619" y="87402"/>
                        <a:pt x="64213" y="74916"/>
                      </a:cubicBezTo>
                      <a:cubicBezTo>
                        <a:pt x="75807" y="62430"/>
                        <a:pt x="82942" y="28539"/>
                        <a:pt x="69564" y="0"/>
                      </a:cubicBezTo>
                    </a:path>
                  </a:pathLst>
                </a:custGeom>
                <a:ln w="3175">
                  <a:solidFill>
                    <a:srgbClr val="FF0000"/>
                  </a:solidFill>
                  <a:prstDash val="dash"/>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sp macro="" textlink="">
              <xdr:nvSpPr>
                <xdr:cNvPr id="1657" name="Freeform 1656"/>
                <xdr:cNvSpPr/>
              </xdr:nvSpPr>
              <xdr:spPr>
                <a:xfrm>
                  <a:off x="8916576" y="30391172"/>
                  <a:ext cx="93645" cy="48160"/>
                </a:xfrm>
                <a:custGeom>
                  <a:avLst/>
                  <a:gdLst>
                    <a:gd name="connsiteX0" fmla="*/ 112374 w 120401"/>
                    <a:gd name="connsiteY0" fmla="*/ 0 h 75807"/>
                    <a:gd name="connsiteX1" fmla="*/ 101672 w 120401"/>
                    <a:gd name="connsiteY1" fmla="*/ 64213 h 75807"/>
                    <a:gd name="connsiteX2" fmla="*/ 0 w 120401"/>
                    <a:gd name="connsiteY2" fmla="*/ 69564 h 75807"/>
                  </a:gdLst>
                  <a:ahLst/>
                  <a:cxnLst>
                    <a:cxn ang="0">
                      <a:pos x="connsiteX0" y="connsiteY0"/>
                    </a:cxn>
                    <a:cxn ang="0">
                      <a:pos x="connsiteX1" y="connsiteY1"/>
                    </a:cxn>
                    <a:cxn ang="0">
                      <a:pos x="connsiteX2" y="connsiteY2"/>
                    </a:cxn>
                  </a:cxnLst>
                  <a:rect l="l" t="t" r="r" b="b"/>
                  <a:pathLst>
                    <a:path w="120401" h="75807">
                      <a:moveTo>
                        <a:pt x="112374" y="0"/>
                      </a:moveTo>
                      <a:cubicBezTo>
                        <a:pt x="116387" y="26309"/>
                        <a:pt x="120401" y="52619"/>
                        <a:pt x="101672" y="64213"/>
                      </a:cubicBezTo>
                      <a:cubicBezTo>
                        <a:pt x="82943" y="75807"/>
                        <a:pt x="13378" y="68672"/>
                        <a:pt x="0" y="69564"/>
                      </a:cubicBezTo>
                    </a:path>
                  </a:pathLst>
                </a:custGeom>
                <a:ln w="3175">
                  <a:solidFill>
                    <a:srgbClr val="FF0000"/>
                  </a:solidFill>
                  <a:prstDash val="dash"/>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th-TH" sz="1100"/>
                </a:p>
              </xdr:txBody>
            </xdr:sp>
            <xdr:cxnSp macro="">
              <xdr:nvCxnSpPr>
                <xdr:cNvPr id="1658" name="Straight Connector 1657"/>
                <xdr:cNvCxnSpPr/>
              </xdr:nvCxnSpPr>
              <xdr:spPr>
                <a:xfrm rot="5400000" flipH="1" flipV="1">
                  <a:off x="5837324" y="29956986"/>
                  <a:ext cx="639817" cy="0"/>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59" name="Straight Connector 1658"/>
                <xdr:cNvCxnSpPr/>
              </xdr:nvCxnSpPr>
              <xdr:spPr>
                <a:xfrm rot="5400000" flipH="1" flipV="1">
                  <a:off x="6178815" y="29956982"/>
                  <a:ext cx="639817" cy="1588"/>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60" name="Straight Connector 1659"/>
                <xdr:cNvCxnSpPr/>
              </xdr:nvCxnSpPr>
              <xdr:spPr>
                <a:xfrm rot="16200000" flipV="1">
                  <a:off x="8712372" y="29971464"/>
                  <a:ext cx="685089" cy="0"/>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61" name="Straight Connector 1660"/>
                <xdr:cNvCxnSpPr/>
              </xdr:nvCxnSpPr>
              <xdr:spPr>
                <a:xfrm>
                  <a:off x="6489840" y="29992792"/>
                  <a:ext cx="2548992" cy="1588"/>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62" name="Straight Connector 1661"/>
                <xdr:cNvCxnSpPr/>
              </xdr:nvCxnSpPr>
              <xdr:spPr>
                <a:xfrm>
                  <a:off x="6508610" y="29718000"/>
                  <a:ext cx="2553206" cy="1588"/>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824" name="Straight Connector 1823"/>
              <xdr:cNvCxnSpPr/>
            </xdr:nvCxnSpPr>
            <xdr:spPr>
              <a:xfrm rot="16200000" flipV="1">
                <a:off x="6997520" y="38454330"/>
                <a:ext cx="248084" cy="1025"/>
              </a:xfrm>
              <a:prstGeom prst="line">
                <a:avLst/>
              </a:prstGeom>
              <a:ln w="3175">
                <a:solidFill>
                  <a:schemeClr val="tx1">
                    <a:lumMod val="85000"/>
                    <a:lumOff val="1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825" name="Straight Connector 1824"/>
              <xdr:cNvCxnSpPr/>
            </xdr:nvCxnSpPr>
            <xdr:spPr>
              <a:xfrm>
                <a:off x="7110622" y="38519620"/>
                <a:ext cx="2802646" cy="1647"/>
              </a:xfrm>
              <a:prstGeom prst="line">
                <a:avLst/>
              </a:prstGeom>
              <a:ln w="3175">
                <a:solidFill>
                  <a:schemeClr val="tx1">
                    <a:lumMod val="85000"/>
                    <a:lumOff val="15000"/>
                  </a:schemeClr>
                </a:solidFill>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1826" name="Straight Connector 1825"/>
              <xdr:cNvCxnSpPr/>
            </xdr:nvCxnSpPr>
            <xdr:spPr>
              <a:xfrm rot="16200000" flipH="1">
                <a:off x="9751276" y="38422907"/>
                <a:ext cx="316168" cy="0"/>
              </a:xfrm>
              <a:prstGeom prst="line">
                <a:avLst/>
              </a:prstGeom>
              <a:ln w="3175">
                <a:solidFill>
                  <a:schemeClr val="tx1">
                    <a:lumMod val="85000"/>
                    <a:lumOff val="15000"/>
                  </a:schemeClr>
                </a:solidFill>
              </a:ln>
            </xdr:spPr>
            <xdr:style>
              <a:lnRef idx="1">
                <a:schemeClr val="accent1"/>
              </a:lnRef>
              <a:fillRef idx="0">
                <a:schemeClr val="accent1"/>
              </a:fillRef>
              <a:effectRef idx="0">
                <a:schemeClr val="accent1"/>
              </a:effectRef>
              <a:fontRef idx="minor">
                <a:schemeClr val="tx1"/>
              </a:fontRef>
            </xdr:style>
          </xdr:cxnSp>
          <xdr:sp macro="" textlink="'desigh Stairs'!$Q$15">
            <xdr:nvSpPr>
              <xdr:cNvPr id="1827" name="Rectangle 1826"/>
              <xdr:cNvSpPr/>
            </xdr:nvSpPr>
            <xdr:spPr>
              <a:xfrm>
                <a:off x="8102439" y="38494887"/>
                <a:ext cx="1003501" cy="2489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B4E74C7C-43C4-49BB-91C8-29E747A0CF1E}" type="TxLink">
                  <a:rPr lang="th-TH" sz="1050" b="0">
                    <a:solidFill>
                      <a:srgbClr val="0070C0"/>
                    </a:solidFill>
                  </a:rPr>
                  <a:pPr algn="ctr"/>
                  <a:t>1.50 m.</a:t>
                </a:fld>
                <a:endParaRPr lang="th-TH" sz="1050" b="0">
                  <a:solidFill>
                    <a:srgbClr val="0070C0"/>
                  </a:solidFill>
                </a:endParaRPr>
              </a:p>
            </xdr:txBody>
          </xdr:sp>
        </xdr:grpSp>
      </xdr:grpSp>
      <xdr:cxnSp macro="">
        <xdr:nvCxnSpPr>
          <xdr:cNvPr id="1264" name="Straight Connector 1263"/>
          <xdr:cNvCxnSpPr/>
        </xdr:nvCxnSpPr>
        <xdr:spPr>
          <a:xfrm rot="5400000">
            <a:off x="8867783" y="33621731"/>
            <a:ext cx="180000"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66675</xdr:colOff>
      <xdr:row>3</xdr:row>
      <xdr:rowOff>19050</xdr:rowOff>
    </xdr:from>
    <xdr:to>
      <xdr:col>9</xdr:col>
      <xdr:colOff>333375</xdr:colOff>
      <xdr:row>15</xdr:row>
      <xdr:rowOff>133350</xdr:rowOff>
    </xdr:to>
    <xdr:grpSp>
      <xdr:nvGrpSpPr>
        <xdr:cNvPr id="151" name="Group 150"/>
        <xdr:cNvGrpSpPr/>
      </xdr:nvGrpSpPr>
      <xdr:grpSpPr>
        <a:xfrm>
          <a:off x="2809875" y="561975"/>
          <a:ext cx="3695700" cy="2286000"/>
          <a:chOff x="5088413" y="285750"/>
          <a:chExt cx="3086100" cy="2286000"/>
        </a:xfrm>
      </xdr:grpSpPr>
      <xdr:sp macro="" textlink="">
        <xdr:nvSpPr>
          <xdr:cNvPr id="21" name="Round Single Corner Rectangle 20"/>
          <xdr:cNvSpPr/>
        </xdr:nvSpPr>
        <xdr:spPr>
          <a:xfrm>
            <a:off x="5088413" y="285750"/>
            <a:ext cx="3086100" cy="2286000"/>
          </a:xfrm>
          <a:prstGeom prst="round1Rect">
            <a:avLst/>
          </a:prstGeom>
        </xdr:spPr>
        <xdr:style>
          <a:lnRef idx="2">
            <a:schemeClr val="accent6"/>
          </a:lnRef>
          <a:fillRef idx="1">
            <a:schemeClr val="lt1"/>
          </a:fillRef>
          <a:effectRef idx="0">
            <a:schemeClr val="accent6"/>
          </a:effectRef>
          <a:fontRef idx="minor">
            <a:schemeClr val="dk1"/>
          </a:fontRef>
        </xdr:style>
        <xdr:txBody>
          <a:bodyPr vertOverflow="clip" rtlCol="0" anchor="ctr">
            <a:scene3d>
              <a:camera prst="isometricLeftDown"/>
              <a:lightRig rig="threePt" dir="t"/>
            </a:scene3d>
          </a:bodyPr>
          <a:lstStyle/>
          <a:p>
            <a:pPr algn="ctr"/>
            <a:endParaRPr lang="th-TH" sz="1100" b="1" cap="none" spc="0">
              <a:ln w="12700">
                <a:solidFill>
                  <a:schemeClr val="accent1">
                    <a:lumMod val="20000"/>
                    <a:lumOff val="80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xnSp macro="">
        <xdr:nvCxnSpPr>
          <xdr:cNvPr id="32" name="Elbow Connector 31"/>
          <xdr:cNvCxnSpPr/>
        </xdr:nvCxnSpPr>
        <xdr:spPr>
          <a:xfrm>
            <a:off x="5810250" y="904875"/>
            <a:ext cx="542925"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xnSp macro="">
        <xdr:nvCxnSpPr>
          <xdr:cNvPr id="34" name="Elbow Connector 33"/>
          <xdr:cNvCxnSpPr/>
        </xdr:nvCxnSpPr>
        <xdr:spPr>
          <a:xfrm rot="16200000" flipH="1">
            <a:off x="6253165" y="1185863"/>
            <a:ext cx="390521" cy="209550"/>
          </a:xfrm>
          <a:prstGeom prst="bentConnector3">
            <a:avLst>
              <a:gd name="adj1" fmla="val 42682"/>
            </a:avLst>
          </a:prstGeom>
        </xdr:spPr>
        <xdr:style>
          <a:lnRef idx="1">
            <a:schemeClr val="accent1"/>
          </a:lnRef>
          <a:fillRef idx="0">
            <a:schemeClr val="accent1"/>
          </a:fillRef>
          <a:effectRef idx="0">
            <a:schemeClr val="accent1"/>
          </a:effectRef>
          <a:fontRef idx="minor">
            <a:schemeClr val="tx1"/>
          </a:fontRef>
        </xdr:style>
      </xdr:cxnSp>
      <xdr:cxnSp macro="">
        <xdr:nvCxnSpPr>
          <xdr:cNvPr id="39" name="Elbow Connector 38"/>
          <xdr:cNvCxnSpPr/>
        </xdr:nvCxnSpPr>
        <xdr:spPr>
          <a:xfrm>
            <a:off x="6543675" y="1495425"/>
            <a:ext cx="485775" cy="238125"/>
          </a:xfrm>
          <a:prstGeom prst="bentConnector3">
            <a:avLst>
              <a:gd name="adj1" fmla="val 67647"/>
            </a:avLst>
          </a:prstGeom>
        </xdr:spPr>
        <xdr:style>
          <a:lnRef idx="1">
            <a:schemeClr val="accent1"/>
          </a:lnRef>
          <a:fillRef idx="0">
            <a:schemeClr val="accent1"/>
          </a:fillRef>
          <a:effectRef idx="0">
            <a:schemeClr val="accent1"/>
          </a:effectRef>
          <a:fontRef idx="minor">
            <a:schemeClr val="tx1"/>
          </a:fontRef>
        </xdr:style>
      </xdr:cxnSp>
      <xdr:cxnSp macro="">
        <xdr:nvCxnSpPr>
          <xdr:cNvPr id="41" name="Elbow Connector 40"/>
          <xdr:cNvCxnSpPr/>
        </xdr:nvCxnSpPr>
        <xdr:spPr>
          <a:xfrm>
            <a:off x="6893940" y="1724025"/>
            <a:ext cx="383159" cy="219075"/>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xnSp macro="">
        <xdr:nvCxnSpPr>
          <xdr:cNvPr id="55" name="Straight Connector 54"/>
          <xdr:cNvCxnSpPr/>
        </xdr:nvCxnSpPr>
        <xdr:spPr>
          <a:xfrm>
            <a:off x="5772150" y="1000125"/>
            <a:ext cx="1416084" cy="109537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7" name="Straight Connector 56"/>
          <xdr:cNvCxnSpPr/>
        </xdr:nvCxnSpPr>
        <xdr:spPr>
          <a:xfrm flipV="1">
            <a:off x="7286625" y="1733550"/>
            <a:ext cx="257175" cy="21907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9" name="Straight Connector 58"/>
          <xdr:cNvCxnSpPr/>
        </xdr:nvCxnSpPr>
        <xdr:spPr>
          <a:xfrm flipV="1">
            <a:off x="7067551" y="1562100"/>
            <a:ext cx="232037" cy="171451"/>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1" name="Straight Connector 60"/>
          <xdr:cNvCxnSpPr/>
        </xdr:nvCxnSpPr>
        <xdr:spPr>
          <a:xfrm flipV="1">
            <a:off x="6858000" y="1323975"/>
            <a:ext cx="247650" cy="17145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3" name="Straight Connector 62"/>
          <xdr:cNvCxnSpPr/>
        </xdr:nvCxnSpPr>
        <xdr:spPr>
          <a:xfrm flipV="1">
            <a:off x="6534150" y="1114425"/>
            <a:ext cx="276225" cy="16192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5" name="Straight Connector 64"/>
          <xdr:cNvCxnSpPr/>
        </xdr:nvCxnSpPr>
        <xdr:spPr>
          <a:xfrm flipV="1">
            <a:off x="6324600" y="971550"/>
            <a:ext cx="257175" cy="142877"/>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7" name="Straight Connector 66"/>
          <xdr:cNvCxnSpPr/>
        </xdr:nvCxnSpPr>
        <xdr:spPr>
          <a:xfrm flipV="1">
            <a:off x="6074691" y="771525"/>
            <a:ext cx="230662" cy="13335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9" name="Straight Connector 68"/>
          <xdr:cNvCxnSpPr/>
        </xdr:nvCxnSpPr>
        <xdr:spPr>
          <a:xfrm rot="10800000">
            <a:off x="5429252" y="1000124"/>
            <a:ext cx="361948" cy="9526"/>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4" name="Straight Connector 73"/>
          <xdr:cNvCxnSpPr/>
        </xdr:nvCxnSpPr>
        <xdr:spPr>
          <a:xfrm rot="16200000" flipH="1">
            <a:off x="7012706" y="1426443"/>
            <a:ext cx="171452" cy="4617"/>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6" name="Straight Connector 75"/>
          <xdr:cNvCxnSpPr/>
        </xdr:nvCxnSpPr>
        <xdr:spPr>
          <a:xfrm>
            <a:off x="7100839" y="1524000"/>
            <a:ext cx="198748" cy="1905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8" name="Straight Connector 77"/>
          <xdr:cNvCxnSpPr/>
        </xdr:nvCxnSpPr>
        <xdr:spPr>
          <a:xfrm rot="5400000">
            <a:off x="7235810" y="1624013"/>
            <a:ext cx="161925" cy="1588"/>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80" name="Straight Connector 79"/>
          <xdr:cNvCxnSpPr/>
        </xdr:nvCxnSpPr>
        <xdr:spPr>
          <a:xfrm rot="5400000">
            <a:off x="6710363" y="1233487"/>
            <a:ext cx="200025" cy="1588"/>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82" name="Straight Connector 81"/>
          <xdr:cNvCxnSpPr/>
        </xdr:nvCxnSpPr>
        <xdr:spPr>
          <a:xfrm rot="5400000">
            <a:off x="6501606" y="1033463"/>
            <a:ext cx="170659" cy="1032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84" name="Straight Connector 83"/>
          <xdr:cNvCxnSpPr/>
        </xdr:nvCxnSpPr>
        <xdr:spPr>
          <a:xfrm rot="16200000" flipH="1">
            <a:off x="6215014" y="866776"/>
            <a:ext cx="200022" cy="952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92" name="Straight Connector 91"/>
          <xdr:cNvCxnSpPr/>
        </xdr:nvCxnSpPr>
        <xdr:spPr>
          <a:xfrm rot="10800000">
            <a:off x="7315201" y="1695451"/>
            <a:ext cx="219075" cy="4762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94" name="Straight Connector 93"/>
          <xdr:cNvCxnSpPr/>
        </xdr:nvCxnSpPr>
        <xdr:spPr>
          <a:xfrm rot="10800000" flipV="1">
            <a:off x="6798494" y="1335087"/>
            <a:ext cx="288109" cy="7937"/>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97" name="Straight Connector 96"/>
          <xdr:cNvCxnSpPr/>
        </xdr:nvCxnSpPr>
        <xdr:spPr>
          <a:xfrm rot="10800000">
            <a:off x="6556344" y="1114427"/>
            <a:ext cx="258058" cy="19048"/>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5" name="Straight Connector 104"/>
          <xdr:cNvCxnSpPr/>
        </xdr:nvCxnSpPr>
        <xdr:spPr>
          <a:xfrm rot="10800000">
            <a:off x="6321263" y="971550"/>
            <a:ext cx="260514" cy="2"/>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9" name="Straight Connector 108"/>
          <xdr:cNvCxnSpPr/>
        </xdr:nvCxnSpPr>
        <xdr:spPr>
          <a:xfrm rot="5400000">
            <a:off x="7154068" y="2095501"/>
            <a:ext cx="284960" cy="79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3" name="Straight Connector 112"/>
          <xdr:cNvCxnSpPr/>
        </xdr:nvCxnSpPr>
        <xdr:spPr>
          <a:xfrm rot="5400000">
            <a:off x="7391402" y="1885950"/>
            <a:ext cx="285748" cy="2"/>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9" name="Straight Connector 118"/>
          <xdr:cNvCxnSpPr/>
        </xdr:nvCxnSpPr>
        <xdr:spPr>
          <a:xfrm rot="16200000" flipV="1">
            <a:off x="7142231" y="2149461"/>
            <a:ext cx="123821" cy="15908"/>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25" name="Straight Connector 124"/>
          <xdr:cNvCxnSpPr/>
        </xdr:nvCxnSpPr>
        <xdr:spPr>
          <a:xfrm flipV="1">
            <a:off x="7305675" y="2009775"/>
            <a:ext cx="247650" cy="2286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28" name="Straight Connector 127"/>
          <xdr:cNvCxnSpPr/>
        </xdr:nvCxnSpPr>
        <xdr:spPr>
          <a:xfrm rot="10800000">
            <a:off x="7191375" y="2219325"/>
            <a:ext cx="114300" cy="1588"/>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0" name="Straight Connector 139"/>
          <xdr:cNvCxnSpPr/>
        </xdr:nvCxnSpPr>
        <xdr:spPr>
          <a:xfrm rot="10800000">
            <a:off x="5419725" y="895350"/>
            <a:ext cx="647700" cy="1905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2" name="Straight Connector 141"/>
          <xdr:cNvCxnSpPr/>
        </xdr:nvCxnSpPr>
        <xdr:spPr>
          <a:xfrm rot="10800000">
            <a:off x="5686426" y="752475"/>
            <a:ext cx="634837" cy="1905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4" name="Straight Connector 143"/>
          <xdr:cNvCxnSpPr/>
        </xdr:nvCxnSpPr>
        <xdr:spPr>
          <a:xfrm flipV="1">
            <a:off x="5429250" y="742950"/>
            <a:ext cx="266700" cy="16192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7" name="Straight Connector 146"/>
          <xdr:cNvCxnSpPr/>
        </xdr:nvCxnSpPr>
        <xdr:spPr>
          <a:xfrm rot="16200000" flipV="1">
            <a:off x="5395915" y="957264"/>
            <a:ext cx="95248" cy="9523"/>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pageSetUpPr fitToPage="1"/>
  </sheetPr>
  <dimension ref="A1:XFD155"/>
  <sheetViews>
    <sheetView zoomScaleNormal="100" zoomScaleSheetLayoutView="64" workbookViewId="0">
      <pane xSplit="2" ySplit="2" topLeftCell="C87" activePane="bottomRight" state="frozen"/>
      <selection pane="topRight" activeCell="C1" sqref="C1"/>
      <selection pane="bottomLeft" activeCell="A3" sqref="A3"/>
      <selection pane="bottomRight" activeCell="L32" sqref="L32"/>
    </sheetView>
  </sheetViews>
  <sheetFormatPr defaultRowHeight="15"/>
  <cols>
    <col min="1" max="1" width="7.625" style="14" customWidth="1"/>
    <col min="2" max="2" width="3.625" style="14" customWidth="1"/>
    <col min="3" max="3" width="19.625" style="14" customWidth="1"/>
    <col min="4" max="5" width="6.625" style="14" customWidth="1"/>
    <col min="6" max="6" width="9.625" style="14" customWidth="1"/>
    <col min="7" max="7" width="6.625" style="14" customWidth="1"/>
    <col min="8" max="8" width="8.625" style="14" customWidth="1"/>
    <col min="9" max="9" width="7.625" style="14" customWidth="1"/>
    <col min="10" max="11" width="5.625" style="14" customWidth="1"/>
    <col min="12" max="12" width="5.625" style="245" customWidth="1"/>
    <col min="13" max="15" width="6.625" style="14" customWidth="1"/>
    <col min="16" max="16" width="8.625" style="14" customWidth="1"/>
    <col min="17" max="18" width="6.625" style="243" customWidth="1"/>
    <col min="19" max="19" width="6.625" style="102" customWidth="1"/>
    <col min="20" max="20" width="0" style="14" hidden="1" customWidth="1"/>
    <col min="21" max="21" width="5.625" style="77" customWidth="1"/>
    <col min="22" max="22" width="8.625" style="54" customWidth="1"/>
    <col min="23" max="28" width="8.125" style="54" customWidth="1"/>
    <col min="29" max="32" width="5.625" style="54" customWidth="1"/>
    <col min="33" max="33" width="6.625" style="54" customWidth="1"/>
    <col min="34" max="34" width="7.625" style="54" customWidth="1"/>
    <col min="35" max="46" width="5.625" style="54" customWidth="1"/>
    <col min="47" max="49" width="10.625" style="54" customWidth="1"/>
    <col min="50" max="52" width="5.625" style="54" customWidth="1"/>
    <col min="53" max="55" width="5.625" style="14" customWidth="1"/>
    <col min="56" max="56" width="6.625" style="14" customWidth="1"/>
    <col min="57" max="57" width="9" style="14"/>
    <col min="58" max="58" width="5.625" style="14" customWidth="1"/>
    <col min="59" max="61" width="8.625" style="14" customWidth="1"/>
    <col min="62" max="66" width="5.625" style="14" customWidth="1"/>
    <col min="67" max="67" width="7.625" style="14" customWidth="1"/>
    <col min="68" max="16384" width="9" style="14"/>
  </cols>
  <sheetData>
    <row r="1" spans="1:16384" s="72" customFormat="1" ht="24.95" customHeight="1">
      <c r="A1" s="305">
        <v>5</v>
      </c>
      <c r="B1" s="71"/>
      <c r="C1" s="321" t="s">
        <v>222</v>
      </c>
      <c r="D1" s="322"/>
      <c r="E1" s="323"/>
      <c r="F1" s="324" t="s">
        <v>220</v>
      </c>
      <c r="G1" s="325"/>
      <c r="H1" s="325"/>
      <c r="I1" s="325"/>
      <c r="J1" s="325"/>
      <c r="K1" s="325"/>
      <c r="L1" s="325"/>
      <c r="M1" s="325"/>
      <c r="N1" s="325"/>
      <c r="O1" s="325"/>
      <c r="P1" s="325"/>
      <c r="Q1" s="325"/>
      <c r="R1" s="325"/>
      <c r="S1" s="326"/>
      <c r="U1" s="51"/>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row>
    <row r="2" spans="1:16384" ht="21.95" customHeight="1" thickBot="1">
      <c r="A2" s="511" t="s">
        <v>112</v>
      </c>
      <c r="B2" s="511"/>
      <c r="C2" s="318" t="s">
        <v>223</v>
      </c>
      <c r="D2" s="319"/>
      <c r="E2" s="320"/>
      <c r="F2" s="327" t="s">
        <v>221</v>
      </c>
      <c r="G2" s="327"/>
      <c r="H2" s="327"/>
      <c r="I2" s="327"/>
      <c r="J2" s="327"/>
      <c r="K2" s="304"/>
      <c r="L2" s="306" t="s">
        <v>219</v>
      </c>
      <c r="M2" s="301"/>
      <c r="N2" s="301"/>
      <c r="O2" s="307" t="s">
        <v>218</v>
      </c>
      <c r="P2" s="301"/>
      <c r="Q2" s="302"/>
      <c r="R2" s="302"/>
      <c r="S2" s="303"/>
      <c r="U2" s="51"/>
    </row>
    <row r="3" spans="1:16384" ht="15" customHeight="1">
      <c r="A3" s="73"/>
      <c r="B3" s="73"/>
      <c r="C3" s="13"/>
      <c r="D3" s="13"/>
      <c r="E3" s="13"/>
      <c r="F3" s="13"/>
      <c r="G3" s="13"/>
      <c r="H3" s="13"/>
      <c r="I3" s="13"/>
      <c r="J3" s="13"/>
      <c r="K3" s="13"/>
      <c r="L3" s="13"/>
      <c r="M3" s="13"/>
      <c r="N3" s="13"/>
      <c r="O3" s="13"/>
      <c r="P3" s="13"/>
      <c r="Q3" s="62"/>
      <c r="R3" s="62"/>
      <c r="S3" s="62"/>
      <c r="T3" s="13"/>
      <c r="U3" s="17"/>
      <c r="V3" s="13"/>
      <c r="W3" s="13"/>
      <c r="X3" s="13"/>
      <c r="Y3" s="13"/>
      <c r="Z3" s="13"/>
      <c r="AA3" s="15"/>
      <c r="AB3" s="15"/>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c r="IS3" s="13"/>
      <c r="IT3" s="13"/>
      <c r="IU3" s="13"/>
      <c r="IV3" s="13"/>
      <c r="IW3" s="13"/>
      <c r="IX3" s="13"/>
      <c r="IY3" s="13"/>
      <c r="IZ3" s="13"/>
      <c r="JA3" s="13"/>
      <c r="JB3" s="13"/>
      <c r="JC3" s="13"/>
      <c r="JD3" s="13"/>
      <c r="JE3" s="13"/>
      <c r="JF3" s="13"/>
      <c r="JG3" s="13"/>
      <c r="JH3" s="13"/>
      <c r="JI3" s="13"/>
      <c r="JJ3" s="13"/>
      <c r="JK3" s="13"/>
      <c r="JL3" s="13"/>
      <c r="JM3" s="13"/>
      <c r="JN3" s="13"/>
      <c r="JO3" s="13"/>
      <c r="JP3" s="13"/>
      <c r="JQ3" s="13"/>
      <c r="JR3" s="13"/>
      <c r="JS3" s="13"/>
      <c r="JT3" s="13"/>
      <c r="JU3" s="13"/>
      <c r="JV3" s="13"/>
      <c r="JW3" s="13"/>
      <c r="JX3" s="13"/>
      <c r="JY3" s="13"/>
      <c r="JZ3" s="13"/>
      <c r="KA3" s="13"/>
      <c r="KB3" s="13"/>
      <c r="KC3" s="13"/>
      <c r="KD3" s="13"/>
      <c r="KE3" s="13"/>
      <c r="KF3" s="13"/>
      <c r="KG3" s="13"/>
      <c r="KH3" s="13"/>
      <c r="KI3" s="13"/>
      <c r="KJ3" s="13"/>
      <c r="KK3" s="13"/>
      <c r="KL3" s="13"/>
      <c r="KM3" s="13"/>
      <c r="KN3" s="13"/>
      <c r="KO3" s="13"/>
      <c r="KP3" s="13"/>
      <c r="KQ3" s="13"/>
      <c r="KR3" s="13"/>
      <c r="KS3" s="13"/>
      <c r="KT3" s="13"/>
      <c r="KU3" s="13"/>
      <c r="KV3" s="13"/>
      <c r="KW3" s="13"/>
      <c r="KX3" s="13"/>
      <c r="KY3" s="13"/>
      <c r="KZ3" s="13"/>
      <c r="LA3" s="13"/>
      <c r="LB3" s="13"/>
      <c r="LC3" s="13"/>
      <c r="LD3" s="13"/>
      <c r="LE3" s="13"/>
      <c r="LF3" s="13"/>
      <c r="LG3" s="13"/>
      <c r="LH3" s="13"/>
      <c r="LI3" s="13"/>
      <c r="LJ3" s="13"/>
      <c r="LK3" s="13"/>
      <c r="LL3" s="13"/>
      <c r="LM3" s="13"/>
      <c r="LN3" s="13"/>
      <c r="LO3" s="13"/>
      <c r="LP3" s="13"/>
      <c r="LQ3" s="13"/>
      <c r="LR3" s="13"/>
      <c r="LS3" s="13"/>
      <c r="LT3" s="13"/>
      <c r="LU3" s="13"/>
      <c r="LV3" s="13"/>
      <c r="LW3" s="13"/>
      <c r="LX3" s="13"/>
      <c r="LY3" s="13"/>
      <c r="LZ3" s="13"/>
      <c r="MA3" s="13"/>
      <c r="MB3" s="13"/>
      <c r="MC3" s="13"/>
      <c r="MD3" s="13"/>
      <c r="ME3" s="13"/>
      <c r="MF3" s="13"/>
      <c r="MG3" s="13"/>
      <c r="MH3" s="13"/>
      <c r="MI3" s="13"/>
      <c r="MJ3" s="13"/>
      <c r="MK3" s="13"/>
      <c r="ML3" s="13"/>
      <c r="MM3" s="13"/>
      <c r="MN3" s="13"/>
      <c r="MO3" s="13"/>
      <c r="MP3" s="13"/>
      <c r="MQ3" s="13"/>
      <c r="MR3" s="13"/>
      <c r="MS3" s="13"/>
      <c r="MT3" s="13"/>
      <c r="MU3" s="13"/>
      <c r="MV3" s="13"/>
      <c r="MW3" s="13"/>
      <c r="MX3" s="13"/>
      <c r="MY3" s="13"/>
      <c r="MZ3" s="13"/>
      <c r="NA3" s="13"/>
      <c r="NB3" s="13"/>
      <c r="NC3" s="13"/>
      <c r="ND3" s="13"/>
      <c r="NE3" s="13"/>
      <c r="NF3" s="13"/>
      <c r="NG3" s="13"/>
      <c r="NH3" s="13"/>
      <c r="NI3" s="13"/>
      <c r="NJ3" s="13"/>
      <c r="NK3" s="13"/>
      <c r="NL3" s="13"/>
      <c r="NM3" s="13"/>
      <c r="NN3" s="13"/>
      <c r="NO3" s="13"/>
      <c r="NP3" s="13"/>
      <c r="NQ3" s="13"/>
      <c r="NR3" s="13"/>
      <c r="NS3" s="13"/>
      <c r="NT3" s="13"/>
      <c r="NU3" s="13"/>
      <c r="NV3" s="13"/>
      <c r="NW3" s="13"/>
      <c r="NX3" s="13"/>
      <c r="NY3" s="13"/>
      <c r="NZ3" s="13"/>
      <c r="OA3" s="13"/>
      <c r="OB3" s="13"/>
      <c r="OC3" s="13"/>
      <c r="OD3" s="13"/>
      <c r="OE3" s="13"/>
      <c r="OF3" s="13"/>
      <c r="OG3" s="13"/>
      <c r="OH3" s="13"/>
      <c r="OI3" s="13"/>
      <c r="OJ3" s="13"/>
      <c r="OK3" s="13"/>
      <c r="OL3" s="13"/>
      <c r="OM3" s="13"/>
      <c r="ON3" s="13"/>
      <c r="OO3" s="13"/>
      <c r="OP3" s="13"/>
      <c r="OQ3" s="13"/>
      <c r="OR3" s="13"/>
      <c r="OS3" s="13"/>
      <c r="OT3" s="13"/>
      <c r="OU3" s="13"/>
      <c r="OV3" s="13"/>
      <c r="OW3" s="13"/>
      <c r="OX3" s="13"/>
      <c r="OY3" s="13"/>
      <c r="OZ3" s="13"/>
      <c r="PA3" s="13"/>
      <c r="PB3" s="13"/>
      <c r="PC3" s="13"/>
      <c r="PD3" s="13"/>
      <c r="PE3" s="13"/>
      <c r="PF3" s="13"/>
      <c r="PG3" s="13"/>
      <c r="PH3" s="13"/>
      <c r="PI3" s="13"/>
      <c r="PJ3" s="13"/>
      <c r="PK3" s="13"/>
      <c r="PL3" s="13"/>
      <c r="PM3" s="13"/>
      <c r="PN3" s="13"/>
      <c r="PO3" s="13"/>
      <c r="PP3" s="13"/>
      <c r="PQ3" s="13"/>
      <c r="PR3" s="13"/>
      <c r="PS3" s="13"/>
      <c r="PT3" s="13"/>
      <c r="PU3" s="13"/>
      <c r="PV3" s="13"/>
      <c r="PW3" s="13"/>
      <c r="PX3" s="13"/>
      <c r="PY3" s="13"/>
      <c r="PZ3" s="13"/>
      <c r="QA3" s="13"/>
      <c r="QB3" s="13"/>
      <c r="QC3" s="13"/>
      <c r="QD3" s="13"/>
      <c r="QE3" s="13"/>
      <c r="QF3" s="13"/>
      <c r="QG3" s="13"/>
      <c r="QH3" s="13"/>
      <c r="QI3" s="13"/>
      <c r="QJ3" s="13"/>
      <c r="QK3" s="13"/>
      <c r="QL3" s="13"/>
      <c r="QM3" s="13"/>
      <c r="QN3" s="13"/>
      <c r="QO3" s="13"/>
      <c r="QP3" s="13"/>
      <c r="QQ3" s="13"/>
      <c r="QR3" s="13"/>
      <c r="QS3" s="13"/>
      <c r="QT3" s="13"/>
      <c r="QU3" s="13"/>
      <c r="QV3" s="13"/>
      <c r="QW3" s="13"/>
      <c r="QX3" s="13"/>
      <c r="QY3" s="13"/>
      <c r="QZ3" s="13"/>
      <c r="RA3" s="13"/>
      <c r="RB3" s="13"/>
      <c r="RC3" s="13"/>
      <c r="RD3" s="13"/>
      <c r="RE3" s="13"/>
      <c r="RF3" s="13"/>
      <c r="RG3" s="13"/>
      <c r="RH3" s="13"/>
      <c r="RI3" s="13"/>
      <c r="RJ3" s="13"/>
      <c r="RK3" s="13"/>
      <c r="RL3" s="13"/>
      <c r="RM3" s="13"/>
      <c r="RN3" s="13"/>
      <c r="RO3" s="13"/>
      <c r="RP3" s="13"/>
      <c r="RQ3" s="13"/>
      <c r="RR3" s="13"/>
      <c r="RS3" s="13"/>
      <c r="RT3" s="13"/>
      <c r="RU3" s="13"/>
      <c r="RV3" s="13"/>
      <c r="RW3" s="13"/>
      <c r="RX3" s="13"/>
      <c r="RY3" s="13"/>
      <c r="RZ3" s="13"/>
      <c r="SA3" s="13"/>
      <c r="SB3" s="13"/>
      <c r="SC3" s="13"/>
      <c r="SD3" s="13"/>
      <c r="SE3" s="13"/>
      <c r="SF3" s="13"/>
      <c r="SG3" s="13"/>
      <c r="SH3" s="13"/>
      <c r="SI3" s="13"/>
      <c r="SJ3" s="13"/>
      <c r="SK3" s="13"/>
      <c r="SL3" s="13"/>
      <c r="SM3" s="13"/>
      <c r="SN3" s="13"/>
      <c r="SO3" s="13"/>
      <c r="SP3" s="13"/>
      <c r="SQ3" s="13"/>
      <c r="SR3" s="13"/>
      <c r="SS3" s="13"/>
      <c r="ST3" s="13"/>
      <c r="SU3" s="13"/>
      <c r="SV3" s="13"/>
      <c r="SW3" s="13"/>
      <c r="SX3" s="13"/>
      <c r="SY3" s="13"/>
      <c r="SZ3" s="13"/>
      <c r="TA3" s="13"/>
      <c r="TB3" s="13"/>
      <c r="TC3" s="13"/>
      <c r="TD3" s="13"/>
      <c r="TE3" s="13"/>
      <c r="TF3" s="13"/>
      <c r="TG3" s="13"/>
      <c r="TH3" s="13"/>
      <c r="TI3" s="13"/>
      <c r="TJ3" s="13"/>
      <c r="TK3" s="13"/>
      <c r="TL3" s="13"/>
      <c r="TM3" s="13"/>
      <c r="TN3" s="13"/>
      <c r="TO3" s="13"/>
      <c r="TP3" s="13"/>
      <c r="TQ3" s="13"/>
      <c r="TR3" s="13"/>
      <c r="TS3" s="13"/>
      <c r="TT3" s="13"/>
      <c r="TU3" s="13"/>
      <c r="TV3" s="13"/>
      <c r="TW3" s="13"/>
      <c r="TX3" s="13"/>
      <c r="TY3" s="13"/>
      <c r="TZ3" s="13"/>
      <c r="UA3" s="13"/>
      <c r="UB3" s="13"/>
      <c r="UC3" s="13"/>
      <c r="UD3" s="13"/>
      <c r="UE3" s="13"/>
      <c r="UF3" s="13"/>
      <c r="UG3" s="13"/>
      <c r="UH3" s="13"/>
      <c r="UI3" s="13"/>
      <c r="UJ3" s="13"/>
      <c r="UK3" s="13"/>
      <c r="UL3" s="13"/>
      <c r="UM3" s="13"/>
      <c r="UN3" s="13"/>
      <c r="UO3" s="13"/>
      <c r="UP3" s="13"/>
      <c r="UQ3" s="13"/>
      <c r="UR3" s="13"/>
      <c r="US3" s="13"/>
      <c r="UT3" s="13"/>
      <c r="UU3" s="13"/>
      <c r="UV3" s="13"/>
      <c r="UW3" s="13"/>
      <c r="UX3" s="13"/>
      <c r="UY3" s="13"/>
      <c r="UZ3" s="13"/>
      <c r="VA3" s="13"/>
      <c r="VB3" s="13"/>
      <c r="VC3" s="13"/>
      <c r="VD3" s="13"/>
      <c r="VE3" s="13"/>
      <c r="VF3" s="13"/>
      <c r="VG3" s="13"/>
      <c r="VH3" s="13"/>
      <c r="VI3" s="13"/>
      <c r="VJ3" s="13"/>
      <c r="VK3" s="13"/>
      <c r="VL3" s="13"/>
      <c r="VM3" s="13"/>
      <c r="VN3" s="13"/>
      <c r="VO3" s="13"/>
      <c r="VP3" s="13"/>
      <c r="VQ3" s="13"/>
      <c r="VR3" s="13"/>
      <c r="VS3" s="13"/>
      <c r="VT3" s="13"/>
      <c r="VU3" s="13"/>
      <c r="VV3" s="13"/>
      <c r="VW3" s="13"/>
      <c r="VX3" s="13"/>
      <c r="VY3" s="13"/>
      <c r="VZ3" s="13"/>
      <c r="WA3" s="13"/>
      <c r="WB3" s="13"/>
      <c r="WC3" s="13"/>
      <c r="WD3" s="13"/>
      <c r="WE3" s="13"/>
      <c r="WF3" s="13"/>
      <c r="WG3" s="13"/>
      <c r="WH3" s="13"/>
      <c r="WI3" s="13"/>
      <c r="WJ3" s="13"/>
      <c r="WK3" s="13"/>
      <c r="WL3" s="13"/>
      <c r="WM3" s="13"/>
      <c r="WN3" s="13"/>
      <c r="WO3" s="13"/>
      <c r="WP3" s="13"/>
      <c r="WQ3" s="13"/>
      <c r="WR3" s="13"/>
      <c r="WS3" s="13"/>
      <c r="WT3" s="13"/>
      <c r="WU3" s="13"/>
      <c r="WV3" s="13"/>
      <c r="WW3" s="13"/>
      <c r="WX3" s="13"/>
      <c r="WY3" s="13"/>
      <c r="WZ3" s="13"/>
      <c r="XA3" s="13"/>
      <c r="XB3" s="13"/>
      <c r="XC3" s="13"/>
      <c r="XD3" s="13"/>
      <c r="XE3" s="13"/>
      <c r="XF3" s="13"/>
      <c r="XG3" s="13"/>
      <c r="XH3" s="13"/>
      <c r="XI3" s="13"/>
      <c r="XJ3" s="13"/>
      <c r="XK3" s="13"/>
      <c r="XL3" s="13"/>
      <c r="XM3" s="13"/>
      <c r="XN3" s="13"/>
      <c r="XO3" s="13"/>
      <c r="XP3" s="13"/>
      <c r="XQ3" s="13"/>
      <c r="XR3" s="13"/>
      <c r="XS3" s="13"/>
      <c r="XT3" s="13"/>
      <c r="XU3" s="13"/>
      <c r="XV3" s="13"/>
      <c r="XW3" s="13"/>
      <c r="XX3" s="13"/>
      <c r="XY3" s="13"/>
      <c r="XZ3" s="13"/>
      <c r="YA3" s="13"/>
      <c r="YB3" s="13"/>
      <c r="YC3" s="13"/>
      <c r="YD3" s="13"/>
      <c r="YE3" s="13"/>
      <c r="YF3" s="13"/>
      <c r="YG3" s="13"/>
      <c r="YH3" s="13"/>
      <c r="YI3" s="13"/>
      <c r="YJ3" s="13"/>
      <c r="YK3" s="13"/>
      <c r="YL3" s="13"/>
      <c r="YM3" s="13"/>
      <c r="YN3" s="13"/>
      <c r="YO3" s="13"/>
      <c r="YP3" s="13"/>
      <c r="YQ3" s="13"/>
      <c r="YR3" s="13"/>
      <c r="YS3" s="13"/>
      <c r="YT3" s="13"/>
      <c r="YU3" s="13"/>
      <c r="YV3" s="13"/>
      <c r="YW3" s="13"/>
      <c r="YX3" s="13"/>
      <c r="YY3" s="13"/>
      <c r="YZ3" s="13"/>
      <c r="ZA3" s="13"/>
      <c r="ZB3" s="13"/>
      <c r="ZC3" s="13"/>
      <c r="ZD3" s="13"/>
      <c r="ZE3" s="13"/>
      <c r="ZF3" s="13"/>
      <c r="ZG3" s="13"/>
      <c r="ZH3" s="13"/>
      <c r="ZI3" s="13"/>
      <c r="ZJ3" s="13"/>
      <c r="ZK3" s="13"/>
      <c r="ZL3" s="13"/>
      <c r="ZM3" s="13"/>
      <c r="ZN3" s="13"/>
      <c r="ZO3" s="13"/>
      <c r="ZP3" s="13"/>
      <c r="ZQ3" s="13"/>
      <c r="ZR3" s="13"/>
      <c r="ZS3" s="13"/>
      <c r="ZT3" s="13"/>
      <c r="ZU3" s="13"/>
      <c r="ZV3" s="13"/>
      <c r="ZW3" s="13"/>
      <c r="ZX3" s="13"/>
      <c r="ZY3" s="13"/>
      <c r="ZZ3" s="13"/>
      <c r="AAA3" s="13"/>
      <c r="AAB3" s="13"/>
      <c r="AAC3" s="13"/>
      <c r="AAD3" s="13"/>
      <c r="AAE3" s="13"/>
      <c r="AAF3" s="13"/>
      <c r="AAG3" s="13"/>
      <c r="AAH3" s="13"/>
      <c r="AAI3" s="13"/>
      <c r="AAJ3" s="13"/>
      <c r="AAK3" s="13"/>
      <c r="AAL3" s="13"/>
      <c r="AAM3" s="13"/>
      <c r="AAN3" s="13"/>
      <c r="AAO3" s="13"/>
      <c r="AAP3" s="13"/>
      <c r="AAQ3" s="13"/>
      <c r="AAR3" s="13"/>
      <c r="AAS3" s="13"/>
      <c r="AAT3" s="13"/>
      <c r="AAU3" s="13"/>
      <c r="AAV3" s="13"/>
      <c r="AAW3" s="13"/>
      <c r="AAX3" s="13"/>
      <c r="AAY3" s="13"/>
      <c r="AAZ3" s="13"/>
      <c r="ABA3" s="13"/>
      <c r="ABB3" s="13"/>
      <c r="ABC3" s="13"/>
      <c r="ABD3" s="13"/>
      <c r="ABE3" s="13"/>
      <c r="ABF3" s="13"/>
      <c r="ABG3" s="13"/>
      <c r="ABH3" s="13"/>
      <c r="ABI3" s="13"/>
      <c r="ABJ3" s="13"/>
      <c r="ABK3" s="13"/>
      <c r="ABL3" s="13"/>
      <c r="ABM3" s="13"/>
      <c r="ABN3" s="13"/>
      <c r="ABO3" s="13"/>
      <c r="ABP3" s="13"/>
      <c r="ABQ3" s="13"/>
      <c r="ABR3" s="13"/>
      <c r="ABS3" s="13"/>
      <c r="ABT3" s="13"/>
      <c r="ABU3" s="13"/>
      <c r="ABV3" s="13"/>
      <c r="ABW3" s="13"/>
      <c r="ABX3" s="13"/>
      <c r="ABY3" s="13"/>
      <c r="ABZ3" s="13"/>
      <c r="ACA3" s="13"/>
      <c r="ACB3" s="13"/>
      <c r="ACC3" s="13"/>
      <c r="ACD3" s="13"/>
      <c r="ACE3" s="13"/>
      <c r="ACF3" s="13"/>
      <c r="ACG3" s="13"/>
      <c r="ACH3" s="13"/>
      <c r="ACI3" s="13"/>
      <c r="ACJ3" s="13"/>
      <c r="ACK3" s="13"/>
      <c r="ACL3" s="13"/>
      <c r="ACM3" s="13"/>
      <c r="ACN3" s="13"/>
      <c r="ACO3" s="13"/>
      <c r="ACP3" s="13"/>
      <c r="ACQ3" s="13"/>
      <c r="ACR3" s="13"/>
      <c r="ACS3" s="13"/>
      <c r="ACT3" s="13"/>
      <c r="ACU3" s="13"/>
      <c r="ACV3" s="13"/>
      <c r="ACW3" s="13"/>
      <c r="ACX3" s="13"/>
      <c r="ACY3" s="13"/>
      <c r="ACZ3" s="13"/>
      <c r="ADA3" s="13"/>
      <c r="ADB3" s="13"/>
      <c r="ADC3" s="13"/>
      <c r="ADD3" s="13"/>
      <c r="ADE3" s="13"/>
      <c r="ADF3" s="13"/>
      <c r="ADG3" s="13"/>
      <c r="ADH3" s="13"/>
      <c r="ADI3" s="13"/>
      <c r="ADJ3" s="13"/>
      <c r="ADK3" s="13"/>
      <c r="ADL3" s="13"/>
      <c r="ADM3" s="13"/>
      <c r="ADN3" s="13"/>
      <c r="ADO3" s="13"/>
      <c r="ADP3" s="13"/>
      <c r="ADQ3" s="13"/>
      <c r="ADR3" s="13"/>
      <c r="ADS3" s="13"/>
      <c r="ADT3" s="13"/>
      <c r="ADU3" s="13"/>
      <c r="ADV3" s="13"/>
      <c r="ADW3" s="13"/>
      <c r="ADX3" s="13"/>
      <c r="ADY3" s="13"/>
      <c r="ADZ3" s="13"/>
      <c r="AEA3" s="13"/>
      <c r="AEB3" s="13"/>
      <c r="AEC3" s="13"/>
      <c r="AED3" s="13"/>
      <c r="AEE3" s="13"/>
      <c r="AEF3" s="13"/>
      <c r="AEG3" s="13"/>
      <c r="AEH3" s="13"/>
      <c r="AEI3" s="13"/>
      <c r="AEJ3" s="13"/>
      <c r="AEK3" s="13"/>
      <c r="AEL3" s="13"/>
      <c r="AEM3" s="13"/>
      <c r="AEN3" s="13"/>
      <c r="AEO3" s="13"/>
      <c r="AEP3" s="13"/>
      <c r="AEQ3" s="13"/>
      <c r="AER3" s="13"/>
      <c r="AES3" s="13"/>
      <c r="AET3" s="13"/>
      <c r="AEU3" s="13"/>
      <c r="AEV3" s="13"/>
      <c r="AEW3" s="13"/>
      <c r="AEX3" s="13"/>
      <c r="AEY3" s="13"/>
      <c r="AEZ3" s="13"/>
      <c r="AFA3" s="13"/>
      <c r="AFB3" s="13"/>
      <c r="AFC3" s="13"/>
      <c r="AFD3" s="13"/>
      <c r="AFE3" s="13"/>
      <c r="AFF3" s="13"/>
      <c r="AFG3" s="13"/>
      <c r="AFH3" s="13"/>
      <c r="AFI3" s="13"/>
      <c r="AFJ3" s="13"/>
      <c r="AFK3" s="13"/>
      <c r="AFL3" s="13"/>
      <c r="AFM3" s="13"/>
      <c r="AFN3" s="13"/>
      <c r="AFO3" s="13"/>
      <c r="AFP3" s="13"/>
      <c r="AFQ3" s="13"/>
      <c r="AFR3" s="13"/>
      <c r="AFS3" s="13"/>
      <c r="AFT3" s="13"/>
      <c r="AFU3" s="13"/>
      <c r="AFV3" s="13"/>
      <c r="AFW3" s="13"/>
      <c r="AFX3" s="13"/>
      <c r="AFY3" s="13"/>
      <c r="AFZ3" s="13"/>
      <c r="AGA3" s="13"/>
      <c r="AGB3" s="13"/>
      <c r="AGC3" s="13"/>
      <c r="AGD3" s="13"/>
      <c r="AGE3" s="13"/>
      <c r="AGF3" s="13"/>
      <c r="AGG3" s="13"/>
      <c r="AGH3" s="13"/>
      <c r="AGI3" s="13"/>
      <c r="AGJ3" s="13"/>
      <c r="AGK3" s="13"/>
      <c r="AGL3" s="13"/>
      <c r="AGM3" s="13"/>
      <c r="AGN3" s="13"/>
      <c r="AGO3" s="13"/>
      <c r="AGP3" s="13"/>
      <c r="AGQ3" s="13"/>
      <c r="AGR3" s="13"/>
      <c r="AGS3" s="13"/>
      <c r="AGT3" s="13"/>
      <c r="AGU3" s="13"/>
      <c r="AGV3" s="13"/>
      <c r="AGW3" s="13"/>
      <c r="AGX3" s="13"/>
      <c r="AGY3" s="13"/>
      <c r="AGZ3" s="13"/>
      <c r="AHA3" s="13"/>
      <c r="AHB3" s="13"/>
      <c r="AHC3" s="13"/>
      <c r="AHD3" s="13"/>
      <c r="AHE3" s="13"/>
      <c r="AHF3" s="13"/>
      <c r="AHG3" s="13"/>
      <c r="AHH3" s="13"/>
      <c r="AHI3" s="13"/>
      <c r="AHJ3" s="13"/>
      <c r="AHK3" s="13"/>
      <c r="AHL3" s="13"/>
      <c r="AHM3" s="13"/>
      <c r="AHN3" s="13"/>
      <c r="AHO3" s="13"/>
      <c r="AHP3" s="13"/>
      <c r="AHQ3" s="13"/>
      <c r="AHR3" s="13"/>
      <c r="AHS3" s="13"/>
      <c r="AHT3" s="13"/>
      <c r="AHU3" s="13"/>
      <c r="AHV3" s="13"/>
      <c r="AHW3" s="13"/>
      <c r="AHX3" s="13"/>
      <c r="AHY3" s="13"/>
      <c r="AHZ3" s="13"/>
      <c r="AIA3" s="13"/>
      <c r="AIB3" s="13"/>
      <c r="AIC3" s="13"/>
      <c r="AID3" s="13"/>
      <c r="AIE3" s="13"/>
      <c r="AIF3" s="13"/>
      <c r="AIG3" s="13"/>
      <c r="AIH3" s="13"/>
      <c r="AII3" s="13"/>
      <c r="AIJ3" s="13"/>
      <c r="AIK3" s="13"/>
      <c r="AIL3" s="13"/>
      <c r="AIM3" s="13"/>
      <c r="AIN3" s="13"/>
      <c r="AIO3" s="13"/>
      <c r="AIP3" s="13"/>
      <c r="AIQ3" s="13"/>
      <c r="AIR3" s="13"/>
      <c r="AIS3" s="13"/>
      <c r="AIT3" s="13"/>
      <c r="AIU3" s="13"/>
      <c r="AIV3" s="13"/>
      <c r="AIW3" s="13"/>
      <c r="AIX3" s="13"/>
      <c r="AIY3" s="13"/>
      <c r="AIZ3" s="13"/>
      <c r="AJA3" s="13"/>
      <c r="AJB3" s="13"/>
      <c r="AJC3" s="13"/>
      <c r="AJD3" s="13"/>
      <c r="AJE3" s="13"/>
      <c r="AJF3" s="13"/>
      <c r="AJG3" s="13"/>
      <c r="AJH3" s="13"/>
      <c r="AJI3" s="13"/>
      <c r="AJJ3" s="13"/>
      <c r="AJK3" s="13"/>
      <c r="AJL3" s="13"/>
      <c r="AJM3" s="13"/>
      <c r="AJN3" s="13"/>
      <c r="AJO3" s="13"/>
      <c r="AJP3" s="13"/>
      <c r="AJQ3" s="13"/>
      <c r="AJR3" s="13"/>
      <c r="AJS3" s="13"/>
      <c r="AJT3" s="13"/>
      <c r="AJU3" s="13"/>
      <c r="AJV3" s="13"/>
      <c r="AJW3" s="13"/>
      <c r="AJX3" s="13"/>
      <c r="AJY3" s="13"/>
      <c r="AJZ3" s="13"/>
      <c r="AKA3" s="13"/>
      <c r="AKB3" s="13"/>
      <c r="AKC3" s="13"/>
      <c r="AKD3" s="13"/>
      <c r="AKE3" s="13"/>
      <c r="AKF3" s="13"/>
      <c r="AKG3" s="13"/>
      <c r="AKH3" s="13"/>
      <c r="AKI3" s="13"/>
      <c r="AKJ3" s="13"/>
      <c r="AKK3" s="13"/>
      <c r="AKL3" s="13"/>
      <c r="AKM3" s="13"/>
      <c r="AKN3" s="13"/>
      <c r="AKO3" s="13"/>
      <c r="AKP3" s="13"/>
      <c r="AKQ3" s="13"/>
      <c r="AKR3" s="13"/>
      <c r="AKS3" s="13"/>
      <c r="AKT3" s="13"/>
      <c r="AKU3" s="13"/>
      <c r="AKV3" s="13"/>
      <c r="AKW3" s="13"/>
      <c r="AKX3" s="13"/>
      <c r="AKY3" s="13"/>
      <c r="AKZ3" s="13"/>
      <c r="ALA3" s="13"/>
      <c r="ALB3" s="13"/>
      <c r="ALC3" s="13"/>
      <c r="ALD3" s="13"/>
      <c r="ALE3" s="13"/>
      <c r="ALF3" s="13"/>
      <c r="ALG3" s="13"/>
      <c r="ALH3" s="13"/>
      <c r="ALI3" s="13"/>
      <c r="ALJ3" s="13"/>
      <c r="ALK3" s="13"/>
      <c r="ALL3" s="13"/>
      <c r="ALM3" s="13"/>
      <c r="ALN3" s="13"/>
      <c r="ALO3" s="13"/>
      <c r="ALP3" s="13"/>
      <c r="ALQ3" s="13"/>
      <c r="ALR3" s="13"/>
      <c r="ALS3" s="13"/>
      <c r="ALT3" s="13"/>
      <c r="ALU3" s="13"/>
      <c r="ALV3" s="13"/>
      <c r="ALW3" s="13"/>
      <c r="ALX3" s="13"/>
      <c r="ALY3" s="13"/>
      <c r="ALZ3" s="13"/>
      <c r="AMA3" s="13"/>
      <c r="AMB3" s="13"/>
      <c r="AMC3" s="13"/>
      <c r="AMD3" s="13"/>
      <c r="AME3" s="13"/>
      <c r="AMF3" s="13"/>
      <c r="AMG3" s="13"/>
      <c r="AMH3" s="13"/>
      <c r="AMI3" s="13"/>
      <c r="AMJ3" s="13"/>
      <c r="AMK3" s="13"/>
      <c r="AML3" s="13"/>
      <c r="AMM3" s="13"/>
      <c r="AMN3" s="13"/>
      <c r="AMO3" s="13"/>
      <c r="AMP3" s="13"/>
      <c r="AMQ3" s="13"/>
      <c r="AMR3" s="13"/>
      <c r="AMS3" s="13"/>
      <c r="AMT3" s="13"/>
      <c r="AMU3" s="13"/>
      <c r="AMV3" s="13"/>
      <c r="AMW3" s="13"/>
      <c r="AMX3" s="13"/>
      <c r="AMY3" s="13"/>
      <c r="AMZ3" s="13"/>
      <c r="ANA3" s="13"/>
      <c r="ANB3" s="13"/>
      <c r="ANC3" s="13"/>
      <c r="AND3" s="13"/>
      <c r="ANE3" s="13"/>
      <c r="ANF3" s="13"/>
      <c r="ANG3" s="13"/>
      <c r="ANH3" s="13"/>
      <c r="ANI3" s="13"/>
      <c r="ANJ3" s="13"/>
      <c r="ANK3" s="13"/>
      <c r="ANL3" s="13"/>
      <c r="ANM3" s="13"/>
      <c r="ANN3" s="13"/>
      <c r="ANO3" s="13"/>
      <c r="ANP3" s="13"/>
      <c r="ANQ3" s="13"/>
      <c r="ANR3" s="13"/>
      <c r="ANS3" s="13"/>
      <c r="ANT3" s="13"/>
      <c r="ANU3" s="13"/>
      <c r="ANV3" s="13"/>
      <c r="ANW3" s="13"/>
      <c r="ANX3" s="13"/>
      <c r="ANY3" s="13"/>
      <c r="ANZ3" s="13"/>
      <c r="AOA3" s="13"/>
      <c r="AOB3" s="13"/>
      <c r="AOC3" s="13"/>
      <c r="AOD3" s="13"/>
      <c r="AOE3" s="13"/>
      <c r="AOF3" s="13"/>
      <c r="AOG3" s="13"/>
      <c r="AOH3" s="13"/>
      <c r="AOI3" s="13"/>
      <c r="AOJ3" s="13"/>
      <c r="AOK3" s="13"/>
      <c r="AOL3" s="13"/>
      <c r="AOM3" s="13"/>
      <c r="AON3" s="13"/>
      <c r="AOO3" s="13"/>
      <c r="AOP3" s="13"/>
      <c r="AOQ3" s="13"/>
      <c r="AOR3" s="13"/>
      <c r="AOS3" s="13"/>
      <c r="AOT3" s="13"/>
      <c r="AOU3" s="13"/>
      <c r="AOV3" s="13"/>
      <c r="AOW3" s="13"/>
      <c r="AOX3" s="13"/>
      <c r="AOY3" s="13"/>
      <c r="AOZ3" s="13"/>
      <c r="APA3" s="13"/>
      <c r="APB3" s="13"/>
      <c r="APC3" s="13"/>
      <c r="APD3" s="13"/>
      <c r="APE3" s="13"/>
      <c r="APF3" s="13"/>
      <c r="APG3" s="13"/>
      <c r="APH3" s="13"/>
      <c r="API3" s="13"/>
      <c r="APJ3" s="13"/>
      <c r="APK3" s="13"/>
      <c r="APL3" s="13"/>
      <c r="APM3" s="13"/>
      <c r="APN3" s="13"/>
      <c r="APO3" s="13"/>
      <c r="APP3" s="13"/>
      <c r="APQ3" s="13"/>
      <c r="APR3" s="13"/>
      <c r="APS3" s="13"/>
      <c r="APT3" s="13"/>
      <c r="APU3" s="13"/>
      <c r="APV3" s="13"/>
      <c r="APW3" s="13"/>
      <c r="APX3" s="13"/>
      <c r="APY3" s="13"/>
      <c r="APZ3" s="13"/>
      <c r="AQA3" s="13"/>
      <c r="AQB3" s="13"/>
      <c r="AQC3" s="13"/>
      <c r="AQD3" s="13"/>
      <c r="AQE3" s="13"/>
      <c r="AQF3" s="13"/>
      <c r="AQG3" s="13"/>
      <c r="AQH3" s="13"/>
      <c r="AQI3" s="13"/>
      <c r="AQJ3" s="13"/>
      <c r="AQK3" s="13"/>
      <c r="AQL3" s="13"/>
      <c r="AQM3" s="13"/>
      <c r="AQN3" s="13"/>
      <c r="AQO3" s="13"/>
      <c r="AQP3" s="13"/>
      <c r="AQQ3" s="13"/>
      <c r="AQR3" s="13"/>
      <c r="AQS3" s="13"/>
      <c r="AQT3" s="13"/>
      <c r="AQU3" s="13"/>
      <c r="AQV3" s="13"/>
      <c r="AQW3" s="13"/>
      <c r="AQX3" s="13"/>
      <c r="AQY3" s="13"/>
      <c r="AQZ3" s="13"/>
      <c r="ARA3" s="13"/>
      <c r="ARB3" s="13"/>
      <c r="ARC3" s="13"/>
      <c r="ARD3" s="13"/>
      <c r="ARE3" s="13"/>
      <c r="ARF3" s="13"/>
      <c r="ARG3" s="13"/>
      <c r="ARH3" s="13"/>
      <c r="ARI3" s="13"/>
      <c r="ARJ3" s="13"/>
      <c r="ARK3" s="13"/>
      <c r="ARL3" s="13"/>
      <c r="ARM3" s="13"/>
      <c r="ARN3" s="13"/>
      <c r="ARO3" s="13"/>
      <c r="ARP3" s="13"/>
      <c r="ARQ3" s="13"/>
      <c r="ARR3" s="13"/>
      <c r="ARS3" s="13"/>
      <c r="ART3" s="13"/>
      <c r="ARU3" s="13"/>
      <c r="ARV3" s="13"/>
      <c r="ARW3" s="13"/>
      <c r="ARX3" s="13"/>
      <c r="ARY3" s="13"/>
      <c r="ARZ3" s="13"/>
      <c r="ASA3" s="13"/>
      <c r="ASB3" s="13"/>
      <c r="ASC3" s="13"/>
      <c r="ASD3" s="13"/>
      <c r="ASE3" s="13"/>
      <c r="ASF3" s="13"/>
      <c r="ASG3" s="13"/>
      <c r="ASH3" s="13"/>
      <c r="ASI3" s="13"/>
      <c r="ASJ3" s="13"/>
      <c r="ASK3" s="13"/>
      <c r="ASL3" s="13"/>
      <c r="ASM3" s="13"/>
      <c r="ASN3" s="13"/>
      <c r="ASO3" s="13"/>
      <c r="ASP3" s="13"/>
      <c r="ASQ3" s="13"/>
      <c r="ASR3" s="13"/>
      <c r="ASS3" s="13"/>
      <c r="AST3" s="13"/>
      <c r="ASU3" s="13"/>
      <c r="ASV3" s="13"/>
      <c r="ASW3" s="13"/>
      <c r="ASX3" s="13"/>
      <c r="ASY3" s="13"/>
      <c r="ASZ3" s="13"/>
      <c r="ATA3" s="13"/>
      <c r="ATB3" s="13"/>
      <c r="ATC3" s="13"/>
      <c r="ATD3" s="13"/>
      <c r="ATE3" s="13"/>
      <c r="ATF3" s="13"/>
      <c r="ATG3" s="13"/>
      <c r="ATH3" s="13"/>
      <c r="ATI3" s="13"/>
      <c r="ATJ3" s="13"/>
      <c r="ATK3" s="13"/>
      <c r="ATL3" s="13"/>
      <c r="ATM3" s="13"/>
      <c r="ATN3" s="13"/>
      <c r="ATO3" s="13"/>
      <c r="ATP3" s="13"/>
      <c r="ATQ3" s="13"/>
      <c r="ATR3" s="13"/>
      <c r="ATS3" s="13"/>
      <c r="ATT3" s="13"/>
      <c r="ATU3" s="13"/>
      <c r="ATV3" s="13"/>
      <c r="ATW3" s="13"/>
      <c r="ATX3" s="13"/>
      <c r="ATY3" s="13"/>
      <c r="ATZ3" s="13"/>
      <c r="AUA3" s="13"/>
      <c r="AUB3" s="13"/>
      <c r="AUC3" s="13"/>
      <c r="AUD3" s="13"/>
      <c r="AUE3" s="13"/>
      <c r="AUF3" s="13"/>
      <c r="AUG3" s="13"/>
      <c r="AUH3" s="13"/>
      <c r="AUI3" s="13"/>
      <c r="AUJ3" s="13"/>
      <c r="AUK3" s="13"/>
      <c r="AUL3" s="13"/>
      <c r="AUM3" s="13"/>
      <c r="AUN3" s="13"/>
      <c r="AUO3" s="13"/>
      <c r="AUP3" s="13"/>
      <c r="AUQ3" s="13"/>
      <c r="AUR3" s="13"/>
      <c r="AUS3" s="13"/>
      <c r="AUT3" s="13"/>
      <c r="AUU3" s="13"/>
      <c r="AUV3" s="13"/>
      <c r="AUW3" s="13"/>
      <c r="AUX3" s="13"/>
      <c r="AUY3" s="13"/>
      <c r="AUZ3" s="13"/>
      <c r="AVA3" s="13"/>
      <c r="AVB3" s="13"/>
      <c r="AVC3" s="13"/>
      <c r="AVD3" s="13"/>
      <c r="AVE3" s="13"/>
      <c r="AVF3" s="13"/>
      <c r="AVG3" s="13"/>
      <c r="AVH3" s="13"/>
      <c r="AVI3" s="13"/>
      <c r="AVJ3" s="13"/>
      <c r="AVK3" s="13"/>
      <c r="AVL3" s="13"/>
      <c r="AVM3" s="13"/>
      <c r="AVN3" s="13"/>
      <c r="AVO3" s="13"/>
      <c r="AVP3" s="13"/>
      <c r="AVQ3" s="13"/>
      <c r="AVR3" s="13"/>
      <c r="AVS3" s="13"/>
      <c r="AVT3" s="13"/>
      <c r="AVU3" s="13"/>
      <c r="AVV3" s="13"/>
      <c r="AVW3" s="13"/>
      <c r="AVX3" s="13"/>
      <c r="AVY3" s="13"/>
      <c r="AVZ3" s="13"/>
      <c r="AWA3" s="13"/>
      <c r="AWB3" s="13"/>
      <c r="AWC3" s="13"/>
      <c r="AWD3" s="13"/>
      <c r="AWE3" s="13"/>
      <c r="AWF3" s="13"/>
      <c r="AWG3" s="13"/>
      <c r="AWH3" s="13"/>
      <c r="AWI3" s="13"/>
      <c r="AWJ3" s="13"/>
      <c r="AWK3" s="13"/>
      <c r="AWL3" s="13"/>
      <c r="AWM3" s="13"/>
      <c r="AWN3" s="13"/>
      <c r="AWO3" s="13"/>
      <c r="AWP3" s="13"/>
      <c r="AWQ3" s="13"/>
      <c r="AWR3" s="13"/>
      <c r="AWS3" s="13"/>
      <c r="AWT3" s="13"/>
      <c r="AWU3" s="13"/>
      <c r="AWV3" s="13"/>
      <c r="AWW3" s="13"/>
      <c r="AWX3" s="13"/>
      <c r="AWY3" s="13"/>
      <c r="AWZ3" s="13"/>
      <c r="AXA3" s="13"/>
      <c r="AXB3" s="13"/>
      <c r="AXC3" s="13"/>
      <c r="AXD3" s="13"/>
      <c r="AXE3" s="13"/>
      <c r="AXF3" s="13"/>
      <c r="AXG3" s="13"/>
      <c r="AXH3" s="13"/>
      <c r="AXI3" s="13"/>
      <c r="AXJ3" s="13"/>
      <c r="AXK3" s="13"/>
      <c r="AXL3" s="13"/>
      <c r="AXM3" s="13"/>
      <c r="AXN3" s="13"/>
      <c r="AXO3" s="13"/>
      <c r="AXP3" s="13"/>
      <c r="AXQ3" s="13"/>
      <c r="AXR3" s="13"/>
      <c r="AXS3" s="13"/>
      <c r="AXT3" s="13"/>
      <c r="AXU3" s="13"/>
      <c r="AXV3" s="13"/>
      <c r="AXW3" s="13"/>
      <c r="AXX3" s="13"/>
      <c r="AXY3" s="13"/>
      <c r="AXZ3" s="13"/>
      <c r="AYA3" s="13"/>
      <c r="AYB3" s="13"/>
      <c r="AYC3" s="13"/>
      <c r="AYD3" s="13"/>
      <c r="AYE3" s="13"/>
      <c r="AYF3" s="13"/>
      <c r="AYG3" s="13"/>
      <c r="AYH3" s="13"/>
      <c r="AYI3" s="13"/>
      <c r="AYJ3" s="13"/>
      <c r="AYK3" s="13"/>
      <c r="AYL3" s="13"/>
      <c r="AYM3" s="13"/>
      <c r="AYN3" s="13"/>
      <c r="AYO3" s="13"/>
      <c r="AYP3" s="13"/>
      <c r="AYQ3" s="13"/>
      <c r="AYR3" s="13"/>
      <c r="AYS3" s="13"/>
      <c r="AYT3" s="13"/>
      <c r="AYU3" s="13"/>
      <c r="AYV3" s="13"/>
      <c r="AYW3" s="13"/>
      <c r="AYX3" s="13"/>
      <c r="AYY3" s="13"/>
      <c r="AYZ3" s="13"/>
      <c r="AZA3" s="13"/>
      <c r="AZB3" s="13"/>
      <c r="AZC3" s="13"/>
      <c r="AZD3" s="13"/>
      <c r="AZE3" s="13"/>
      <c r="AZF3" s="13"/>
      <c r="AZG3" s="13"/>
      <c r="AZH3" s="13"/>
      <c r="AZI3" s="13"/>
      <c r="AZJ3" s="13"/>
      <c r="AZK3" s="13"/>
      <c r="AZL3" s="13"/>
      <c r="AZM3" s="13"/>
      <c r="AZN3" s="13"/>
      <c r="AZO3" s="13"/>
      <c r="AZP3" s="13"/>
      <c r="AZQ3" s="13"/>
      <c r="AZR3" s="13"/>
      <c r="AZS3" s="13"/>
      <c r="AZT3" s="13"/>
      <c r="AZU3" s="13"/>
      <c r="AZV3" s="13"/>
      <c r="AZW3" s="13"/>
      <c r="AZX3" s="13"/>
      <c r="AZY3" s="13"/>
      <c r="AZZ3" s="13"/>
      <c r="BAA3" s="13"/>
      <c r="BAB3" s="13"/>
      <c r="BAC3" s="13"/>
      <c r="BAD3" s="13"/>
      <c r="BAE3" s="13"/>
      <c r="BAF3" s="13"/>
      <c r="BAG3" s="13"/>
      <c r="BAH3" s="13"/>
      <c r="BAI3" s="13"/>
      <c r="BAJ3" s="13"/>
      <c r="BAK3" s="13"/>
      <c r="BAL3" s="13"/>
      <c r="BAM3" s="13"/>
      <c r="BAN3" s="13"/>
      <c r="BAO3" s="13"/>
      <c r="BAP3" s="13"/>
      <c r="BAQ3" s="13"/>
      <c r="BAR3" s="13"/>
      <c r="BAS3" s="13"/>
      <c r="BAT3" s="13"/>
      <c r="BAU3" s="13"/>
      <c r="BAV3" s="13"/>
      <c r="BAW3" s="13"/>
      <c r="BAX3" s="13"/>
      <c r="BAY3" s="13"/>
      <c r="BAZ3" s="13"/>
      <c r="BBA3" s="13"/>
      <c r="BBB3" s="13"/>
      <c r="BBC3" s="13"/>
      <c r="BBD3" s="13"/>
      <c r="BBE3" s="13"/>
      <c r="BBF3" s="13"/>
      <c r="BBG3" s="13"/>
      <c r="BBH3" s="13"/>
      <c r="BBI3" s="13"/>
      <c r="BBJ3" s="13"/>
      <c r="BBK3" s="13"/>
      <c r="BBL3" s="13"/>
      <c r="BBM3" s="13"/>
      <c r="BBN3" s="13"/>
      <c r="BBO3" s="13"/>
      <c r="BBP3" s="13"/>
      <c r="BBQ3" s="13"/>
      <c r="BBR3" s="13"/>
      <c r="BBS3" s="13"/>
      <c r="BBT3" s="13"/>
      <c r="BBU3" s="13"/>
      <c r="BBV3" s="13"/>
      <c r="BBW3" s="13"/>
      <c r="BBX3" s="13"/>
      <c r="BBY3" s="13"/>
      <c r="BBZ3" s="13"/>
      <c r="BCA3" s="13"/>
      <c r="BCB3" s="13"/>
      <c r="BCC3" s="13"/>
      <c r="BCD3" s="13"/>
      <c r="BCE3" s="13"/>
      <c r="BCF3" s="13"/>
      <c r="BCG3" s="13"/>
      <c r="BCH3" s="13"/>
      <c r="BCI3" s="13"/>
      <c r="BCJ3" s="13"/>
      <c r="BCK3" s="13"/>
      <c r="BCL3" s="13"/>
      <c r="BCM3" s="13"/>
      <c r="BCN3" s="13"/>
      <c r="BCO3" s="13"/>
      <c r="BCP3" s="13"/>
      <c r="BCQ3" s="13"/>
      <c r="BCR3" s="13"/>
      <c r="BCS3" s="13"/>
      <c r="BCT3" s="13"/>
      <c r="BCU3" s="13"/>
      <c r="BCV3" s="13"/>
      <c r="BCW3" s="13"/>
      <c r="BCX3" s="13"/>
      <c r="BCY3" s="13"/>
      <c r="BCZ3" s="13"/>
      <c r="BDA3" s="13"/>
      <c r="BDB3" s="13"/>
      <c r="BDC3" s="13"/>
      <c r="BDD3" s="13"/>
      <c r="BDE3" s="13"/>
      <c r="BDF3" s="13"/>
      <c r="BDG3" s="13"/>
      <c r="BDH3" s="13"/>
      <c r="BDI3" s="13"/>
      <c r="BDJ3" s="13"/>
      <c r="BDK3" s="13"/>
      <c r="BDL3" s="13"/>
      <c r="BDM3" s="13"/>
      <c r="BDN3" s="13"/>
      <c r="BDO3" s="13"/>
      <c r="BDP3" s="13"/>
      <c r="BDQ3" s="13"/>
      <c r="BDR3" s="13"/>
      <c r="BDS3" s="13"/>
      <c r="BDT3" s="13"/>
      <c r="BDU3" s="13"/>
      <c r="BDV3" s="13"/>
      <c r="BDW3" s="13"/>
      <c r="BDX3" s="13"/>
      <c r="BDY3" s="13"/>
      <c r="BDZ3" s="13"/>
      <c r="BEA3" s="13"/>
      <c r="BEB3" s="13"/>
      <c r="BEC3" s="13"/>
      <c r="BED3" s="13"/>
      <c r="BEE3" s="13"/>
      <c r="BEF3" s="13"/>
      <c r="BEG3" s="13"/>
      <c r="BEH3" s="13"/>
      <c r="BEI3" s="13"/>
      <c r="BEJ3" s="13"/>
      <c r="BEK3" s="13"/>
      <c r="BEL3" s="13"/>
      <c r="BEM3" s="13"/>
      <c r="BEN3" s="13"/>
      <c r="BEO3" s="13"/>
      <c r="BEP3" s="13"/>
      <c r="BEQ3" s="13"/>
      <c r="BER3" s="13"/>
      <c r="BES3" s="13"/>
      <c r="BET3" s="13"/>
      <c r="BEU3" s="13"/>
      <c r="BEV3" s="13"/>
      <c r="BEW3" s="13"/>
      <c r="BEX3" s="13"/>
      <c r="BEY3" s="13"/>
      <c r="BEZ3" s="13"/>
      <c r="BFA3" s="13"/>
      <c r="BFB3" s="13"/>
      <c r="BFC3" s="13"/>
      <c r="BFD3" s="13"/>
      <c r="BFE3" s="13"/>
      <c r="BFF3" s="13"/>
      <c r="BFG3" s="13"/>
      <c r="BFH3" s="13"/>
      <c r="BFI3" s="13"/>
      <c r="BFJ3" s="13"/>
      <c r="BFK3" s="13"/>
      <c r="BFL3" s="13"/>
      <c r="BFM3" s="13"/>
      <c r="BFN3" s="13"/>
      <c r="BFO3" s="13"/>
      <c r="BFP3" s="13"/>
      <c r="BFQ3" s="13"/>
      <c r="BFR3" s="13"/>
      <c r="BFS3" s="13"/>
      <c r="BFT3" s="13"/>
      <c r="BFU3" s="13"/>
      <c r="BFV3" s="13"/>
      <c r="BFW3" s="13"/>
      <c r="BFX3" s="13"/>
      <c r="BFY3" s="13"/>
      <c r="BFZ3" s="13"/>
      <c r="BGA3" s="13"/>
      <c r="BGB3" s="13"/>
      <c r="BGC3" s="13"/>
      <c r="BGD3" s="13"/>
      <c r="BGE3" s="13"/>
      <c r="BGF3" s="13"/>
      <c r="BGG3" s="13"/>
      <c r="BGH3" s="13"/>
      <c r="BGI3" s="13"/>
      <c r="BGJ3" s="13"/>
      <c r="BGK3" s="13"/>
      <c r="BGL3" s="13"/>
      <c r="BGM3" s="13"/>
      <c r="BGN3" s="13"/>
      <c r="BGO3" s="13"/>
      <c r="BGP3" s="13"/>
      <c r="BGQ3" s="13"/>
      <c r="BGR3" s="13"/>
      <c r="BGS3" s="13"/>
      <c r="BGT3" s="13"/>
      <c r="BGU3" s="13"/>
      <c r="BGV3" s="13"/>
      <c r="BGW3" s="13"/>
      <c r="BGX3" s="13"/>
      <c r="BGY3" s="13"/>
      <c r="BGZ3" s="13"/>
      <c r="BHA3" s="13"/>
      <c r="BHB3" s="13"/>
      <c r="BHC3" s="13"/>
      <c r="BHD3" s="13"/>
      <c r="BHE3" s="13"/>
      <c r="BHF3" s="13"/>
      <c r="BHG3" s="13"/>
      <c r="BHH3" s="13"/>
      <c r="BHI3" s="13"/>
      <c r="BHJ3" s="13"/>
      <c r="BHK3" s="13"/>
      <c r="BHL3" s="13"/>
      <c r="BHM3" s="13"/>
      <c r="BHN3" s="13"/>
      <c r="BHO3" s="13"/>
      <c r="BHP3" s="13"/>
      <c r="BHQ3" s="13"/>
      <c r="BHR3" s="13"/>
      <c r="BHS3" s="13"/>
      <c r="BHT3" s="13"/>
      <c r="BHU3" s="13"/>
      <c r="BHV3" s="13"/>
      <c r="BHW3" s="13"/>
      <c r="BHX3" s="13"/>
      <c r="BHY3" s="13"/>
      <c r="BHZ3" s="13"/>
      <c r="BIA3" s="13"/>
      <c r="BIB3" s="13"/>
      <c r="BIC3" s="13"/>
      <c r="BID3" s="13"/>
      <c r="BIE3" s="13"/>
      <c r="BIF3" s="13"/>
      <c r="BIG3" s="13"/>
      <c r="BIH3" s="13"/>
      <c r="BII3" s="13"/>
      <c r="BIJ3" s="13"/>
      <c r="BIK3" s="13"/>
      <c r="BIL3" s="13"/>
      <c r="BIM3" s="13"/>
      <c r="BIN3" s="13"/>
      <c r="BIO3" s="13"/>
      <c r="BIP3" s="13"/>
      <c r="BIQ3" s="13"/>
      <c r="BIR3" s="13"/>
      <c r="BIS3" s="13"/>
      <c r="BIT3" s="13"/>
      <c r="BIU3" s="13"/>
      <c r="BIV3" s="13"/>
      <c r="BIW3" s="13"/>
      <c r="BIX3" s="13"/>
      <c r="BIY3" s="13"/>
      <c r="BIZ3" s="13"/>
      <c r="BJA3" s="13"/>
      <c r="BJB3" s="13"/>
      <c r="BJC3" s="13"/>
      <c r="BJD3" s="13"/>
      <c r="BJE3" s="13"/>
      <c r="BJF3" s="13"/>
      <c r="BJG3" s="13"/>
      <c r="BJH3" s="13"/>
      <c r="BJI3" s="13"/>
      <c r="BJJ3" s="13"/>
      <c r="BJK3" s="13"/>
      <c r="BJL3" s="13"/>
      <c r="BJM3" s="13"/>
      <c r="BJN3" s="13"/>
      <c r="BJO3" s="13"/>
      <c r="BJP3" s="13"/>
      <c r="BJQ3" s="13"/>
      <c r="BJR3" s="13"/>
      <c r="BJS3" s="13"/>
      <c r="BJT3" s="13"/>
      <c r="BJU3" s="13"/>
      <c r="BJV3" s="13"/>
      <c r="BJW3" s="13"/>
      <c r="BJX3" s="13"/>
      <c r="BJY3" s="13"/>
      <c r="BJZ3" s="13"/>
      <c r="BKA3" s="13"/>
      <c r="BKB3" s="13"/>
      <c r="BKC3" s="13"/>
      <c r="BKD3" s="13"/>
      <c r="BKE3" s="13"/>
      <c r="BKF3" s="13"/>
      <c r="BKG3" s="13"/>
      <c r="BKH3" s="13"/>
      <c r="BKI3" s="13"/>
      <c r="BKJ3" s="13"/>
      <c r="BKK3" s="13"/>
      <c r="BKL3" s="13"/>
      <c r="BKM3" s="13"/>
      <c r="BKN3" s="13"/>
      <c r="BKO3" s="13"/>
      <c r="BKP3" s="13"/>
      <c r="BKQ3" s="13"/>
      <c r="BKR3" s="13"/>
      <c r="BKS3" s="13"/>
      <c r="BKT3" s="13"/>
      <c r="BKU3" s="13"/>
      <c r="BKV3" s="13"/>
      <c r="BKW3" s="13"/>
      <c r="BKX3" s="13"/>
      <c r="BKY3" s="13"/>
      <c r="BKZ3" s="13"/>
      <c r="BLA3" s="13"/>
      <c r="BLB3" s="13"/>
      <c r="BLC3" s="13"/>
      <c r="BLD3" s="13"/>
      <c r="BLE3" s="13"/>
      <c r="BLF3" s="13"/>
      <c r="BLG3" s="13"/>
      <c r="BLH3" s="13"/>
      <c r="BLI3" s="13"/>
      <c r="BLJ3" s="13"/>
      <c r="BLK3" s="13"/>
      <c r="BLL3" s="13"/>
      <c r="BLM3" s="13"/>
      <c r="BLN3" s="13"/>
      <c r="BLO3" s="13"/>
      <c r="BLP3" s="13"/>
      <c r="BLQ3" s="13"/>
      <c r="BLR3" s="13"/>
      <c r="BLS3" s="13"/>
      <c r="BLT3" s="13"/>
      <c r="BLU3" s="13"/>
      <c r="BLV3" s="13"/>
      <c r="BLW3" s="13"/>
      <c r="BLX3" s="13"/>
      <c r="BLY3" s="13"/>
      <c r="BLZ3" s="13"/>
      <c r="BMA3" s="13"/>
      <c r="BMB3" s="13"/>
      <c r="BMC3" s="13"/>
      <c r="BMD3" s="13"/>
      <c r="BME3" s="13"/>
      <c r="BMF3" s="13"/>
      <c r="BMG3" s="13"/>
      <c r="BMH3" s="13"/>
      <c r="BMI3" s="13"/>
      <c r="BMJ3" s="13"/>
      <c r="BMK3" s="13"/>
      <c r="BML3" s="13"/>
      <c r="BMM3" s="13"/>
      <c r="BMN3" s="13"/>
      <c r="BMO3" s="13"/>
      <c r="BMP3" s="13"/>
      <c r="BMQ3" s="13"/>
      <c r="BMR3" s="13"/>
      <c r="BMS3" s="13"/>
      <c r="BMT3" s="13"/>
      <c r="BMU3" s="13"/>
      <c r="BMV3" s="13"/>
      <c r="BMW3" s="13"/>
      <c r="BMX3" s="13"/>
      <c r="BMY3" s="13"/>
      <c r="BMZ3" s="13"/>
      <c r="BNA3" s="13"/>
      <c r="BNB3" s="13"/>
      <c r="BNC3" s="13"/>
      <c r="BND3" s="13"/>
      <c r="BNE3" s="13"/>
      <c r="BNF3" s="13"/>
      <c r="BNG3" s="13"/>
      <c r="BNH3" s="13"/>
      <c r="BNI3" s="13"/>
      <c r="BNJ3" s="13"/>
      <c r="BNK3" s="13"/>
      <c r="BNL3" s="13"/>
      <c r="BNM3" s="13"/>
      <c r="BNN3" s="13"/>
      <c r="BNO3" s="13"/>
      <c r="BNP3" s="13"/>
      <c r="BNQ3" s="13"/>
      <c r="BNR3" s="13"/>
      <c r="BNS3" s="13"/>
      <c r="BNT3" s="13"/>
      <c r="BNU3" s="13"/>
      <c r="BNV3" s="13"/>
      <c r="BNW3" s="13"/>
      <c r="BNX3" s="13"/>
      <c r="BNY3" s="13"/>
      <c r="BNZ3" s="13"/>
      <c r="BOA3" s="13"/>
      <c r="BOB3" s="13"/>
      <c r="BOC3" s="13"/>
      <c r="BOD3" s="13"/>
      <c r="BOE3" s="13"/>
      <c r="BOF3" s="13"/>
      <c r="BOG3" s="13"/>
      <c r="BOH3" s="13"/>
      <c r="BOI3" s="13"/>
      <c r="BOJ3" s="13"/>
      <c r="BOK3" s="13"/>
      <c r="BOL3" s="13"/>
      <c r="BOM3" s="13"/>
      <c r="BON3" s="13"/>
      <c r="BOO3" s="13"/>
      <c r="BOP3" s="13"/>
      <c r="BOQ3" s="13"/>
      <c r="BOR3" s="13"/>
      <c r="BOS3" s="13"/>
      <c r="BOT3" s="13"/>
      <c r="BOU3" s="13"/>
      <c r="BOV3" s="13"/>
      <c r="BOW3" s="13"/>
      <c r="BOX3" s="13"/>
      <c r="BOY3" s="13"/>
      <c r="BOZ3" s="13"/>
      <c r="BPA3" s="13"/>
      <c r="BPB3" s="13"/>
      <c r="BPC3" s="13"/>
      <c r="BPD3" s="13"/>
      <c r="BPE3" s="13"/>
      <c r="BPF3" s="13"/>
      <c r="BPG3" s="13"/>
      <c r="BPH3" s="13"/>
      <c r="BPI3" s="13"/>
      <c r="BPJ3" s="13"/>
      <c r="BPK3" s="13"/>
      <c r="BPL3" s="13"/>
      <c r="BPM3" s="13"/>
      <c r="BPN3" s="13"/>
      <c r="BPO3" s="13"/>
      <c r="BPP3" s="13"/>
      <c r="BPQ3" s="13"/>
      <c r="BPR3" s="13"/>
      <c r="BPS3" s="13"/>
      <c r="BPT3" s="13"/>
      <c r="BPU3" s="13"/>
      <c r="BPV3" s="13"/>
      <c r="BPW3" s="13"/>
      <c r="BPX3" s="13"/>
      <c r="BPY3" s="13"/>
      <c r="BPZ3" s="13"/>
      <c r="BQA3" s="13"/>
      <c r="BQB3" s="13"/>
      <c r="BQC3" s="13"/>
      <c r="BQD3" s="13"/>
      <c r="BQE3" s="13"/>
      <c r="BQF3" s="13"/>
      <c r="BQG3" s="13"/>
      <c r="BQH3" s="13"/>
      <c r="BQI3" s="13"/>
      <c r="BQJ3" s="13"/>
      <c r="BQK3" s="13"/>
      <c r="BQL3" s="13"/>
      <c r="BQM3" s="13"/>
      <c r="BQN3" s="13"/>
      <c r="BQO3" s="13"/>
      <c r="BQP3" s="13"/>
      <c r="BQQ3" s="13"/>
      <c r="BQR3" s="13"/>
      <c r="BQS3" s="13"/>
      <c r="BQT3" s="13"/>
      <c r="BQU3" s="13"/>
      <c r="BQV3" s="13"/>
      <c r="BQW3" s="13"/>
      <c r="BQX3" s="13"/>
      <c r="BQY3" s="13"/>
      <c r="BQZ3" s="13"/>
      <c r="BRA3" s="13"/>
      <c r="BRB3" s="13"/>
      <c r="BRC3" s="13"/>
      <c r="BRD3" s="13"/>
      <c r="BRE3" s="13"/>
      <c r="BRF3" s="13"/>
      <c r="BRG3" s="13"/>
      <c r="BRH3" s="13"/>
      <c r="BRI3" s="13"/>
      <c r="BRJ3" s="13"/>
      <c r="BRK3" s="13"/>
      <c r="BRL3" s="13"/>
      <c r="BRM3" s="13"/>
      <c r="BRN3" s="13"/>
      <c r="BRO3" s="13"/>
      <c r="BRP3" s="13"/>
      <c r="BRQ3" s="13"/>
      <c r="BRR3" s="13"/>
      <c r="BRS3" s="13"/>
      <c r="BRT3" s="13"/>
      <c r="BRU3" s="13"/>
      <c r="BRV3" s="13"/>
      <c r="BRW3" s="13"/>
      <c r="BRX3" s="13"/>
      <c r="BRY3" s="13"/>
      <c r="BRZ3" s="13"/>
      <c r="BSA3" s="13"/>
      <c r="BSB3" s="13"/>
      <c r="BSC3" s="13"/>
      <c r="BSD3" s="13"/>
      <c r="BSE3" s="13"/>
      <c r="BSF3" s="13"/>
      <c r="BSG3" s="13"/>
      <c r="BSH3" s="13"/>
      <c r="BSI3" s="13"/>
      <c r="BSJ3" s="13"/>
      <c r="BSK3" s="13"/>
      <c r="BSL3" s="13"/>
      <c r="BSM3" s="13"/>
      <c r="BSN3" s="13"/>
      <c r="BSO3" s="13"/>
      <c r="BSP3" s="13"/>
      <c r="BSQ3" s="13"/>
      <c r="BSR3" s="13"/>
      <c r="BSS3" s="13"/>
      <c r="BST3" s="13"/>
      <c r="BSU3" s="13"/>
      <c r="BSV3" s="13"/>
      <c r="BSW3" s="13"/>
      <c r="BSX3" s="13"/>
      <c r="BSY3" s="13"/>
      <c r="BSZ3" s="13"/>
      <c r="BTA3" s="13"/>
      <c r="BTB3" s="13"/>
      <c r="BTC3" s="13"/>
      <c r="BTD3" s="13"/>
      <c r="BTE3" s="13"/>
      <c r="BTF3" s="13"/>
      <c r="BTG3" s="13"/>
      <c r="BTH3" s="13"/>
      <c r="BTI3" s="13"/>
      <c r="BTJ3" s="13"/>
      <c r="BTK3" s="13"/>
      <c r="BTL3" s="13"/>
      <c r="BTM3" s="13"/>
      <c r="BTN3" s="13"/>
      <c r="BTO3" s="13"/>
      <c r="BTP3" s="13"/>
      <c r="BTQ3" s="13"/>
      <c r="BTR3" s="13"/>
      <c r="BTS3" s="13"/>
      <c r="BTT3" s="13"/>
      <c r="BTU3" s="13"/>
      <c r="BTV3" s="13"/>
      <c r="BTW3" s="13"/>
      <c r="BTX3" s="13"/>
      <c r="BTY3" s="13"/>
      <c r="BTZ3" s="13"/>
      <c r="BUA3" s="13"/>
      <c r="BUB3" s="13"/>
      <c r="BUC3" s="13"/>
      <c r="BUD3" s="13"/>
      <c r="BUE3" s="13"/>
      <c r="BUF3" s="13"/>
      <c r="BUG3" s="13"/>
      <c r="BUH3" s="13"/>
      <c r="BUI3" s="13"/>
      <c r="BUJ3" s="13"/>
      <c r="BUK3" s="13"/>
      <c r="BUL3" s="13"/>
      <c r="BUM3" s="13"/>
      <c r="BUN3" s="13"/>
      <c r="BUO3" s="13"/>
      <c r="BUP3" s="13"/>
      <c r="BUQ3" s="13"/>
      <c r="BUR3" s="13"/>
      <c r="BUS3" s="13"/>
      <c r="BUT3" s="13"/>
      <c r="BUU3" s="13"/>
      <c r="BUV3" s="13"/>
      <c r="BUW3" s="13"/>
      <c r="BUX3" s="13"/>
      <c r="BUY3" s="13"/>
      <c r="BUZ3" s="13"/>
      <c r="BVA3" s="13"/>
      <c r="BVB3" s="13"/>
      <c r="BVC3" s="13"/>
      <c r="BVD3" s="13"/>
      <c r="BVE3" s="13"/>
      <c r="BVF3" s="13"/>
      <c r="BVG3" s="13"/>
      <c r="BVH3" s="13"/>
      <c r="BVI3" s="13"/>
      <c r="BVJ3" s="13"/>
      <c r="BVK3" s="13"/>
      <c r="BVL3" s="13"/>
      <c r="BVM3" s="13"/>
      <c r="BVN3" s="13"/>
      <c r="BVO3" s="13"/>
      <c r="BVP3" s="13"/>
      <c r="BVQ3" s="13"/>
      <c r="BVR3" s="13"/>
      <c r="BVS3" s="13"/>
      <c r="BVT3" s="13"/>
      <c r="BVU3" s="13"/>
      <c r="BVV3" s="13"/>
      <c r="BVW3" s="13"/>
      <c r="BVX3" s="13"/>
      <c r="BVY3" s="13"/>
      <c r="BVZ3" s="13"/>
      <c r="BWA3" s="13"/>
      <c r="BWB3" s="13"/>
      <c r="BWC3" s="13"/>
      <c r="BWD3" s="13"/>
      <c r="BWE3" s="13"/>
      <c r="BWF3" s="13"/>
      <c r="BWG3" s="13"/>
      <c r="BWH3" s="13"/>
      <c r="BWI3" s="13"/>
      <c r="BWJ3" s="13"/>
      <c r="BWK3" s="13"/>
      <c r="BWL3" s="13"/>
      <c r="BWM3" s="13"/>
      <c r="BWN3" s="13"/>
      <c r="BWO3" s="13"/>
      <c r="BWP3" s="13"/>
      <c r="BWQ3" s="13"/>
      <c r="BWR3" s="13"/>
      <c r="BWS3" s="13"/>
      <c r="BWT3" s="13"/>
      <c r="BWU3" s="13"/>
      <c r="BWV3" s="13"/>
      <c r="BWW3" s="13"/>
      <c r="BWX3" s="13"/>
      <c r="BWY3" s="13"/>
      <c r="BWZ3" s="13"/>
      <c r="BXA3" s="13"/>
      <c r="BXB3" s="13"/>
      <c r="BXC3" s="13"/>
      <c r="BXD3" s="13"/>
      <c r="BXE3" s="13"/>
      <c r="BXF3" s="13"/>
      <c r="BXG3" s="13"/>
      <c r="BXH3" s="13"/>
      <c r="BXI3" s="13"/>
      <c r="BXJ3" s="13"/>
      <c r="BXK3" s="13"/>
      <c r="BXL3" s="13"/>
      <c r="BXM3" s="13"/>
      <c r="BXN3" s="13"/>
      <c r="BXO3" s="13"/>
      <c r="BXP3" s="13"/>
      <c r="BXQ3" s="13"/>
      <c r="BXR3" s="13"/>
      <c r="BXS3" s="13"/>
      <c r="BXT3" s="13"/>
      <c r="BXU3" s="13"/>
      <c r="BXV3" s="13"/>
      <c r="BXW3" s="13"/>
      <c r="BXX3" s="13"/>
      <c r="BXY3" s="13"/>
      <c r="BXZ3" s="13"/>
      <c r="BYA3" s="13"/>
      <c r="BYB3" s="13"/>
      <c r="BYC3" s="13"/>
      <c r="BYD3" s="13"/>
      <c r="BYE3" s="13"/>
      <c r="BYF3" s="13"/>
      <c r="BYG3" s="13"/>
      <c r="BYH3" s="13"/>
      <c r="BYI3" s="13"/>
      <c r="BYJ3" s="13"/>
      <c r="BYK3" s="13"/>
      <c r="BYL3" s="13"/>
      <c r="BYM3" s="13"/>
      <c r="BYN3" s="13"/>
      <c r="BYO3" s="13"/>
      <c r="BYP3" s="13"/>
      <c r="BYQ3" s="13"/>
      <c r="BYR3" s="13"/>
      <c r="BYS3" s="13"/>
      <c r="BYT3" s="13"/>
      <c r="BYU3" s="13"/>
      <c r="BYV3" s="13"/>
      <c r="BYW3" s="13"/>
      <c r="BYX3" s="13"/>
      <c r="BYY3" s="13"/>
      <c r="BYZ3" s="13"/>
      <c r="BZA3" s="13"/>
      <c r="BZB3" s="13"/>
      <c r="BZC3" s="13"/>
      <c r="BZD3" s="13"/>
      <c r="BZE3" s="13"/>
      <c r="BZF3" s="13"/>
      <c r="BZG3" s="13"/>
      <c r="BZH3" s="13"/>
      <c r="BZI3" s="13"/>
      <c r="BZJ3" s="13"/>
      <c r="BZK3" s="13"/>
      <c r="BZL3" s="13"/>
      <c r="BZM3" s="13"/>
      <c r="BZN3" s="13"/>
      <c r="BZO3" s="13"/>
      <c r="BZP3" s="13"/>
      <c r="BZQ3" s="13"/>
      <c r="BZR3" s="13"/>
      <c r="BZS3" s="13"/>
      <c r="BZT3" s="13"/>
      <c r="BZU3" s="13"/>
      <c r="BZV3" s="13"/>
      <c r="BZW3" s="13"/>
      <c r="BZX3" s="13"/>
      <c r="BZY3" s="13"/>
      <c r="BZZ3" s="13"/>
      <c r="CAA3" s="13"/>
      <c r="CAB3" s="13"/>
      <c r="CAC3" s="13"/>
      <c r="CAD3" s="13"/>
      <c r="CAE3" s="13"/>
      <c r="CAF3" s="13"/>
      <c r="CAG3" s="13"/>
      <c r="CAH3" s="13"/>
      <c r="CAI3" s="13"/>
      <c r="CAJ3" s="13"/>
      <c r="CAK3" s="13"/>
      <c r="CAL3" s="13"/>
      <c r="CAM3" s="13"/>
      <c r="CAN3" s="13"/>
      <c r="CAO3" s="13"/>
      <c r="CAP3" s="13"/>
      <c r="CAQ3" s="13"/>
      <c r="CAR3" s="13"/>
      <c r="CAS3" s="13"/>
      <c r="CAT3" s="13"/>
      <c r="CAU3" s="13"/>
      <c r="CAV3" s="13"/>
      <c r="CAW3" s="13"/>
      <c r="CAX3" s="13"/>
      <c r="CAY3" s="13"/>
      <c r="CAZ3" s="13"/>
      <c r="CBA3" s="13"/>
      <c r="CBB3" s="13"/>
      <c r="CBC3" s="13"/>
      <c r="CBD3" s="13"/>
      <c r="CBE3" s="13"/>
      <c r="CBF3" s="13"/>
      <c r="CBG3" s="13"/>
      <c r="CBH3" s="13"/>
      <c r="CBI3" s="13"/>
      <c r="CBJ3" s="13"/>
      <c r="CBK3" s="13"/>
      <c r="CBL3" s="13"/>
      <c r="CBM3" s="13"/>
      <c r="CBN3" s="13"/>
      <c r="CBO3" s="13"/>
      <c r="CBP3" s="13"/>
      <c r="CBQ3" s="13"/>
      <c r="CBR3" s="13"/>
      <c r="CBS3" s="13"/>
      <c r="CBT3" s="13"/>
      <c r="CBU3" s="13"/>
      <c r="CBV3" s="13"/>
      <c r="CBW3" s="13"/>
      <c r="CBX3" s="13"/>
      <c r="CBY3" s="13"/>
      <c r="CBZ3" s="13"/>
      <c r="CCA3" s="13"/>
      <c r="CCB3" s="13"/>
      <c r="CCC3" s="13"/>
      <c r="CCD3" s="13"/>
      <c r="CCE3" s="13"/>
      <c r="CCF3" s="13"/>
      <c r="CCG3" s="13"/>
      <c r="CCH3" s="13"/>
      <c r="CCI3" s="13"/>
      <c r="CCJ3" s="13"/>
      <c r="CCK3" s="13"/>
      <c r="CCL3" s="13"/>
      <c r="CCM3" s="13"/>
      <c r="CCN3" s="13"/>
      <c r="CCO3" s="13"/>
      <c r="CCP3" s="13"/>
      <c r="CCQ3" s="13"/>
      <c r="CCR3" s="13"/>
      <c r="CCS3" s="13"/>
      <c r="CCT3" s="13"/>
      <c r="CCU3" s="13"/>
      <c r="CCV3" s="13"/>
      <c r="CCW3" s="13"/>
      <c r="CCX3" s="13"/>
      <c r="CCY3" s="13"/>
      <c r="CCZ3" s="13"/>
      <c r="CDA3" s="13"/>
      <c r="CDB3" s="13"/>
      <c r="CDC3" s="13"/>
      <c r="CDD3" s="13"/>
      <c r="CDE3" s="13"/>
      <c r="CDF3" s="13"/>
      <c r="CDG3" s="13"/>
      <c r="CDH3" s="13"/>
      <c r="CDI3" s="13"/>
      <c r="CDJ3" s="13"/>
      <c r="CDK3" s="13"/>
      <c r="CDL3" s="13"/>
      <c r="CDM3" s="13"/>
      <c r="CDN3" s="13"/>
      <c r="CDO3" s="13"/>
      <c r="CDP3" s="13"/>
      <c r="CDQ3" s="13"/>
      <c r="CDR3" s="13"/>
      <c r="CDS3" s="13"/>
      <c r="CDT3" s="13"/>
      <c r="CDU3" s="13"/>
      <c r="CDV3" s="13"/>
      <c r="CDW3" s="13"/>
      <c r="CDX3" s="13"/>
      <c r="CDY3" s="13"/>
      <c r="CDZ3" s="13"/>
      <c r="CEA3" s="13"/>
      <c r="CEB3" s="13"/>
      <c r="CEC3" s="13"/>
      <c r="CED3" s="13"/>
      <c r="CEE3" s="13"/>
      <c r="CEF3" s="13"/>
      <c r="CEG3" s="13"/>
      <c r="CEH3" s="13"/>
      <c r="CEI3" s="13"/>
      <c r="CEJ3" s="13"/>
      <c r="CEK3" s="13"/>
      <c r="CEL3" s="13"/>
      <c r="CEM3" s="13"/>
      <c r="CEN3" s="13"/>
      <c r="CEO3" s="13"/>
      <c r="CEP3" s="13"/>
      <c r="CEQ3" s="13"/>
      <c r="CER3" s="13"/>
      <c r="CES3" s="13"/>
      <c r="CET3" s="13"/>
      <c r="CEU3" s="13"/>
      <c r="CEV3" s="13"/>
      <c r="CEW3" s="13"/>
      <c r="CEX3" s="13"/>
      <c r="CEY3" s="13"/>
      <c r="CEZ3" s="13"/>
      <c r="CFA3" s="13"/>
      <c r="CFB3" s="13"/>
      <c r="CFC3" s="13"/>
      <c r="CFD3" s="13"/>
      <c r="CFE3" s="13"/>
      <c r="CFF3" s="13"/>
      <c r="CFG3" s="13"/>
      <c r="CFH3" s="13"/>
      <c r="CFI3" s="13"/>
      <c r="CFJ3" s="13"/>
      <c r="CFK3" s="13"/>
      <c r="CFL3" s="13"/>
      <c r="CFM3" s="13"/>
      <c r="CFN3" s="13"/>
      <c r="CFO3" s="13"/>
      <c r="CFP3" s="13"/>
      <c r="CFQ3" s="13"/>
      <c r="CFR3" s="13"/>
      <c r="CFS3" s="13"/>
      <c r="CFT3" s="13"/>
      <c r="CFU3" s="13"/>
      <c r="CFV3" s="13"/>
      <c r="CFW3" s="13"/>
      <c r="CFX3" s="13"/>
      <c r="CFY3" s="13"/>
      <c r="CFZ3" s="13"/>
      <c r="CGA3" s="13"/>
      <c r="CGB3" s="13"/>
      <c r="CGC3" s="13"/>
      <c r="CGD3" s="13"/>
      <c r="CGE3" s="13"/>
      <c r="CGF3" s="13"/>
      <c r="CGG3" s="13"/>
      <c r="CGH3" s="13"/>
      <c r="CGI3" s="13"/>
      <c r="CGJ3" s="13"/>
      <c r="CGK3" s="13"/>
      <c r="CGL3" s="13"/>
      <c r="CGM3" s="13"/>
      <c r="CGN3" s="13"/>
      <c r="CGO3" s="13"/>
      <c r="CGP3" s="13"/>
      <c r="CGQ3" s="13"/>
      <c r="CGR3" s="13"/>
      <c r="CGS3" s="13"/>
      <c r="CGT3" s="13"/>
      <c r="CGU3" s="13"/>
      <c r="CGV3" s="13"/>
      <c r="CGW3" s="13"/>
      <c r="CGX3" s="13"/>
      <c r="CGY3" s="13"/>
      <c r="CGZ3" s="13"/>
      <c r="CHA3" s="13"/>
      <c r="CHB3" s="13"/>
      <c r="CHC3" s="13"/>
      <c r="CHD3" s="13"/>
      <c r="CHE3" s="13"/>
      <c r="CHF3" s="13"/>
      <c r="CHG3" s="13"/>
      <c r="CHH3" s="13"/>
      <c r="CHI3" s="13"/>
      <c r="CHJ3" s="13"/>
      <c r="CHK3" s="13"/>
      <c r="CHL3" s="13"/>
      <c r="CHM3" s="13"/>
      <c r="CHN3" s="13"/>
      <c r="CHO3" s="13"/>
      <c r="CHP3" s="13"/>
      <c r="CHQ3" s="13"/>
      <c r="CHR3" s="13"/>
      <c r="CHS3" s="13"/>
      <c r="CHT3" s="13"/>
      <c r="CHU3" s="13"/>
      <c r="CHV3" s="13"/>
      <c r="CHW3" s="13"/>
      <c r="CHX3" s="13"/>
      <c r="CHY3" s="13"/>
      <c r="CHZ3" s="13"/>
      <c r="CIA3" s="13"/>
      <c r="CIB3" s="13"/>
      <c r="CIC3" s="13"/>
      <c r="CID3" s="13"/>
      <c r="CIE3" s="13"/>
      <c r="CIF3" s="13"/>
      <c r="CIG3" s="13"/>
      <c r="CIH3" s="13"/>
      <c r="CII3" s="13"/>
      <c r="CIJ3" s="13"/>
      <c r="CIK3" s="13"/>
      <c r="CIL3" s="13"/>
      <c r="CIM3" s="13"/>
      <c r="CIN3" s="13"/>
      <c r="CIO3" s="13"/>
      <c r="CIP3" s="13"/>
      <c r="CIQ3" s="13"/>
      <c r="CIR3" s="13"/>
      <c r="CIS3" s="13"/>
      <c r="CIT3" s="13"/>
      <c r="CIU3" s="13"/>
      <c r="CIV3" s="13"/>
      <c r="CIW3" s="13"/>
      <c r="CIX3" s="13"/>
      <c r="CIY3" s="13"/>
      <c r="CIZ3" s="13"/>
      <c r="CJA3" s="13"/>
      <c r="CJB3" s="13"/>
      <c r="CJC3" s="13"/>
      <c r="CJD3" s="13"/>
      <c r="CJE3" s="13"/>
      <c r="CJF3" s="13"/>
      <c r="CJG3" s="13"/>
      <c r="CJH3" s="13"/>
      <c r="CJI3" s="13"/>
      <c r="CJJ3" s="13"/>
      <c r="CJK3" s="13"/>
      <c r="CJL3" s="13"/>
      <c r="CJM3" s="13"/>
      <c r="CJN3" s="13"/>
      <c r="CJO3" s="13"/>
      <c r="CJP3" s="13"/>
      <c r="CJQ3" s="13"/>
      <c r="CJR3" s="13"/>
      <c r="CJS3" s="13"/>
      <c r="CJT3" s="13"/>
      <c r="CJU3" s="13"/>
      <c r="CJV3" s="13"/>
      <c r="CJW3" s="13"/>
      <c r="CJX3" s="13"/>
      <c r="CJY3" s="13"/>
      <c r="CJZ3" s="13"/>
      <c r="CKA3" s="13"/>
      <c r="CKB3" s="13"/>
      <c r="CKC3" s="13"/>
      <c r="CKD3" s="13"/>
      <c r="CKE3" s="13"/>
      <c r="CKF3" s="13"/>
      <c r="CKG3" s="13"/>
      <c r="CKH3" s="13"/>
      <c r="CKI3" s="13"/>
      <c r="CKJ3" s="13"/>
      <c r="CKK3" s="13"/>
      <c r="CKL3" s="13"/>
      <c r="CKM3" s="13"/>
      <c r="CKN3" s="13"/>
      <c r="CKO3" s="13"/>
      <c r="CKP3" s="13"/>
      <c r="CKQ3" s="13"/>
      <c r="CKR3" s="13"/>
      <c r="CKS3" s="13"/>
      <c r="CKT3" s="13"/>
      <c r="CKU3" s="13"/>
      <c r="CKV3" s="13"/>
      <c r="CKW3" s="13"/>
      <c r="CKX3" s="13"/>
      <c r="CKY3" s="13"/>
      <c r="CKZ3" s="13"/>
      <c r="CLA3" s="13"/>
      <c r="CLB3" s="13"/>
      <c r="CLC3" s="13"/>
      <c r="CLD3" s="13"/>
      <c r="CLE3" s="13"/>
      <c r="CLF3" s="13"/>
      <c r="CLG3" s="13"/>
      <c r="CLH3" s="13"/>
      <c r="CLI3" s="13"/>
      <c r="CLJ3" s="13"/>
      <c r="CLK3" s="13"/>
      <c r="CLL3" s="13"/>
      <c r="CLM3" s="13"/>
      <c r="CLN3" s="13"/>
      <c r="CLO3" s="13"/>
      <c r="CLP3" s="13"/>
      <c r="CLQ3" s="13"/>
      <c r="CLR3" s="13"/>
      <c r="CLS3" s="13"/>
      <c r="CLT3" s="13"/>
      <c r="CLU3" s="13"/>
      <c r="CLV3" s="13"/>
      <c r="CLW3" s="13"/>
      <c r="CLX3" s="13"/>
      <c r="CLY3" s="13"/>
      <c r="CLZ3" s="13"/>
      <c r="CMA3" s="13"/>
      <c r="CMB3" s="13"/>
      <c r="CMC3" s="13"/>
      <c r="CMD3" s="13"/>
      <c r="CME3" s="13"/>
      <c r="CMF3" s="13"/>
      <c r="CMG3" s="13"/>
      <c r="CMH3" s="13"/>
      <c r="CMI3" s="13"/>
      <c r="CMJ3" s="13"/>
      <c r="CMK3" s="13"/>
      <c r="CML3" s="13"/>
      <c r="CMM3" s="13"/>
      <c r="CMN3" s="13"/>
      <c r="CMO3" s="13"/>
      <c r="CMP3" s="13"/>
      <c r="CMQ3" s="13"/>
      <c r="CMR3" s="13"/>
      <c r="CMS3" s="13"/>
      <c r="CMT3" s="13"/>
      <c r="CMU3" s="13"/>
      <c r="CMV3" s="13"/>
      <c r="CMW3" s="13"/>
      <c r="CMX3" s="13"/>
      <c r="CMY3" s="13"/>
      <c r="CMZ3" s="13"/>
      <c r="CNA3" s="13"/>
      <c r="CNB3" s="13"/>
      <c r="CNC3" s="13"/>
      <c r="CND3" s="13"/>
      <c r="CNE3" s="13"/>
      <c r="CNF3" s="13"/>
      <c r="CNG3" s="13"/>
      <c r="CNH3" s="13"/>
      <c r="CNI3" s="13"/>
      <c r="CNJ3" s="13"/>
      <c r="CNK3" s="13"/>
      <c r="CNL3" s="13"/>
      <c r="CNM3" s="13"/>
      <c r="CNN3" s="13"/>
      <c r="CNO3" s="13"/>
      <c r="CNP3" s="13"/>
      <c r="CNQ3" s="13"/>
      <c r="CNR3" s="13"/>
      <c r="CNS3" s="13"/>
      <c r="CNT3" s="13"/>
      <c r="CNU3" s="13"/>
      <c r="CNV3" s="13"/>
      <c r="CNW3" s="13"/>
      <c r="CNX3" s="13"/>
      <c r="CNY3" s="13"/>
      <c r="CNZ3" s="13"/>
      <c r="COA3" s="13"/>
      <c r="COB3" s="13"/>
      <c r="COC3" s="13"/>
      <c r="COD3" s="13"/>
      <c r="COE3" s="13"/>
      <c r="COF3" s="13"/>
      <c r="COG3" s="13"/>
      <c r="COH3" s="13"/>
      <c r="COI3" s="13"/>
      <c r="COJ3" s="13"/>
      <c r="COK3" s="13"/>
      <c r="COL3" s="13"/>
      <c r="COM3" s="13"/>
      <c r="CON3" s="13"/>
      <c r="COO3" s="13"/>
      <c r="COP3" s="13"/>
      <c r="COQ3" s="13"/>
      <c r="COR3" s="13"/>
      <c r="COS3" s="13"/>
      <c r="COT3" s="13"/>
      <c r="COU3" s="13"/>
      <c r="COV3" s="13"/>
      <c r="COW3" s="13"/>
      <c r="COX3" s="13"/>
      <c r="COY3" s="13"/>
      <c r="COZ3" s="13"/>
      <c r="CPA3" s="13"/>
      <c r="CPB3" s="13"/>
      <c r="CPC3" s="13"/>
      <c r="CPD3" s="13"/>
      <c r="CPE3" s="13"/>
      <c r="CPF3" s="13"/>
      <c r="CPG3" s="13"/>
      <c r="CPH3" s="13"/>
      <c r="CPI3" s="13"/>
      <c r="CPJ3" s="13"/>
      <c r="CPK3" s="13"/>
      <c r="CPL3" s="13"/>
      <c r="CPM3" s="13"/>
      <c r="CPN3" s="13"/>
      <c r="CPO3" s="13"/>
      <c r="CPP3" s="13"/>
      <c r="CPQ3" s="13"/>
      <c r="CPR3" s="13"/>
      <c r="CPS3" s="13"/>
      <c r="CPT3" s="13"/>
      <c r="CPU3" s="13"/>
      <c r="CPV3" s="13"/>
      <c r="CPW3" s="13"/>
      <c r="CPX3" s="13"/>
      <c r="CPY3" s="13"/>
      <c r="CPZ3" s="13"/>
      <c r="CQA3" s="13"/>
      <c r="CQB3" s="13"/>
      <c r="CQC3" s="13"/>
      <c r="CQD3" s="13"/>
      <c r="CQE3" s="13"/>
      <c r="CQF3" s="13"/>
      <c r="CQG3" s="13"/>
      <c r="CQH3" s="13"/>
      <c r="CQI3" s="13"/>
      <c r="CQJ3" s="13"/>
      <c r="CQK3" s="13"/>
      <c r="CQL3" s="13"/>
      <c r="CQM3" s="13"/>
      <c r="CQN3" s="13"/>
      <c r="CQO3" s="13"/>
      <c r="CQP3" s="13"/>
      <c r="CQQ3" s="13"/>
      <c r="CQR3" s="13"/>
      <c r="CQS3" s="13"/>
      <c r="CQT3" s="13"/>
      <c r="CQU3" s="13"/>
      <c r="CQV3" s="13"/>
      <c r="CQW3" s="13"/>
      <c r="CQX3" s="13"/>
      <c r="CQY3" s="13"/>
      <c r="CQZ3" s="13"/>
      <c r="CRA3" s="13"/>
      <c r="CRB3" s="13"/>
      <c r="CRC3" s="13"/>
      <c r="CRD3" s="13"/>
      <c r="CRE3" s="13"/>
      <c r="CRF3" s="13"/>
      <c r="CRG3" s="13"/>
      <c r="CRH3" s="13"/>
      <c r="CRI3" s="13"/>
      <c r="CRJ3" s="13"/>
      <c r="CRK3" s="13"/>
      <c r="CRL3" s="13"/>
      <c r="CRM3" s="13"/>
      <c r="CRN3" s="13"/>
      <c r="CRO3" s="13"/>
      <c r="CRP3" s="13"/>
      <c r="CRQ3" s="13"/>
      <c r="CRR3" s="13"/>
      <c r="CRS3" s="13"/>
      <c r="CRT3" s="13"/>
      <c r="CRU3" s="13"/>
      <c r="CRV3" s="13"/>
      <c r="CRW3" s="13"/>
      <c r="CRX3" s="13"/>
      <c r="CRY3" s="13"/>
      <c r="CRZ3" s="13"/>
      <c r="CSA3" s="13"/>
      <c r="CSB3" s="13"/>
      <c r="CSC3" s="13"/>
      <c r="CSD3" s="13"/>
      <c r="CSE3" s="13"/>
      <c r="CSF3" s="13"/>
      <c r="CSG3" s="13"/>
      <c r="CSH3" s="13"/>
      <c r="CSI3" s="13"/>
      <c r="CSJ3" s="13"/>
      <c r="CSK3" s="13"/>
      <c r="CSL3" s="13"/>
      <c r="CSM3" s="13"/>
      <c r="CSN3" s="13"/>
      <c r="CSO3" s="13"/>
      <c r="CSP3" s="13"/>
      <c r="CSQ3" s="13"/>
      <c r="CSR3" s="13"/>
      <c r="CSS3" s="13"/>
      <c r="CST3" s="13"/>
      <c r="CSU3" s="13"/>
      <c r="CSV3" s="13"/>
      <c r="CSW3" s="13"/>
      <c r="CSX3" s="13"/>
      <c r="CSY3" s="13"/>
      <c r="CSZ3" s="13"/>
      <c r="CTA3" s="13"/>
      <c r="CTB3" s="13"/>
      <c r="CTC3" s="13"/>
      <c r="CTD3" s="13"/>
      <c r="CTE3" s="13"/>
      <c r="CTF3" s="13"/>
      <c r="CTG3" s="13"/>
      <c r="CTH3" s="13"/>
      <c r="CTI3" s="13"/>
      <c r="CTJ3" s="13"/>
      <c r="CTK3" s="13"/>
      <c r="CTL3" s="13"/>
      <c r="CTM3" s="13"/>
      <c r="CTN3" s="13"/>
      <c r="CTO3" s="13"/>
      <c r="CTP3" s="13"/>
      <c r="CTQ3" s="13"/>
      <c r="CTR3" s="13"/>
      <c r="CTS3" s="13"/>
      <c r="CTT3" s="13"/>
      <c r="CTU3" s="13"/>
      <c r="CTV3" s="13"/>
      <c r="CTW3" s="13"/>
      <c r="CTX3" s="13"/>
      <c r="CTY3" s="13"/>
      <c r="CTZ3" s="13"/>
      <c r="CUA3" s="13"/>
      <c r="CUB3" s="13"/>
      <c r="CUC3" s="13"/>
      <c r="CUD3" s="13"/>
      <c r="CUE3" s="13"/>
      <c r="CUF3" s="13"/>
      <c r="CUG3" s="13"/>
      <c r="CUH3" s="13"/>
      <c r="CUI3" s="13"/>
      <c r="CUJ3" s="13"/>
      <c r="CUK3" s="13"/>
      <c r="CUL3" s="13"/>
      <c r="CUM3" s="13"/>
      <c r="CUN3" s="13"/>
      <c r="CUO3" s="13"/>
      <c r="CUP3" s="13"/>
      <c r="CUQ3" s="13"/>
      <c r="CUR3" s="13"/>
      <c r="CUS3" s="13"/>
      <c r="CUT3" s="13"/>
      <c r="CUU3" s="13"/>
      <c r="CUV3" s="13"/>
      <c r="CUW3" s="13"/>
      <c r="CUX3" s="13"/>
      <c r="CUY3" s="13"/>
      <c r="CUZ3" s="13"/>
      <c r="CVA3" s="13"/>
      <c r="CVB3" s="13"/>
      <c r="CVC3" s="13"/>
      <c r="CVD3" s="13"/>
      <c r="CVE3" s="13"/>
      <c r="CVF3" s="13"/>
      <c r="CVG3" s="13"/>
      <c r="CVH3" s="13"/>
      <c r="CVI3" s="13"/>
      <c r="CVJ3" s="13"/>
      <c r="CVK3" s="13"/>
      <c r="CVL3" s="13"/>
      <c r="CVM3" s="13"/>
      <c r="CVN3" s="13"/>
      <c r="CVO3" s="13"/>
      <c r="CVP3" s="13"/>
      <c r="CVQ3" s="13"/>
      <c r="CVR3" s="13"/>
      <c r="CVS3" s="13"/>
      <c r="CVT3" s="13"/>
      <c r="CVU3" s="13"/>
      <c r="CVV3" s="13"/>
      <c r="CVW3" s="13"/>
      <c r="CVX3" s="13"/>
      <c r="CVY3" s="13"/>
      <c r="CVZ3" s="13"/>
      <c r="CWA3" s="13"/>
      <c r="CWB3" s="13"/>
      <c r="CWC3" s="13"/>
      <c r="CWD3" s="13"/>
      <c r="CWE3" s="13"/>
      <c r="CWF3" s="13"/>
      <c r="CWG3" s="13"/>
      <c r="CWH3" s="13"/>
      <c r="CWI3" s="13"/>
      <c r="CWJ3" s="13"/>
      <c r="CWK3" s="13"/>
      <c r="CWL3" s="13"/>
      <c r="CWM3" s="13"/>
      <c r="CWN3" s="13"/>
      <c r="CWO3" s="13"/>
      <c r="CWP3" s="13"/>
      <c r="CWQ3" s="13"/>
      <c r="CWR3" s="13"/>
      <c r="CWS3" s="13"/>
      <c r="CWT3" s="13"/>
      <c r="CWU3" s="13"/>
      <c r="CWV3" s="13"/>
      <c r="CWW3" s="13"/>
      <c r="CWX3" s="13"/>
      <c r="CWY3" s="13"/>
      <c r="CWZ3" s="13"/>
      <c r="CXA3" s="13"/>
      <c r="CXB3" s="13"/>
      <c r="CXC3" s="13"/>
      <c r="CXD3" s="13"/>
      <c r="CXE3" s="13"/>
      <c r="CXF3" s="13"/>
      <c r="CXG3" s="13"/>
      <c r="CXH3" s="13"/>
      <c r="CXI3" s="13"/>
      <c r="CXJ3" s="13"/>
      <c r="CXK3" s="13"/>
      <c r="CXL3" s="13"/>
      <c r="CXM3" s="13"/>
      <c r="CXN3" s="13"/>
      <c r="CXO3" s="13"/>
      <c r="CXP3" s="13"/>
      <c r="CXQ3" s="13"/>
      <c r="CXR3" s="13"/>
      <c r="CXS3" s="13"/>
      <c r="CXT3" s="13"/>
      <c r="CXU3" s="13"/>
      <c r="CXV3" s="13"/>
      <c r="CXW3" s="13"/>
      <c r="CXX3" s="13"/>
      <c r="CXY3" s="13"/>
      <c r="CXZ3" s="13"/>
      <c r="CYA3" s="13"/>
      <c r="CYB3" s="13"/>
      <c r="CYC3" s="13"/>
      <c r="CYD3" s="13"/>
      <c r="CYE3" s="13"/>
      <c r="CYF3" s="13"/>
      <c r="CYG3" s="13"/>
      <c r="CYH3" s="13"/>
      <c r="CYI3" s="13"/>
      <c r="CYJ3" s="13"/>
      <c r="CYK3" s="13"/>
      <c r="CYL3" s="13"/>
      <c r="CYM3" s="13"/>
      <c r="CYN3" s="13"/>
      <c r="CYO3" s="13"/>
      <c r="CYP3" s="13"/>
      <c r="CYQ3" s="13"/>
      <c r="CYR3" s="13"/>
      <c r="CYS3" s="13"/>
      <c r="CYT3" s="13"/>
      <c r="CYU3" s="13"/>
      <c r="CYV3" s="13"/>
      <c r="CYW3" s="13"/>
      <c r="CYX3" s="13"/>
      <c r="CYY3" s="13"/>
      <c r="CYZ3" s="13"/>
      <c r="CZA3" s="13"/>
      <c r="CZB3" s="13"/>
      <c r="CZC3" s="13"/>
      <c r="CZD3" s="13"/>
      <c r="CZE3" s="13"/>
      <c r="CZF3" s="13"/>
      <c r="CZG3" s="13"/>
      <c r="CZH3" s="13"/>
      <c r="CZI3" s="13"/>
      <c r="CZJ3" s="13"/>
      <c r="CZK3" s="13"/>
      <c r="CZL3" s="13"/>
      <c r="CZM3" s="13"/>
      <c r="CZN3" s="13"/>
      <c r="CZO3" s="13"/>
      <c r="CZP3" s="13"/>
      <c r="CZQ3" s="13"/>
      <c r="CZR3" s="13"/>
      <c r="CZS3" s="13"/>
      <c r="CZT3" s="13"/>
      <c r="CZU3" s="13"/>
      <c r="CZV3" s="13"/>
      <c r="CZW3" s="13"/>
      <c r="CZX3" s="13"/>
      <c r="CZY3" s="13"/>
      <c r="CZZ3" s="13"/>
      <c r="DAA3" s="13"/>
      <c r="DAB3" s="13"/>
      <c r="DAC3" s="13"/>
      <c r="DAD3" s="13"/>
      <c r="DAE3" s="13"/>
      <c r="DAF3" s="13"/>
      <c r="DAG3" s="13"/>
      <c r="DAH3" s="13"/>
      <c r="DAI3" s="13"/>
      <c r="DAJ3" s="13"/>
      <c r="DAK3" s="13"/>
      <c r="DAL3" s="13"/>
      <c r="DAM3" s="13"/>
      <c r="DAN3" s="13"/>
      <c r="DAO3" s="13"/>
      <c r="DAP3" s="13"/>
      <c r="DAQ3" s="13"/>
      <c r="DAR3" s="13"/>
      <c r="DAS3" s="13"/>
      <c r="DAT3" s="13"/>
      <c r="DAU3" s="13"/>
      <c r="DAV3" s="13"/>
      <c r="DAW3" s="13"/>
      <c r="DAX3" s="13"/>
      <c r="DAY3" s="13"/>
      <c r="DAZ3" s="13"/>
      <c r="DBA3" s="13"/>
      <c r="DBB3" s="13"/>
      <c r="DBC3" s="13"/>
      <c r="DBD3" s="13"/>
      <c r="DBE3" s="13"/>
      <c r="DBF3" s="13"/>
      <c r="DBG3" s="13"/>
      <c r="DBH3" s="13"/>
      <c r="DBI3" s="13"/>
      <c r="DBJ3" s="13"/>
      <c r="DBK3" s="13"/>
      <c r="DBL3" s="13"/>
      <c r="DBM3" s="13"/>
      <c r="DBN3" s="13"/>
      <c r="DBO3" s="13"/>
      <c r="DBP3" s="13"/>
      <c r="DBQ3" s="13"/>
      <c r="DBR3" s="13"/>
      <c r="DBS3" s="13"/>
      <c r="DBT3" s="13"/>
      <c r="DBU3" s="13"/>
      <c r="DBV3" s="13"/>
      <c r="DBW3" s="13"/>
      <c r="DBX3" s="13"/>
      <c r="DBY3" s="13"/>
      <c r="DBZ3" s="13"/>
      <c r="DCA3" s="13"/>
      <c r="DCB3" s="13"/>
      <c r="DCC3" s="13"/>
      <c r="DCD3" s="13"/>
      <c r="DCE3" s="13"/>
      <c r="DCF3" s="13"/>
      <c r="DCG3" s="13"/>
      <c r="DCH3" s="13"/>
      <c r="DCI3" s="13"/>
      <c r="DCJ3" s="13"/>
      <c r="DCK3" s="13"/>
      <c r="DCL3" s="13"/>
      <c r="DCM3" s="13"/>
      <c r="DCN3" s="13"/>
      <c r="DCO3" s="13"/>
      <c r="DCP3" s="13"/>
      <c r="DCQ3" s="13"/>
      <c r="DCR3" s="13"/>
      <c r="DCS3" s="13"/>
      <c r="DCT3" s="13"/>
      <c r="DCU3" s="13"/>
      <c r="DCV3" s="13"/>
      <c r="DCW3" s="13"/>
      <c r="DCX3" s="13"/>
      <c r="DCY3" s="13"/>
      <c r="DCZ3" s="13"/>
      <c r="DDA3" s="13"/>
      <c r="DDB3" s="13"/>
      <c r="DDC3" s="13"/>
      <c r="DDD3" s="13"/>
      <c r="DDE3" s="13"/>
      <c r="DDF3" s="13"/>
      <c r="DDG3" s="13"/>
      <c r="DDH3" s="13"/>
      <c r="DDI3" s="13"/>
      <c r="DDJ3" s="13"/>
      <c r="DDK3" s="13"/>
      <c r="DDL3" s="13"/>
      <c r="DDM3" s="13"/>
      <c r="DDN3" s="13"/>
      <c r="DDO3" s="13"/>
      <c r="DDP3" s="13"/>
      <c r="DDQ3" s="13"/>
      <c r="DDR3" s="13"/>
      <c r="DDS3" s="13"/>
      <c r="DDT3" s="13"/>
      <c r="DDU3" s="13"/>
      <c r="DDV3" s="13"/>
      <c r="DDW3" s="13"/>
      <c r="DDX3" s="13"/>
      <c r="DDY3" s="13"/>
      <c r="DDZ3" s="13"/>
      <c r="DEA3" s="13"/>
      <c r="DEB3" s="13"/>
      <c r="DEC3" s="13"/>
      <c r="DED3" s="13"/>
      <c r="DEE3" s="13"/>
      <c r="DEF3" s="13"/>
      <c r="DEG3" s="13"/>
      <c r="DEH3" s="13"/>
      <c r="DEI3" s="13"/>
      <c r="DEJ3" s="13"/>
      <c r="DEK3" s="13"/>
      <c r="DEL3" s="13"/>
      <c r="DEM3" s="13"/>
      <c r="DEN3" s="13"/>
      <c r="DEO3" s="13"/>
      <c r="DEP3" s="13"/>
      <c r="DEQ3" s="13"/>
      <c r="DER3" s="13"/>
      <c r="DES3" s="13"/>
      <c r="DET3" s="13"/>
      <c r="DEU3" s="13"/>
      <c r="DEV3" s="13"/>
      <c r="DEW3" s="13"/>
      <c r="DEX3" s="13"/>
      <c r="DEY3" s="13"/>
      <c r="DEZ3" s="13"/>
      <c r="DFA3" s="13"/>
      <c r="DFB3" s="13"/>
      <c r="DFC3" s="13"/>
      <c r="DFD3" s="13"/>
      <c r="DFE3" s="13"/>
      <c r="DFF3" s="13"/>
      <c r="DFG3" s="13"/>
      <c r="DFH3" s="13"/>
      <c r="DFI3" s="13"/>
      <c r="DFJ3" s="13"/>
      <c r="DFK3" s="13"/>
      <c r="DFL3" s="13"/>
      <c r="DFM3" s="13"/>
      <c r="DFN3" s="13"/>
      <c r="DFO3" s="13"/>
      <c r="DFP3" s="13"/>
      <c r="DFQ3" s="13"/>
      <c r="DFR3" s="13"/>
      <c r="DFS3" s="13"/>
      <c r="DFT3" s="13"/>
      <c r="DFU3" s="13"/>
      <c r="DFV3" s="13"/>
      <c r="DFW3" s="13"/>
      <c r="DFX3" s="13"/>
      <c r="DFY3" s="13"/>
      <c r="DFZ3" s="13"/>
      <c r="DGA3" s="13"/>
      <c r="DGB3" s="13"/>
      <c r="DGC3" s="13"/>
      <c r="DGD3" s="13"/>
      <c r="DGE3" s="13"/>
      <c r="DGF3" s="13"/>
      <c r="DGG3" s="13"/>
      <c r="DGH3" s="13"/>
      <c r="DGI3" s="13"/>
      <c r="DGJ3" s="13"/>
      <c r="DGK3" s="13"/>
      <c r="DGL3" s="13"/>
      <c r="DGM3" s="13"/>
      <c r="DGN3" s="13"/>
      <c r="DGO3" s="13"/>
      <c r="DGP3" s="13"/>
      <c r="DGQ3" s="13"/>
      <c r="DGR3" s="13"/>
      <c r="DGS3" s="13"/>
      <c r="DGT3" s="13"/>
      <c r="DGU3" s="13"/>
      <c r="DGV3" s="13"/>
      <c r="DGW3" s="13"/>
      <c r="DGX3" s="13"/>
      <c r="DGY3" s="13"/>
      <c r="DGZ3" s="13"/>
      <c r="DHA3" s="13"/>
      <c r="DHB3" s="13"/>
      <c r="DHC3" s="13"/>
      <c r="DHD3" s="13"/>
      <c r="DHE3" s="13"/>
      <c r="DHF3" s="13"/>
      <c r="DHG3" s="13"/>
      <c r="DHH3" s="13"/>
      <c r="DHI3" s="13"/>
      <c r="DHJ3" s="13"/>
      <c r="DHK3" s="13"/>
      <c r="DHL3" s="13"/>
      <c r="DHM3" s="13"/>
      <c r="DHN3" s="13"/>
      <c r="DHO3" s="13"/>
      <c r="DHP3" s="13"/>
      <c r="DHQ3" s="13"/>
      <c r="DHR3" s="13"/>
      <c r="DHS3" s="13"/>
      <c r="DHT3" s="13"/>
      <c r="DHU3" s="13"/>
      <c r="DHV3" s="13"/>
      <c r="DHW3" s="13"/>
      <c r="DHX3" s="13"/>
      <c r="DHY3" s="13"/>
      <c r="DHZ3" s="13"/>
      <c r="DIA3" s="13"/>
      <c r="DIB3" s="13"/>
      <c r="DIC3" s="13"/>
      <c r="DID3" s="13"/>
      <c r="DIE3" s="13"/>
      <c r="DIF3" s="13"/>
      <c r="DIG3" s="13"/>
      <c r="DIH3" s="13"/>
      <c r="DII3" s="13"/>
      <c r="DIJ3" s="13"/>
      <c r="DIK3" s="13"/>
      <c r="DIL3" s="13"/>
      <c r="DIM3" s="13"/>
      <c r="DIN3" s="13"/>
      <c r="DIO3" s="13"/>
      <c r="DIP3" s="13"/>
      <c r="DIQ3" s="13"/>
      <c r="DIR3" s="13"/>
      <c r="DIS3" s="13"/>
      <c r="DIT3" s="13"/>
      <c r="DIU3" s="13"/>
      <c r="DIV3" s="13"/>
      <c r="DIW3" s="13"/>
      <c r="DIX3" s="13"/>
      <c r="DIY3" s="13"/>
      <c r="DIZ3" s="13"/>
      <c r="DJA3" s="13"/>
      <c r="DJB3" s="13"/>
      <c r="DJC3" s="13"/>
      <c r="DJD3" s="13"/>
      <c r="DJE3" s="13"/>
      <c r="DJF3" s="13"/>
      <c r="DJG3" s="13"/>
      <c r="DJH3" s="13"/>
      <c r="DJI3" s="13"/>
      <c r="DJJ3" s="13"/>
      <c r="DJK3" s="13"/>
      <c r="DJL3" s="13"/>
      <c r="DJM3" s="13"/>
      <c r="DJN3" s="13"/>
      <c r="DJO3" s="13"/>
      <c r="DJP3" s="13"/>
      <c r="DJQ3" s="13"/>
      <c r="DJR3" s="13"/>
      <c r="DJS3" s="13"/>
      <c r="DJT3" s="13"/>
      <c r="DJU3" s="13"/>
      <c r="DJV3" s="13"/>
      <c r="DJW3" s="13"/>
      <c r="DJX3" s="13"/>
      <c r="DJY3" s="13"/>
      <c r="DJZ3" s="13"/>
      <c r="DKA3" s="13"/>
      <c r="DKB3" s="13"/>
      <c r="DKC3" s="13"/>
      <c r="DKD3" s="13"/>
      <c r="DKE3" s="13"/>
      <c r="DKF3" s="13"/>
      <c r="DKG3" s="13"/>
      <c r="DKH3" s="13"/>
      <c r="DKI3" s="13"/>
      <c r="DKJ3" s="13"/>
      <c r="DKK3" s="13"/>
      <c r="DKL3" s="13"/>
      <c r="DKM3" s="13"/>
      <c r="DKN3" s="13"/>
      <c r="DKO3" s="13"/>
      <c r="DKP3" s="13"/>
      <c r="DKQ3" s="13"/>
      <c r="DKR3" s="13"/>
      <c r="DKS3" s="13"/>
      <c r="DKT3" s="13"/>
      <c r="DKU3" s="13"/>
      <c r="DKV3" s="13"/>
      <c r="DKW3" s="13"/>
      <c r="DKX3" s="13"/>
      <c r="DKY3" s="13"/>
      <c r="DKZ3" s="13"/>
      <c r="DLA3" s="13"/>
      <c r="DLB3" s="13"/>
      <c r="DLC3" s="13"/>
      <c r="DLD3" s="13"/>
      <c r="DLE3" s="13"/>
      <c r="DLF3" s="13"/>
      <c r="DLG3" s="13"/>
      <c r="DLH3" s="13"/>
      <c r="DLI3" s="13"/>
      <c r="DLJ3" s="13"/>
      <c r="DLK3" s="13"/>
      <c r="DLL3" s="13"/>
      <c r="DLM3" s="13"/>
      <c r="DLN3" s="13"/>
      <c r="DLO3" s="13"/>
      <c r="DLP3" s="13"/>
      <c r="DLQ3" s="13"/>
      <c r="DLR3" s="13"/>
      <c r="DLS3" s="13"/>
      <c r="DLT3" s="13"/>
      <c r="DLU3" s="13"/>
      <c r="DLV3" s="13"/>
      <c r="DLW3" s="13"/>
      <c r="DLX3" s="13"/>
      <c r="DLY3" s="13"/>
      <c r="DLZ3" s="13"/>
      <c r="DMA3" s="13"/>
      <c r="DMB3" s="13"/>
      <c r="DMC3" s="13"/>
      <c r="DMD3" s="13"/>
      <c r="DME3" s="13"/>
      <c r="DMF3" s="13"/>
      <c r="DMG3" s="13"/>
      <c r="DMH3" s="13"/>
      <c r="DMI3" s="13"/>
      <c r="DMJ3" s="13"/>
      <c r="DMK3" s="13"/>
      <c r="DML3" s="13"/>
      <c r="DMM3" s="13"/>
      <c r="DMN3" s="13"/>
      <c r="DMO3" s="13"/>
      <c r="DMP3" s="13"/>
      <c r="DMQ3" s="13"/>
      <c r="DMR3" s="13"/>
      <c r="DMS3" s="13"/>
      <c r="DMT3" s="13"/>
      <c r="DMU3" s="13"/>
      <c r="DMV3" s="13"/>
      <c r="DMW3" s="13"/>
      <c r="DMX3" s="13"/>
      <c r="DMY3" s="13"/>
      <c r="DMZ3" s="13"/>
      <c r="DNA3" s="13"/>
      <c r="DNB3" s="13"/>
      <c r="DNC3" s="13"/>
      <c r="DND3" s="13"/>
      <c r="DNE3" s="13"/>
      <c r="DNF3" s="13"/>
      <c r="DNG3" s="13"/>
      <c r="DNH3" s="13"/>
      <c r="DNI3" s="13"/>
      <c r="DNJ3" s="13"/>
      <c r="DNK3" s="13"/>
      <c r="DNL3" s="13"/>
      <c r="DNM3" s="13"/>
      <c r="DNN3" s="13"/>
      <c r="DNO3" s="13"/>
      <c r="DNP3" s="13"/>
      <c r="DNQ3" s="13"/>
      <c r="DNR3" s="13"/>
      <c r="DNS3" s="13"/>
      <c r="DNT3" s="13"/>
      <c r="DNU3" s="13"/>
      <c r="DNV3" s="13"/>
      <c r="DNW3" s="13"/>
      <c r="DNX3" s="13"/>
      <c r="DNY3" s="13"/>
      <c r="DNZ3" s="13"/>
      <c r="DOA3" s="13"/>
      <c r="DOB3" s="13"/>
      <c r="DOC3" s="13"/>
      <c r="DOD3" s="13"/>
      <c r="DOE3" s="13"/>
      <c r="DOF3" s="13"/>
      <c r="DOG3" s="13"/>
      <c r="DOH3" s="13"/>
      <c r="DOI3" s="13"/>
      <c r="DOJ3" s="13"/>
      <c r="DOK3" s="13"/>
      <c r="DOL3" s="13"/>
      <c r="DOM3" s="13"/>
      <c r="DON3" s="13"/>
      <c r="DOO3" s="13"/>
      <c r="DOP3" s="13"/>
      <c r="DOQ3" s="13"/>
      <c r="DOR3" s="13"/>
      <c r="DOS3" s="13"/>
      <c r="DOT3" s="13"/>
      <c r="DOU3" s="13"/>
      <c r="DOV3" s="13"/>
      <c r="DOW3" s="13"/>
      <c r="DOX3" s="13"/>
      <c r="DOY3" s="13"/>
      <c r="DOZ3" s="13"/>
      <c r="DPA3" s="13"/>
      <c r="DPB3" s="13"/>
      <c r="DPC3" s="13"/>
      <c r="DPD3" s="13"/>
      <c r="DPE3" s="13"/>
      <c r="DPF3" s="13"/>
      <c r="DPG3" s="13"/>
      <c r="DPH3" s="13"/>
      <c r="DPI3" s="13"/>
      <c r="DPJ3" s="13"/>
      <c r="DPK3" s="13"/>
      <c r="DPL3" s="13"/>
      <c r="DPM3" s="13"/>
      <c r="DPN3" s="13"/>
      <c r="DPO3" s="13"/>
      <c r="DPP3" s="13"/>
      <c r="DPQ3" s="13"/>
      <c r="DPR3" s="13"/>
      <c r="DPS3" s="13"/>
      <c r="DPT3" s="13"/>
      <c r="DPU3" s="13"/>
      <c r="DPV3" s="13"/>
      <c r="DPW3" s="13"/>
      <c r="DPX3" s="13"/>
      <c r="DPY3" s="13"/>
      <c r="DPZ3" s="13"/>
      <c r="DQA3" s="13"/>
      <c r="DQB3" s="13"/>
      <c r="DQC3" s="13"/>
      <c r="DQD3" s="13"/>
      <c r="DQE3" s="13"/>
      <c r="DQF3" s="13"/>
      <c r="DQG3" s="13"/>
      <c r="DQH3" s="13"/>
      <c r="DQI3" s="13"/>
      <c r="DQJ3" s="13"/>
      <c r="DQK3" s="13"/>
      <c r="DQL3" s="13"/>
      <c r="DQM3" s="13"/>
      <c r="DQN3" s="13"/>
      <c r="DQO3" s="13"/>
      <c r="DQP3" s="13"/>
      <c r="DQQ3" s="13"/>
      <c r="DQR3" s="13"/>
      <c r="DQS3" s="13"/>
      <c r="DQT3" s="13"/>
      <c r="DQU3" s="13"/>
      <c r="DQV3" s="13"/>
      <c r="DQW3" s="13"/>
      <c r="DQX3" s="13"/>
      <c r="DQY3" s="13"/>
      <c r="DQZ3" s="13"/>
      <c r="DRA3" s="13"/>
      <c r="DRB3" s="13"/>
      <c r="DRC3" s="13"/>
      <c r="DRD3" s="13"/>
      <c r="DRE3" s="13"/>
      <c r="DRF3" s="13"/>
      <c r="DRG3" s="13"/>
      <c r="DRH3" s="13"/>
      <c r="DRI3" s="13"/>
      <c r="DRJ3" s="13"/>
      <c r="DRK3" s="13"/>
      <c r="DRL3" s="13"/>
      <c r="DRM3" s="13"/>
      <c r="DRN3" s="13"/>
      <c r="DRO3" s="13"/>
      <c r="DRP3" s="13"/>
      <c r="DRQ3" s="13"/>
      <c r="DRR3" s="13"/>
      <c r="DRS3" s="13"/>
      <c r="DRT3" s="13"/>
      <c r="DRU3" s="13"/>
      <c r="DRV3" s="13"/>
      <c r="DRW3" s="13"/>
      <c r="DRX3" s="13"/>
      <c r="DRY3" s="13"/>
      <c r="DRZ3" s="13"/>
      <c r="DSA3" s="13"/>
      <c r="DSB3" s="13"/>
      <c r="DSC3" s="13"/>
      <c r="DSD3" s="13"/>
      <c r="DSE3" s="13"/>
      <c r="DSF3" s="13"/>
      <c r="DSG3" s="13"/>
      <c r="DSH3" s="13"/>
      <c r="DSI3" s="13"/>
      <c r="DSJ3" s="13"/>
      <c r="DSK3" s="13"/>
      <c r="DSL3" s="13"/>
      <c r="DSM3" s="13"/>
      <c r="DSN3" s="13"/>
      <c r="DSO3" s="13"/>
      <c r="DSP3" s="13"/>
      <c r="DSQ3" s="13"/>
      <c r="DSR3" s="13"/>
      <c r="DSS3" s="13"/>
      <c r="DST3" s="13"/>
      <c r="DSU3" s="13"/>
      <c r="DSV3" s="13"/>
      <c r="DSW3" s="13"/>
      <c r="DSX3" s="13"/>
      <c r="DSY3" s="13"/>
      <c r="DSZ3" s="13"/>
      <c r="DTA3" s="13"/>
      <c r="DTB3" s="13"/>
      <c r="DTC3" s="13"/>
      <c r="DTD3" s="13"/>
      <c r="DTE3" s="13"/>
      <c r="DTF3" s="13"/>
      <c r="DTG3" s="13"/>
      <c r="DTH3" s="13"/>
      <c r="DTI3" s="13"/>
      <c r="DTJ3" s="13"/>
      <c r="DTK3" s="13"/>
      <c r="DTL3" s="13"/>
      <c r="DTM3" s="13"/>
      <c r="DTN3" s="13"/>
      <c r="DTO3" s="13"/>
      <c r="DTP3" s="13"/>
      <c r="DTQ3" s="13"/>
      <c r="DTR3" s="13"/>
      <c r="DTS3" s="13"/>
      <c r="DTT3" s="13"/>
      <c r="DTU3" s="13"/>
      <c r="DTV3" s="13"/>
      <c r="DTW3" s="13"/>
      <c r="DTX3" s="13"/>
      <c r="DTY3" s="13"/>
      <c r="DTZ3" s="13"/>
      <c r="DUA3" s="13"/>
      <c r="DUB3" s="13"/>
      <c r="DUC3" s="13"/>
      <c r="DUD3" s="13"/>
      <c r="DUE3" s="13"/>
      <c r="DUF3" s="13"/>
      <c r="DUG3" s="13"/>
      <c r="DUH3" s="13"/>
      <c r="DUI3" s="13"/>
      <c r="DUJ3" s="13"/>
      <c r="DUK3" s="13"/>
      <c r="DUL3" s="13"/>
      <c r="DUM3" s="13"/>
      <c r="DUN3" s="13"/>
      <c r="DUO3" s="13"/>
      <c r="DUP3" s="13"/>
      <c r="DUQ3" s="13"/>
      <c r="DUR3" s="13"/>
      <c r="DUS3" s="13"/>
      <c r="DUT3" s="13"/>
      <c r="DUU3" s="13"/>
      <c r="DUV3" s="13"/>
      <c r="DUW3" s="13"/>
      <c r="DUX3" s="13"/>
      <c r="DUY3" s="13"/>
      <c r="DUZ3" s="13"/>
      <c r="DVA3" s="13"/>
      <c r="DVB3" s="13"/>
      <c r="DVC3" s="13"/>
      <c r="DVD3" s="13"/>
      <c r="DVE3" s="13"/>
      <c r="DVF3" s="13"/>
      <c r="DVG3" s="13"/>
      <c r="DVH3" s="13"/>
      <c r="DVI3" s="13"/>
      <c r="DVJ3" s="13"/>
      <c r="DVK3" s="13"/>
      <c r="DVL3" s="13"/>
      <c r="DVM3" s="13"/>
      <c r="DVN3" s="13"/>
      <c r="DVO3" s="13"/>
      <c r="DVP3" s="13"/>
      <c r="DVQ3" s="13"/>
      <c r="DVR3" s="13"/>
      <c r="DVS3" s="13"/>
      <c r="DVT3" s="13"/>
      <c r="DVU3" s="13"/>
      <c r="DVV3" s="13"/>
      <c r="DVW3" s="13"/>
      <c r="DVX3" s="13"/>
      <c r="DVY3" s="13"/>
      <c r="DVZ3" s="13"/>
      <c r="DWA3" s="13"/>
      <c r="DWB3" s="13"/>
      <c r="DWC3" s="13"/>
      <c r="DWD3" s="13"/>
      <c r="DWE3" s="13"/>
      <c r="DWF3" s="13"/>
      <c r="DWG3" s="13"/>
      <c r="DWH3" s="13"/>
      <c r="DWI3" s="13"/>
      <c r="DWJ3" s="13"/>
      <c r="DWK3" s="13"/>
      <c r="DWL3" s="13"/>
      <c r="DWM3" s="13"/>
      <c r="DWN3" s="13"/>
      <c r="DWO3" s="13"/>
      <c r="DWP3" s="13"/>
      <c r="DWQ3" s="13"/>
      <c r="DWR3" s="13"/>
      <c r="DWS3" s="13"/>
      <c r="DWT3" s="13"/>
      <c r="DWU3" s="13"/>
      <c r="DWV3" s="13"/>
      <c r="DWW3" s="13"/>
      <c r="DWX3" s="13"/>
      <c r="DWY3" s="13"/>
      <c r="DWZ3" s="13"/>
      <c r="DXA3" s="13"/>
      <c r="DXB3" s="13"/>
      <c r="DXC3" s="13"/>
      <c r="DXD3" s="13"/>
      <c r="DXE3" s="13"/>
      <c r="DXF3" s="13"/>
      <c r="DXG3" s="13"/>
      <c r="DXH3" s="13"/>
      <c r="DXI3" s="13"/>
      <c r="DXJ3" s="13"/>
      <c r="DXK3" s="13"/>
      <c r="DXL3" s="13"/>
      <c r="DXM3" s="13"/>
      <c r="DXN3" s="13"/>
      <c r="DXO3" s="13"/>
      <c r="DXP3" s="13"/>
      <c r="DXQ3" s="13"/>
      <c r="DXR3" s="13"/>
      <c r="DXS3" s="13"/>
      <c r="DXT3" s="13"/>
      <c r="DXU3" s="13"/>
      <c r="DXV3" s="13"/>
      <c r="DXW3" s="13"/>
      <c r="DXX3" s="13"/>
      <c r="DXY3" s="13"/>
      <c r="DXZ3" s="13"/>
      <c r="DYA3" s="13"/>
      <c r="DYB3" s="13"/>
      <c r="DYC3" s="13"/>
      <c r="DYD3" s="13"/>
      <c r="DYE3" s="13"/>
      <c r="DYF3" s="13"/>
      <c r="DYG3" s="13"/>
      <c r="DYH3" s="13"/>
      <c r="DYI3" s="13"/>
      <c r="DYJ3" s="13"/>
      <c r="DYK3" s="13"/>
      <c r="DYL3" s="13"/>
      <c r="DYM3" s="13"/>
      <c r="DYN3" s="13"/>
      <c r="DYO3" s="13"/>
      <c r="DYP3" s="13"/>
      <c r="DYQ3" s="13"/>
      <c r="DYR3" s="13"/>
      <c r="DYS3" s="13"/>
      <c r="DYT3" s="13"/>
      <c r="DYU3" s="13"/>
      <c r="DYV3" s="13"/>
      <c r="DYW3" s="13"/>
      <c r="DYX3" s="13"/>
      <c r="DYY3" s="13"/>
      <c r="DYZ3" s="13"/>
      <c r="DZA3" s="13"/>
      <c r="DZB3" s="13"/>
      <c r="DZC3" s="13"/>
      <c r="DZD3" s="13"/>
      <c r="DZE3" s="13"/>
      <c r="DZF3" s="13"/>
      <c r="DZG3" s="13"/>
      <c r="DZH3" s="13"/>
      <c r="DZI3" s="13"/>
      <c r="DZJ3" s="13"/>
      <c r="DZK3" s="13"/>
      <c r="DZL3" s="13"/>
      <c r="DZM3" s="13"/>
      <c r="DZN3" s="13"/>
      <c r="DZO3" s="13"/>
      <c r="DZP3" s="13"/>
      <c r="DZQ3" s="13"/>
      <c r="DZR3" s="13"/>
      <c r="DZS3" s="13"/>
      <c r="DZT3" s="13"/>
      <c r="DZU3" s="13"/>
      <c r="DZV3" s="13"/>
      <c r="DZW3" s="13"/>
      <c r="DZX3" s="13"/>
      <c r="DZY3" s="13"/>
      <c r="DZZ3" s="13"/>
      <c r="EAA3" s="13"/>
      <c r="EAB3" s="13"/>
      <c r="EAC3" s="13"/>
      <c r="EAD3" s="13"/>
      <c r="EAE3" s="13"/>
      <c r="EAF3" s="13"/>
      <c r="EAG3" s="13"/>
      <c r="EAH3" s="13"/>
      <c r="EAI3" s="13"/>
      <c r="EAJ3" s="13"/>
      <c r="EAK3" s="13"/>
      <c r="EAL3" s="13"/>
      <c r="EAM3" s="13"/>
      <c r="EAN3" s="13"/>
      <c r="EAO3" s="13"/>
      <c r="EAP3" s="13"/>
      <c r="EAQ3" s="13"/>
      <c r="EAR3" s="13"/>
      <c r="EAS3" s="13"/>
      <c r="EAT3" s="13"/>
      <c r="EAU3" s="13"/>
      <c r="EAV3" s="13"/>
      <c r="EAW3" s="13"/>
      <c r="EAX3" s="13"/>
      <c r="EAY3" s="13"/>
      <c r="EAZ3" s="13"/>
      <c r="EBA3" s="13"/>
      <c r="EBB3" s="13"/>
      <c r="EBC3" s="13"/>
      <c r="EBD3" s="13"/>
      <c r="EBE3" s="13"/>
      <c r="EBF3" s="13"/>
      <c r="EBG3" s="13"/>
      <c r="EBH3" s="13"/>
      <c r="EBI3" s="13"/>
      <c r="EBJ3" s="13"/>
      <c r="EBK3" s="13"/>
      <c r="EBL3" s="13"/>
      <c r="EBM3" s="13"/>
      <c r="EBN3" s="13"/>
      <c r="EBO3" s="13"/>
      <c r="EBP3" s="13"/>
      <c r="EBQ3" s="13"/>
      <c r="EBR3" s="13"/>
      <c r="EBS3" s="13"/>
      <c r="EBT3" s="13"/>
      <c r="EBU3" s="13"/>
      <c r="EBV3" s="13"/>
      <c r="EBW3" s="13"/>
      <c r="EBX3" s="13"/>
      <c r="EBY3" s="13"/>
      <c r="EBZ3" s="13"/>
      <c r="ECA3" s="13"/>
      <c r="ECB3" s="13"/>
      <c r="ECC3" s="13"/>
      <c r="ECD3" s="13"/>
      <c r="ECE3" s="13"/>
      <c r="ECF3" s="13"/>
      <c r="ECG3" s="13"/>
      <c r="ECH3" s="13"/>
      <c r="ECI3" s="13"/>
      <c r="ECJ3" s="13"/>
      <c r="ECK3" s="13"/>
      <c r="ECL3" s="13"/>
      <c r="ECM3" s="13"/>
      <c r="ECN3" s="13"/>
      <c r="ECO3" s="13"/>
      <c r="ECP3" s="13"/>
      <c r="ECQ3" s="13"/>
      <c r="ECR3" s="13"/>
      <c r="ECS3" s="13"/>
      <c r="ECT3" s="13"/>
      <c r="ECU3" s="13"/>
      <c r="ECV3" s="13"/>
      <c r="ECW3" s="13"/>
      <c r="ECX3" s="13"/>
      <c r="ECY3" s="13"/>
      <c r="ECZ3" s="13"/>
      <c r="EDA3" s="13"/>
      <c r="EDB3" s="13"/>
      <c r="EDC3" s="13"/>
      <c r="EDD3" s="13"/>
      <c r="EDE3" s="13"/>
      <c r="EDF3" s="13"/>
      <c r="EDG3" s="13"/>
      <c r="EDH3" s="13"/>
      <c r="EDI3" s="13"/>
      <c r="EDJ3" s="13"/>
      <c r="EDK3" s="13"/>
      <c r="EDL3" s="13"/>
      <c r="EDM3" s="13"/>
      <c r="EDN3" s="13"/>
      <c r="EDO3" s="13"/>
      <c r="EDP3" s="13"/>
      <c r="EDQ3" s="13"/>
      <c r="EDR3" s="13"/>
      <c r="EDS3" s="13"/>
      <c r="EDT3" s="13"/>
      <c r="EDU3" s="13"/>
      <c r="EDV3" s="13"/>
      <c r="EDW3" s="13"/>
      <c r="EDX3" s="13"/>
      <c r="EDY3" s="13"/>
      <c r="EDZ3" s="13"/>
      <c r="EEA3" s="13"/>
      <c r="EEB3" s="13"/>
      <c r="EEC3" s="13"/>
      <c r="EED3" s="13"/>
      <c r="EEE3" s="13"/>
      <c r="EEF3" s="13"/>
      <c r="EEG3" s="13"/>
      <c r="EEH3" s="13"/>
      <c r="EEI3" s="13"/>
      <c r="EEJ3" s="13"/>
      <c r="EEK3" s="13"/>
      <c r="EEL3" s="13"/>
      <c r="EEM3" s="13"/>
      <c r="EEN3" s="13"/>
      <c r="EEO3" s="13"/>
      <c r="EEP3" s="13"/>
      <c r="EEQ3" s="13"/>
      <c r="EER3" s="13"/>
      <c r="EES3" s="13"/>
      <c r="EET3" s="13"/>
      <c r="EEU3" s="13"/>
      <c r="EEV3" s="13"/>
      <c r="EEW3" s="13"/>
      <c r="EEX3" s="13"/>
      <c r="EEY3" s="13"/>
      <c r="EEZ3" s="13"/>
      <c r="EFA3" s="13"/>
      <c r="EFB3" s="13"/>
      <c r="EFC3" s="13"/>
      <c r="EFD3" s="13"/>
      <c r="EFE3" s="13"/>
      <c r="EFF3" s="13"/>
      <c r="EFG3" s="13"/>
      <c r="EFH3" s="13"/>
      <c r="EFI3" s="13"/>
      <c r="EFJ3" s="13"/>
      <c r="EFK3" s="13"/>
      <c r="EFL3" s="13"/>
      <c r="EFM3" s="13"/>
      <c r="EFN3" s="13"/>
      <c r="EFO3" s="13"/>
      <c r="EFP3" s="13"/>
      <c r="EFQ3" s="13"/>
      <c r="EFR3" s="13"/>
      <c r="EFS3" s="13"/>
      <c r="EFT3" s="13"/>
      <c r="EFU3" s="13"/>
      <c r="EFV3" s="13"/>
      <c r="EFW3" s="13"/>
      <c r="EFX3" s="13"/>
      <c r="EFY3" s="13"/>
      <c r="EFZ3" s="13"/>
      <c r="EGA3" s="13"/>
      <c r="EGB3" s="13"/>
      <c r="EGC3" s="13"/>
      <c r="EGD3" s="13"/>
      <c r="EGE3" s="13"/>
      <c r="EGF3" s="13"/>
      <c r="EGG3" s="13"/>
      <c r="EGH3" s="13"/>
      <c r="EGI3" s="13"/>
      <c r="EGJ3" s="13"/>
      <c r="EGK3" s="13"/>
      <c r="EGL3" s="13"/>
      <c r="EGM3" s="13"/>
      <c r="EGN3" s="13"/>
      <c r="EGO3" s="13"/>
      <c r="EGP3" s="13"/>
      <c r="EGQ3" s="13"/>
      <c r="EGR3" s="13"/>
      <c r="EGS3" s="13"/>
      <c r="EGT3" s="13"/>
      <c r="EGU3" s="13"/>
      <c r="EGV3" s="13"/>
      <c r="EGW3" s="13"/>
      <c r="EGX3" s="13"/>
      <c r="EGY3" s="13"/>
      <c r="EGZ3" s="13"/>
      <c r="EHA3" s="13"/>
      <c r="EHB3" s="13"/>
      <c r="EHC3" s="13"/>
      <c r="EHD3" s="13"/>
      <c r="EHE3" s="13"/>
      <c r="EHF3" s="13"/>
      <c r="EHG3" s="13"/>
      <c r="EHH3" s="13"/>
      <c r="EHI3" s="13"/>
      <c r="EHJ3" s="13"/>
      <c r="EHK3" s="13"/>
      <c r="EHL3" s="13"/>
      <c r="EHM3" s="13"/>
      <c r="EHN3" s="13"/>
      <c r="EHO3" s="13"/>
      <c r="EHP3" s="13"/>
      <c r="EHQ3" s="13"/>
      <c r="EHR3" s="13"/>
      <c r="EHS3" s="13"/>
      <c r="EHT3" s="13"/>
      <c r="EHU3" s="13"/>
      <c r="EHV3" s="13"/>
      <c r="EHW3" s="13"/>
      <c r="EHX3" s="13"/>
      <c r="EHY3" s="13"/>
      <c r="EHZ3" s="13"/>
      <c r="EIA3" s="13"/>
      <c r="EIB3" s="13"/>
      <c r="EIC3" s="13"/>
      <c r="EID3" s="13"/>
      <c r="EIE3" s="13"/>
      <c r="EIF3" s="13"/>
      <c r="EIG3" s="13"/>
      <c r="EIH3" s="13"/>
      <c r="EII3" s="13"/>
      <c r="EIJ3" s="13"/>
      <c r="EIK3" s="13"/>
      <c r="EIL3" s="13"/>
      <c r="EIM3" s="13"/>
      <c r="EIN3" s="13"/>
      <c r="EIO3" s="13"/>
      <c r="EIP3" s="13"/>
      <c r="EIQ3" s="13"/>
      <c r="EIR3" s="13"/>
      <c r="EIS3" s="13"/>
      <c r="EIT3" s="13"/>
      <c r="EIU3" s="13"/>
      <c r="EIV3" s="13"/>
      <c r="EIW3" s="13"/>
      <c r="EIX3" s="13"/>
      <c r="EIY3" s="13"/>
      <c r="EIZ3" s="13"/>
      <c r="EJA3" s="13"/>
      <c r="EJB3" s="13"/>
      <c r="EJC3" s="13"/>
      <c r="EJD3" s="13"/>
      <c r="EJE3" s="13"/>
      <c r="EJF3" s="13"/>
      <c r="EJG3" s="13"/>
      <c r="EJH3" s="13"/>
      <c r="EJI3" s="13"/>
      <c r="EJJ3" s="13"/>
      <c r="EJK3" s="13"/>
      <c r="EJL3" s="13"/>
      <c r="EJM3" s="13"/>
      <c r="EJN3" s="13"/>
      <c r="EJO3" s="13"/>
      <c r="EJP3" s="13"/>
      <c r="EJQ3" s="13"/>
      <c r="EJR3" s="13"/>
      <c r="EJS3" s="13"/>
      <c r="EJT3" s="13"/>
      <c r="EJU3" s="13"/>
      <c r="EJV3" s="13"/>
      <c r="EJW3" s="13"/>
      <c r="EJX3" s="13"/>
      <c r="EJY3" s="13"/>
      <c r="EJZ3" s="13"/>
      <c r="EKA3" s="13"/>
      <c r="EKB3" s="13"/>
      <c r="EKC3" s="13"/>
      <c r="EKD3" s="13"/>
      <c r="EKE3" s="13"/>
      <c r="EKF3" s="13"/>
      <c r="EKG3" s="13"/>
      <c r="EKH3" s="13"/>
      <c r="EKI3" s="13"/>
      <c r="EKJ3" s="13"/>
      <c r="EKK3" s="13"/>
      <c r="EKL3" s="13"/>
      <c r="EKM3" s="13"/>
      <c r="EKN3" s="13"/>
      <c r="EKO3" s="13"/>
      <c r="EKP3" s="13"/>
      <c r="EKQ3" s="13"/>
      <c r="EKR3" s="13"/>
      <c r="EKS3" s="13"/>
      <c r="EKT3" s="13"/>
      <c r="EKU3" s="13"/>
      <c r="EKV3" s="13"/>
      <c r="EKW3" s="13"/>
      <c r="EKX3" s="13"/>
      <c r="EKY3" s="13"/>
      <c r="EKZ3" s="13"/>
      <c r="ELA3" s="13"/>
      <c r="ELB3" s="13"/>
      <c r="ELC3" s="13"/>
      <c r="ELD3" s="13"/>
      <c r="ELE3" s="13"/>
      <c r="ELF3" s="13"/>
      <c r="ELG3" s="13"/>
      <c r="ELH3" s="13"/>
      <c r="ELI3" s="13"/>
      <c r="ELJ3" s="13"/>
      <c r="ELK3" s="13"/>
      <c r="ELL3" s="13"/>
      <c r="ELM3" s="13"/>
      <c r="ELN3" s="13"/>
      <c r="ELO3" s="13"/>
      <c r="ELP3" s="13"/>
      <c r="ELQ3" s="13"/>
      <c r="ELR3" s="13"/>
      <c r="ELS3" s="13"/>
      <c r="ELT3" s="13"/>
      <c r="ELU3" s="13"/>
      <c r="ELV3" s="13"/>
      <c r="ELW3" s="13"/>
      <c r="ELX3" s="13"/>
      <c r="ELY3" s="13"/>
      <c r="ELZ3" s="13"/>
      <c r="EMA3" s="13"/>
      <c r="EMB3" s="13"/>
      <c r="EMC3" s="13"/>
      <c r="EMD3" s="13"/>
      <c r="EME3" s="13"/>
      <c r="EMF3" s="13"/>
      <c r="EMG3" s="13"/>
      <c r="EMH3" s="13"/>
      <c r="EMI3" s="13"/>
      <c r="EMJ3" s="13"/>
      <c r="EMK3" s="13"/>
      <c r="EML3" s="13"/>
      <c r="EMM3" s="13"/>
      <c r="EMN3" s="13"/>
      <c r="EMO3" s="13"/>
      <c r="EMP3" s="13"/>
      <c r="EMQ3" s="13"/>
      <c r="EMR3" s="13"/>
      <c r="EMS3" s="13"/>
      <c r="EMT3" s="13"/>
      <c r="EMU3" s="13"/>
      <c r="EMV3" s="13"/>
      <c r="EMW3" s="13"/>
      <c r="EMX3" s="13"/>
      <c r="EMY3" s="13"/>
      <c r="EMZ3" s="13"/>
      <c r="ENA3" s="13"/>
      <c r="ENB3" s="13"/>
      <c r="ENC3" s="13"/>
      <c r="END3" s="13"/>
      <c r="ENE3" s="13"/>
      <c r="ENF3" s="13"/>
      <c r="ENG3" s="13"/>
      <c r="ENH3" s="13"/>
      <c r="ENI3" s="13"/>
      <c r="ENJ3" s="13"/>
      <c r="ENK3" s="13"/>
      <c r="ENL3" s="13"/>
      <c r="ENM3" s="13"/>
      <c r="ENN3" s="13"/>
      <c r="ENO3" s="13"/>
      <c r="ENP3" s="13"/>
      <c r="ENQ3" s="13"/>
      <c r="ENR3" s="13"/>
      <c r="ENS3" s="13"/>
      <c r="ENT3" s="13"/>
      <c r="ENU3" s="13"/>
      <c r="ENV3" s="13"/>
      <c r="ENW3" s="13"/>
      <c r="ENX3" s="13"/>
      <c r="ENY3" s="13"/>
      <c r="ENZ3" s="13"/>
      <c r="EOA3" s="13"/>
      <c r="EOB3" s="13"/>
      <c r="EOC3" s="13"/>
      <c r="EOD3" s="13"/>
      <c r="EOE3" s="13"/>
      <c r="EOF3" s="13"/>
      <c r="EOG3" s="13"/>
      <c r="EOH3" s="13"/>
      <c r="EOI3" s="13"/>
      <c r="EOJ3" s="13"/>
      <c r="EOK3" s="13"/>
      <c r="EOL3" s="13"/>
      <c r="EOM3" s="13"/>
      <c r="EON3" s="13"/>
      <c r="EOO3" s="13"/>
      <c r="EOP3" s="13"/>
      <c r="EOQ3" s="13"/>
      <c r="EOR3" s="13"/>
      <c r="EOS3" s="13"/>
      <c r="EOT3" s="13"/>
      <c r="EOU3" s="13"/>
      <c r="EOV3" s="13"/>
      <c r="EOW3" s="13"/>
      <c r="EOX3" s="13"/>
      <c r="EOY3" s="13"/>
      <c r="EOZ3" s="13"/>
      <c r="EPA3" s="13"/>
      <c r="EPB3" s="13"/>
      <c r="EPC3" s="13"/>
      <c r="EPD3" s="13"/>
      <c r="EPE3" s="13"/>
      <c r="EPF3" s="13"/>
      <c r="EPG3" s="13"/>
      <c r="EPH3" s="13"/>
      <c r="EPI3" s="13"/>
      <c r="EPJ3" s="13"/>
      <c r="EPK3" s="13"/>
      <c r="EPL3" s="13"/>
      <c r="EPM3" s="13"/>
      <c r="EPN3" s="13"/>
      <c r="EPO3" s="13"/>
      <c r="EPP3" s="13"/>
      <c r="EPQ3" s="13"/>
      <c r="EPR3" s="13"/>
      <c r="EPS3" s="13"/>
      <c r="EPT3" s="13"/>
      <c r="EPU3" s="13"/>
      <c r="EPV3" s="13"/>
      <c r="EPW3" s="13"/>
      <c r="EPX3" s="13"/>
      <c r="EPY3" s="13"/>
      <c r="EPZ3" s="13"/>
      <c r="EQA3" s="13"/>
      <c r="EQB3" s="13"/>
      <c r="EQC3" s="13"/>
      <c r="EQD3" s="13"/>
      <c r="EQE3" s="13"/>
      <c r="EQF3" s="13"/>
      <c r="EQG3" s="13"/>
      <c r="EQH3" s="13"/>
      <c r="EQI3" s="13"/>
      <c r="EQJ3" s="13"/>
      <c r="EQK3" s="13"/>
      <c r="EQL3" s="13"/>
      <c r="EQM3" s="13"/>
      <c r="EQN3" s="13"/>
      <c r="EQO3" s="13"/>
      <c r="EQP3" s="13"/>
      <c r="EQQ3" s="13"/>
      <c r="EQR3" s="13"/>
      <c r="EQS3" s="13"/>
      <c r="EQT3" s="13"/>
      <c r="EQU3" s="13"/>
      <c r="EQV3" s="13"/>
      <c r="EQW3" s="13"/>
      <c r="EQX3" s="13"/>
      <c r="EQY3" s="13"/>
      <c r="EQZ3" s="13"/>
      <c r="ERA3" s="13"/>
      <c r="ERB3" s="13"/>
      <c r="ERC3" s="13"/>
      <c r="ERD3" s="13"/>
      <c r="ERE3" s="13"/>
      <c r="ERF3" s="13"/>
      <c r="ERG3" s="13"/>
      <c r="ERH3" s="13"/>
      <c r="ERI3" s="13"/>
      <c r="ERJ3" s="13"/>
      <c r="ERK3" s="13"/>
      <c r="ERL3" s="13"/>
      <c r="ERM3" s="13"/>
      <c r="ERN3" s="13"/>
      <c r="ERO3" s="13"/>
      <c r="ERP3" s="13"/>
      <c r="ERQ3" s="13"/>
      <c r="ERR3" s="13"/>
      <c r="ERS3" s="13"/>
      <c r="ERT3" s="13"/>
      <c r="ERU3" s="13"/>
      <c r="ERV3" s="13"/>
      <c r="ERW3" s="13"/>
      <c r="ERX3" s="13"/>
      <c r="ERY3" s="13"/>
      <c r="ERZ3" s="13"/>
      <c r="ESA3" s="13"/>
      <c r="ESB3" s="13"/>
      <c r="ESC3" s="13"/>
      <c r="ESD3" s="13"/>
      <c r="ESE3" s="13"/>
      <c r="ESF3" s="13"/>
      <c r="ESG3" s="13"/>
      <c r="ESH3" s="13"/>
      <c r="ESI3" s="13"/>
      <c r="ESJ3" s="13"/>
      <c r="ESK3" s="13"/>
      <c r="ESL3" s="13"/>
      <c r="ESM3" s="13"/>
      <c r="ESN3" s="13"/>
      <c r="ESO3" s="13"/>
      <c r="ESP3" s="13"/>
      <c r="ESQ3" s="13"/>
      <c r="ESR3" s="13"/>
      <c r="ESS3" s="13"/>
      <c r="EST3" s="13"/>
      <c r="ESU3" s="13"/>
      <c r="ESV3" s="13"/>
      <c r="ESW3" s="13"/>
      <c r="ESX3" s="13"/>
      <c r="ESY3" s="13"/>
      <c r="ESZ3" s="13"/>
      <c r="ETA3" s="13"/>
      <c r="ETB3" s="13"/>
      <c r="ETC3" s="13"/>
      <c r="ETD3" s="13"/>
      <c r="ETE3" s="13"/>
      <c r="ETF3" s="13"/>
      <c r="ETG3" s="13"/>
      <c r="ETH3" s="13"/>
      <c r="ETI3" s="13"/>
      <c r="ETJ3" s="13"/>
      <c r="ETK3" s="13"/>
      <c r="ETL3" s="13"/>
      <c r="ETM3" s="13"/>
      <c r="ETN3" s="13"/>
      <c r="ETO3" s="13"/>
      <c r="ETP3" s="13"/>
      <c r="ETQ3" s="13"/>
      <c r="ETR3" s="13"/>
      <c r="ETS3" s="13"/>
      <c r="ETT3" s="13"/>
      <c r="ETU3" s="13"/>
      <c r="ETV3" s="13"/>
      <c r="ETW3" s="13"/>
      <c r="ETX3" s="13"/>
      <c r="ETY3" s="13"/>
      <c r="ETZ3" s="13"/>
      <c r="EUA3" s="13"/>
      <c r="EUB3" s="13"/>
      <c r="EUC3" s="13"/>
      <c r="EUD3" s="13"/>
      <c r="EUE3" s="13"/>
      <c r="EUF3" s="13"/>
      <c r="EUG3" s="13"/>
      <c r="EUH3" s="13"/>
      <c r="EUI3" s="13"/>
      <c r="EUJ3" s="13"/>
      <c r="EUK3" s="13"/>
      <c r="EUL3" s="13"/>
      <c r="EUM3" s="13"/>
      <c r="EUN3" s="13"/>
      <c r="EUO3" s="13"/>
      <c r="EUP3" s="13"/>
      <c r="EUQ3" s="13"/>
      <c r="EUR3" s="13"/>
      <c r="EUS3" s="13"/>
      <c r="EUT3" s="13"/>
      <c r="EUU3" s="13"/>
      <c r="EUV3" s="13"/>
      <c r="EUW3" s="13"/>
      <c r="EUX3" s="13"/>
      <c r="EUY3" s="13"/>
      <c r="EUZ3" s="13"/>
      <c r="EVA3" s="13"/>
      <c r="EVB3" s="13"/>
      <c r="EVC3" s="13"/>
      <c r="EVD3" s="13"/>
      <c r="EVE3" s="13"/>
      <c r="EVF3" s="13"/>
      <c r="EVG3" s="13"/>
      <c r="EVH3" s="13"/>
      <c r="EVI3" s="13"/>
      <c r="EVJ3" s="13"/>
      <c r="EVK3" s="13"/>
      <c r="EVL3" s="13"/>
      <c r="EVM3" s="13"/>
      <c r="EVN3" s="13"/>
      <c r="EVO3" s="13"/>
      <c r="EVP3" s="13"/>
      <c r="EVQ3" s="13"/>
      <c r="EVR3" s="13"/>
      <c r="EVS3" s="13"/>
      <c r="EVT3" s="13"/>
      <c r="EVU3" s="13"/>
      <c r="EVV3" s="13"/>
      <c r="EVW3" s="13"/>
      <c r="EVX3" s="13"/>
      <c r="EVY3" s="13"/>
      <c r="EVZ3" s="13"/>
      <c r="EWA3" s="13"/>
      <c r="EWB3" s="13"/>
      <c r="EWC3" s="13"/>
      <c r="EWD3" s="13"/>
      <c r="EWE3" s="13"/>
      <c r="EWF3" s="13"/>
      <c r="EWG3" s="13"/>
      <c r="EWH3" s="13"/>
      <c r="EWI3" s="13"/>
      <c r="EWJ3" s="13"/>
      <c r="EWK3" s="13"/>
      <c r="EWL3" s="13"/>
      <c r="EWM3" s="13"/>
      <c r="EWN3" s="13"/>
      <c r="EWO3" s="13"/>
      <c r="EWP3" s="13"/>
      <c r="EWQ3" s="13"/>
      <c r="EWR3" s="13"/>
      <c r="EWS3" s="13"/>
      <c r="EWT3" s="13"/>
      <c r="EWU3" s="13"/>
      <c r="EWV3" s="13"/>
      <c r="EWW3" s="13"/>
      <c r="EWX3" s="13"/>
      <c r="EWY3" s="13"/>
      <c r="EWZ3" s="13"/>
      <c r="EXA3" s="13"/>
      <c r="EXB3" s="13"/>
      <c r="EXC3" s="13"/>
      <c r="EXD3" s="13"/>
      <c r="EXE3" s="13"/>
      <c r="EXF3" s="13"/>
      <c r="EXG3" s="13"/>
      <c r="EXH3" s="13"/>
      <c r="EXI3" s="13"/>
      <c r="EXJ3" s="13"/>
      <c r="EXK3" s="13"/>
      <c r="EXL3" s="13"/>
      <c r="EXM3" s="13"/>
      <c r="EXN3" s="13"/>
      <c r="EXO3" s="13"/>
      <c r="EXP3" s="13"/>
      <c r="EXQ3" s="13"/>
      <c r="EXR3" s="13"/>
      <c r="EXS3" s="13"/>
      <c r="EXT3" s="13"/>
      <c r="EXU3" s="13"/>
      <c r="EXV3" s="13"/>
      <c r="EXW3" s="13"/>
      <c r="EXX3" s="13"/>
      <c r="EXY3" s="13"/>
      <c r="EXZ3" s="13"/>
      <c r="EYA3" s="13"/>
      <c r="EYB3" s="13"/>
      <c r="EYC3" s="13"/>
      <c r="EYD3" s="13"/>
      <c r="EYE3" s="13"/>
      <c r="EYF3" s="13"/>
      <c r="EYG3" s="13"/>
      <c r="EYH3" s="13"/>
      <c r="EYI3" s="13"/>
      <c r="EYJ3" s="13"/>
      <c r="EYK3" s="13"/>
      <c r="EYL3" s="13"/>
      <c r="EYM3" s="13"/>
      <c r="EYN3" s="13"/>
      <c r="EYO3" s="13"/>
      <c r="EYP3" s="13"/>
      <c r="EYQ3" s="13"/>
      <c r="EYR3" s="13"/>
      <c r="EYS3" s="13"/>
      <c r="EYT3" s="13"/>
      <c r="EYU3" s="13"/>
      <c r="EYV3" s="13"/>
      <c r="EYW3" s="13"/>
      <c r="EYX3" s="13"/>
      <c r="EYY3" s="13"/>
      <c r="EYZ3" s="13"/>
      <c r="EZA3" s="13"/>
      <c r="EZB3" s="13"/>
      <c r="EZC3" s="13"/>
      <c r="EZD3" s="13"/>
      <c r="EZE3" s="13"/>
      <c r="EZF3" s="13"/>
      <c r="EZG3" s="13"/>
      <c r="EZH3" s="13"/>
      <c r="EZI3" s="13"/>
      <c r="EZJ3" s="13"/>
      <c r="EZK3" s="13"/>
      <c r="EZL3" s="13"/>
      <c r="EZM3" s="13"/>
      <c r="EZN3" s="13"/>
      <c r="EZO3" s="13"/>
      <c r="EZP3" s="13"/>
      <c r="EZQ3" s="13"/>
      <c r="EZR3" s="13"/>
      <c r="EZS3" s="13"/>
      <c r="EZT3" s="13"/>
      <c r="EZU3" s="13"/>
      <c r="EZV3" s="13"/>
      <c r="EZW3" s="13"/>
      <c r="EZX3" s="13"/>
      <c r="EZY3" s="13"/>
      <c r="EZZ3" s="13"/>
      <c r="FAA3" s="13"/>
      <c r="FAB3" s="13"/>
      <c r="FAC3" s="13"/>
      <c r="FAD3" s="13"/>
      <c r="FAE3" s="13"/>
      <c r="FAF3" s="13"/>
      <c r="FAG3" s="13"/>
      <c r="FAH3" s="13"/>
      <c r="FAI3" s="13"/>
      <c r="FAJ3" s="13"/>
      <c r="FAK3" s="13"/>
      <c r="FAL3" s="13"/>
      <c r="FAM3" s="13"/>
      <c r="FAN3" s="13"/>
      <c r="FAO3" s="13"/>
      <c r="FAP3" s="13"/>
      <c r="FAQ3" s="13"/>
      <c r="FAR3" s="13"/>
      <c r="FAS3" s="13"/>
      <c r="FAT3" s="13"/>
      <c r="FAU3" s="13"/>
      <c r="FAV3" s="13"/>
      <c r="FAW3" s="13"/>
      <c r="FAX3" s="13"/>
      <c r="FAY3" s="13"/>
      <c r="FAZ3" s="13"/>
      <c r="FBA3" s="13"/>
      <c r="FBB3" s="13"/>
      <c r="FBC3" s="13"/>
      <c r="FBD3" s="13"/>
      <c r="FBE3" s="13"/>
      <c r="FBF3" s="13"/>
      <c r="FBG3" s="13"/>
      <c r="FBH3" s="13"/>
      <c r="FBI3" s="13"/>
      <c r="FBJ3" s="13"/>
      <c r="FBK3" s="13"/>
      <c r="FBL3" s="13"/>
      <c r="FBM3" s="13"/>
      <c r="FBN3" s="13"/>
      <c r="FBO3" s="13"/>
      <c r="FBP3" s="13"/>
      <c r="FBQ3" s="13"/>
      <c r="FBR3" s="13"/>
      <c r="FBS3" s="13"/>
      <c r="FBT3" s="13"/>
      <c r="FBU3" s="13"/>
      <c r="FBV3" s="13"/>
      <c r="FBW3" s="13"/>
      <c r="FBX3" s="13"/>
      <c r="FBY3" s="13"/>
      <c r="FBZ3" s="13"/>
      <c r="FCA3" s="13"/>
      <c r="FCB3" s="13"/>
      <c r="FCC3" s="13"/>
      <c r="FCD3" s="13"/>
      <c r="FCE3" s="13"/>
      <c r="FCF3" s="13"/>
      <c r="FCG3" s="13"/>
      <c r="FCH3" s="13"/>
      <c r="FCI3" s="13"/>
      <c r="FCJ3" s="13"/>
      <c r="FCK3" s="13"/>
      <c r="FCL3" s="13"/>
      <c r="FCM3" s="13"/>
      <c r="FCN3" s="13"/>
      <c r="FCO3" s="13"/>
      <c r="FCP3" s="13"/>
      <c r="FCQ3" s="13"/>
      <c r="FCR3" s="13"/>
      <c r="FCS3" s="13"/>
      <c r="FCT3" s="13"/>
      <c r="FCU3" s="13"/>
      <c r="FCV3" s="13"/>
      <c r="FCW3" s="13"/>
      <c r="FCX3" s="13"/>
      <c r="FCY3" s="13"/>
      <c r="FCZ3" s="13"/>
      <c r="FDA3" s="13"/>
      <c r="FDB3" s="13"/>
      <c r="FDC3" s="13"/>
      <c r="FDD3" s="13"/>
      <c r="FDE3" s="13"/>
      <c r="FDF3" s="13"/>
      <c r="FDG3" s="13"/>
      <c r="FDH3" s="13"/>
      <c r="FDI3" s="13"/>
      <c r="FDJ3" s="13"/>
      <c r="FDK3" s="13"/>
      <c r="FDL3" s="13"/>
      <c r="FDM3" s="13"/>
      <c r="FDN3" s="13"/>
      <c r="FDO3" s="13"/>
      <c r="FDP3" s="13"/>
      <c r="FDQ3" s="13"/>
      <c r="FDR3" s="13"/>
      <c r="FDS3" s="13"/>
      <c r="FDT3" s="13"/>
      <c r="FDU3" s="13"/>
      <c r="FDV3" s="13"/>
      <c r="FDW3" s="13"/>
      <c r="FDX3" s="13"/>
      <c r="FDY3" s="13"/>
      <c r="FDZ3" s="13"/>
      <c r="FEA3" s="13"/>
      <c r="FEB3" s="13"/>
      <c r="FEC3" s="13"/>
      <c r="FED3" s="13"/>
      <c r="FEE3" s="13"/>
      <c r="FEF3" s="13"/>
      <c r="FEG3" s="13"/>
      <c r="FEH3" s="13"/>
      <c r="FEI3" s="13"/>
      <c r="FEJ3" s="13"/>
      <c r="FEK3" s="13"/>
      <c r="FEL3" s="13"/>
      <c r="FEM3" s="13"/>
      <c r="FEN3" s="13"/>
      <c r="FEO3" s="13"/>
      <c r="FEP3" s="13"/>
      <c r="FEQ3" s="13"/>
      <c r="FER3" s="13"/>
      <c r="FES3" s="13"/>
      <c r="FET3" s="13"/>
      <c r="FEU3" s="13"/>
      <c r="FEV3" s="13"/>
      <c r="FEW3" s="13"/>
      <c r="FEX3" s="13"/>
      <c r="FEY3" s="13"/>
      <c r="FEZ3" s="13"/>
      <c r="FFA3" s="13"/>
      <c r="FFB3" s="13"/>
      <c r="FFC3" s="13"/>
      <c r="FFD3" s="13"/>
      <c r="FFE3" s="13"/>
      <c r="FFF3" s="13"/>
      <c r="FFG3" s="13"/>
      <c r="FFH3" s="13"/>
      <c r="FFI3" s="13"/>
      <c r="FFJ3" s="13"/>
      <c r="FFK3" s="13"/>
      <c r="FFL3" s="13"/>
      <c r="FFM3" s="13"/>
      <c r="FFN3" s="13"/>
      <c r="FFO3" s="13"/>
      <c r="FFP3" s="13"/>
      <c r="FFQ3" s="13"/>
      <c r="FFR3" s="13"/>
      <c r="FFS3" s="13"/>
      <c r="FFT3" s="13"/>
      <c r="FFU3" s="13"/>
      <c r="FFV3" s="13"/>
      <c r="FFW3" s="13"/>
      <c r="FFX3" s="13"/>
      <c r="FFY3" s="13"/>
      <c r="FFZ3" s="13"/>
      <c r="FGA3" s="13"/>
      <c r="FGB3" s="13"/>
      <c r="FGC3" s="13"/>
      <c r="FGD3" s="13"/>
      <c r="FGE3" s="13"/>
      <c r="FGF3" s="13"/>
      <c r="FGG3" s="13"/>
      <c r="FGH3" s="13"/>
      <c r="FGI3" s="13"/>
      <c r="FGJ3" s="13"/>
      <c r="FGK3" s="13"/>
      <c r="FGL3" s="13"/>
      <c r="FGM3" s="13"/>
      <c r="FGN3" s="13"/>
      <c r="FGO3" s="13"/>
      <c r="FGP3" s="13"/>
      <c r="FGQ3" s="13"/>
      <c r="FGR3" s="13"/>
      <c r="FGS3" s="13"/>
      <c r="FGT3" s="13"/>
      <c r="FGU3" s="13"/>
      <c r="FGV3" s="13"/>
      <c r="FGW3" s="13"/>
      <c r="FGX3" s="13"/>
      <c r="FGY3" s="13"/>
      <c r="FGZ3" s="13"/>
      <c r="FHA3" s="13"/>
      <c r="FHB3" s="13"/>
      <c r="FHC3" s="13"/>
      <c r="FHD3" s="13"/>
      <c r="FHE3" s="13"/>
      <c r="FHF3" s="13"/>
      <c r="FHG3" s="13"/>
      <c r="FHH3" s="13"/>
      <c r="FHI3" s="13"/>
      <c r="FHJ3" s="13"/>
      <c r="FHK3" s="13"/>
      <c r="FHL3" s="13"/>
      <c r="FHM3" s="13"/>
      <c r="FHN3" s="13"/>
      <c r="FHO3" s="13"/>
      <c r="FHP3" s="13"/>
      <c r="FHQ3" s="13"/>
      <c r="FHR3" s="13"/>
      <c r="FHS3" s="13"/>
      <c r="FHT3" s="13"/>
      <c r="FHU3" s="13"/>
      <c r="FHV3" s="13"/>
      <c r="FHW3" s="13"/>
      <c r="FHX3" s="13"/>
      <c r="FHY3" s="13"/>
      <c r="FHZ3" s="13"/>
      <c r="FIA3" s="13"/>
      <c r="FIB3" s="13"/>
      <c r="FIC3" s="13"/>
      <c r="FID3" s="13"/>
      <c r="FIE3" s="13"/>
      <c r="FIF3" s="13"/>
      <c r="FIG3" s="13"/>
      <c r="FIH3" s="13"/>
      <c r="FII3" s="13"/>
      <c r="FIJ3" s="13"/>
      <c r="FIK3" s="13"/>
      <c r="FIL3" s="13"/>
      <c r="FIM3" s="13"/>
      <c r="FIN3" s="13"/>
      <c r="FIO3" s="13"/>
      <c r="FIP3" s="13"/>
      <c r="FIQ3" s="13"/>
      <c r="FIR3" s="13"/>
      <c r="FIS3" s="13"/>
      <c r="FIT3" s="13"/>
      <c r="FIU3" s="13"/>
      <c r="FIV3" s="13"/>
      <c r="FIW3" s="13"/>
      <c r="FIX3" s="13"/>
      <c r="FIY3" s="13"/>
      <c r="FIZ3" s="13"/>
      <c r="FJA3" s="13"/>
      <c r="FJB3" s="13"/>
      <c r="FJC3" s="13"/>
      <c r="FJD3" s="13"/>
      <c r="FJE3" s="13"/>
      <c r="FJF3" s="13"/>
      <c r="FJG3" s="13"/>
      <c r="FJH3" s="13"/>
      <c r="FJI3" s="13"/>
      <c r="FJJ3" s="13"/>
      <c r="FJK3" s="13"/>
      <c r="FJL3" s="13"/>
      <c r="FJM3" s="13"/>
      <c r="FJN3" s="13"/>
      <c r="FJO3" s="13"/>
      <c r="FJP3" s="13"/>
      <c r="FJQ3" s="13"/>
      <c r="FJR3" s="13"/>
      <c r="FJS3" s="13"/>
      <c r="FJT3" s="13"/>
      <c r="FJU3" s="13"/>
      <c r="FJV3" s="13"/>
      <c r="FJW3" s="13"/>
      <c r="FJX3" s="13"/>
      <c r="FJY3" s="13"/>
      <c r="FJZ3" s="13"/>
      <c r="FKA3" s="13"/>
      <c r="FKB3" s="13"/>
      <c r="FKC3" s="13"/>
      <c r="FKD3" s="13"/>
      <c r="FKE3" s="13"/>
      <c r="FKF3" s="13"/>
      <c r="FKG3" s="13"/>
      <c r="FKH3" s="13"/>
      <c r="FKI3" s="13"/>
      <c r="FKJ3" s="13"/>
      <c r="FKK3" s="13"/>
      <c r="FKL3" s="13"/>
      <c r="FKM3" s="13"/>
      <c r="FKN3" s="13"/>
      <c r="FKO3" s="13"/>
      <c r="FKP3" s="13"/>
      <c r="FKQ3" s="13"/>
      <c r="FKR3" s="13"/>
      <c r="FKS3" s="13"/>
      <c r="FKT3" s="13"/>
      <c r="FKU3" s="13"/>
      <c r="FKV3" s="13"/>
      <c r="FKW3" s="13"/>
      <c r="FKX3" s="13"/>
      <c r="FKY3" s="13"/>
      <c r="FKZ3" s="13"/>
      <c r="FLA3" s="13"/>
      <c r="FLB3" s="13"/>
      <c r="FLC3" s="13"/>
      <c r="FLD3" s="13"/>
      <c r="FLE3" s="13"/>
      <c r="FLF3" s="13"/>
      <c r="FLG3" s="13"/>
      <c r="FLH3" s="13"/>
      <c r="FLI3" s="13"/>
      <c r="FLJ3" s="13"/>
      <c r="FLK3" s="13"/>
      <c r="FLL3" s="13"/>
      <c r="FLM3" s="13"/>
      <c r="FLN3" s="13"/>
      <c r="FLO3" s="13"/>
      <c r="FLP3" s="13"/>
      <c r="FLQ3" s="13"/>
      <c r="FLR3" s="13"/>
      <c r="FLS3" s="13"/>
      <c r="FLT3" s="13"/>
      <c r="FLU3" s="13"/>
      <c r="FLV3" s="13"/>
      <c r="FLW3" s="13"/>
      <c r="FLX3" s="13"/>
      <c r="FLY3" s="13"/>
      <c r="FLZ3" s="13"/>
      <c r="FMA3" s="13"/>
      <c r="FMB3" s="13"/>
      <c r="FMC3" s="13"/>
      <c r="FMD3" s="13"/>
      <c r="FME3" s="13"/>
      <c r="FMF3" s="13"/>
      <c r="FMG3" s="13"/>
      <c r="FMH3" s="13"/>
      <c r="FMI3" s="13"/>
      <c r="FMJ3" s="13"/>
      <c r="FMK3" s="13"/>
      <c r="FML3" s="13"/>
      <c r="FMM3" s="13"/>
      <c r="FMN3" s="13"/>
      <c r="FMO3" s="13"/>
      <c r="FMP3" s="13"/>
      <c r="FMQ3" s="13"/>
      <c r="FMR3" s="13"/>
      <c r="FMS3" s="13"/>
      <c r="FMT3" s="13"/>
      <c r="FMU3" s="13"/>
      <c r="FMV3" s="13"/>
      <c r="FMW3" s="13"/>
      <c r="FMX3" s="13"/>
      <c r="FMY3" s="13"/>
      <c r="FMZ3" s="13"/>
      <c r="FNA3" s="13"/>
      <c r="FNB3" s="13"/>
      <c r="FNC3" s="13"/>
      <c r="FND3" s="13"/>
      <c r="FNE3" s="13"/>
      <c r="FNF3" s="13"/>
      <c r="FNG3" s="13"/>
      <c r="FNH3" s="13"/>
      <c r="FNI3" s="13"/>
      <c r="FNJ3" s="13"/>
      <c r="FNK3" s="13"/>
      <c r="FNL3" s="13"/>
      <c r="FNM3" s="13"/>
      <c r="FNN3" s="13"/>
      <c r="FNO3" s="13"/>
      <c r="FNP3" s="13"/>
      <c r="FNQ3" s="13"/>
      <c r="FNR3" s="13"/>
      <c r="FNS3" s="13"/>
      <c r="FNT3" s="13"/>
      <c r="FNU3" s="13"/>
      <c r="FNV3" s="13"/>
      <c r="FNW3" s="13"/>
      <c r="FNX3" s="13"/>
      <c r="FNY3" s="13"/>
      <c r="FNZ3" s="13"/>
      <c r="FOA3" s="13"/>
      <c r="FOB3" s="13"/>
      <c r="FOC3" s="13"/>
      <c r="FOD3" s="13"/>
      <c r="FOE3" s="13"/>
      <c r="FOF3" s="13"/>
      <c r="FOG3" s="13"/>
      <c r="FOH3" s="13"/>
      <c r="FOI3" s="13"/>
      <c r="FOJ3" s="13"/>
      <c r="FOK3" s="13"/>
      <c r="FOL3" s="13"/>
      <c r="FOM3" s="13"/>
      <c r="FON3" s="13"/>
      <c r="FOO3" s="13"/>
      <c r="FOP3" s="13"/>
      <c r="FOQ3" s="13"/>
      <c r="FOR3" s="13"/>
      <c r="FOS3" s="13"/>
      <c r="FOT3" s="13"/>
      <c r="FOU3" s="13"/>
      <c r="FOV3" s="13"/>
      <c r="FOW3" s="13"/>
      <c r="FOX3" s="13"/>
      <c r="FOY3" s="13"/>
      <c r="FOZ3" s="13"/>
      <c r="FPA3" s="13"/>
      <c r="FPB3" s="13"/>
      <c r="FPC3" s="13"/>
      <c r="FPD3" s="13"/>
      <c r="FPE3" s="13"/>
      <c r="FPF3" s="13"/>
      <c r="FPG3" s="13"/>
      <c r="FPH3" s="13"/>
      <c r="FPI3" s="13"/>
      <c r="FPJ3" s="13"/>
      <c r="FPK3" s="13"/>
      <c r="FPL3" s="13"/>
      <c r="FPM3" s="13"/>
      <c r="FPN3" s="13"/>
      <c r="FPO3" s="13"/>
      <c r="FPP3" s="13"/>
      <c r="FPQ3" s="13"/>
      <c r="FPR3" s="13"/>
      <c r="FPS3" s="13"/>
      <c r="FPT3" s="13"/>
      <c r="FPU3" s="13"/>
      <c r="FPV3" s="13"/>
      <c r="FPW3" s="13"/>
      <c r="FPX3" s="13"/>
      <c r="FPY3" s="13"/>
      <c r="FPZ3" s="13"/>
      <c r="FQA3" s="13"/>
      <c r="FQB3" s="13"/>
      <c r="FQC3" s="13"/>
      <c r="FQD3" s="13"/>
      <c r="FQE3" s="13"/>
      <c r="FQF3" s="13"/>
      <c r="FQG3" s="13"/>
      <c r="FQH3" s="13"/>
      <c r="FQI3" s="13"/>
      <c r="FQJ3" s="13"/>
      <c r="FQK3" s="13"/>
      <c r="FQL3" s="13"/>
      <c r="FQM3" s="13"/>
      <c r="FQN3" s="13"/>
      <c r="FQO3" s="13"/>
      <c r="FQP3" s="13"/>
      <c r="FQQ3" s="13"/>
      <c r="FQR3" s="13"/>
      <c r="FQS3" s="13"/>
      <c r="FQT3" s="13"/>
      <c r="FQU3" s="13"/>
      <c r="FQV3" s="13"/>
      <c r="FQW3" s="13"/>
      <c r="FQX3" s="13"/>
      <c r="FQY3" s="13"/>
      <c r="FQZ3" s="13"/>
      <c r="FRA3" s="13"/>
      <c r="FRB3" s="13"/>
      <c r="FRC3" s="13"/>
      <c r="FRD3" s="13"/>
      <c r="FRE3" s="13"/>
      <c r="FRF3" s="13"/>
      <c r="FRG3" s="13"/>
      <c r="FRH3" s="13"/>
      <c r="FRI3" s="13"/>
      <c r="FRJ3" s="13"/>
      <c r="FRK3" s="13"/>
      <c r="FRL3" s="13"/>
      <c r="FRM3" s="13"/>
      <c r="FRN3" s="13"/>
      <c r="FRO3" s="13"/>
      <c r="FRP3" s="13"/>
      <c r="FRQ3" s="13"/>
      <c r="FRR3" s="13"/>
      <c r="FRS3" s="13"/>
      <c r="FRT3" s="13"/>
      <c r="FRU3" s="13"/>
      <c r="FRV3" s="13"/>
      <c r="FRW3" s="13"/>
      <c r="FRX3" s="13"/>
      <c r="FRY3" s="13"/>
      <c r="FRZ3" s="13"/>
      <c r="FSA3" s="13"/>
      <c r="FSB3" s="13"/>
      <c r="FSC3" s="13"/>
      <c r="FSD3" s="13"/>
      <c r="FSE3" s="13"/>
      <c r="FSF3" s="13"/>
      <c r="FSG3" s="13"/>
      <c r="FSH3" s="13"/>
      <c r="FSI3" s="13"/>
      <c r="FSJ3" s="13"/>
      <c r="FSK3" s="13"/>
      <c r="FSL3" s="13"/>
      <c r="FSM3" s="13"/>
      <c r="FSN3" s="13"/>
      <c r="FSO3" s="13"/>
      <c r="FSP3" s="13"/>
      <c r="FSQ3" s="13"/>
      <c r="FSR3" s="13"/>
      <c r="FSS3" s="13"/>
      <c r="FST3" s="13"/>
      <c r="FSU3" s="13"/>
      <c r="FSV3" s="13"/>
      <c r="FSW3" s="13"/>
      <c r="FSX3" s="13"/>
      <c r="FSY3" s="13"/>
      <c r="FSZ3" s="13"/>
      <c r="FTA3" s="13"/>
      <c r="FTB3" s="13"/>
      <c r="FTC3" s="13"/>
      <c r="FTD3" s="13"/>
      <c r="FTE3" s="13"/>
      <c r="FTF3" s="13"/>
      <c r="FTG3" s="13"/>
      <c r="FTH3" s="13"/>
      <c r="FTI3" s="13"/>
      <c r="FTJ3" s="13"/>
      <c r="FTK3" s="13"/>
      <c r="FTL3" s="13"/>
      <c r="FTM3" s="13"/>
      <c r="FTN3" s="13"/>
      <c r="FTO3" s="13"/>
      <c r="FTP3" s="13"/>
      <c r="FTQ3" s="13"/>
      <c r="FTR3" s="13"/>
      <c r="FTS3" s="13"/>
      <c r="FTT3" s="13"/>
      <c r="FTU3" s="13"/>
      <c r="FTV3" s="13"/>
      <c r="FTW3" s="13"/>
      <c r="FTX3" s="13"/>
      <c r="FTY3" s="13"/>
      <c r="FTZ3" s="13"/>
      <c r="FUA3" s="13"/>
      <c r="FUB3" s="13"/>
      <c r="FUC3" s="13"/>
      <c r="FUD3" s="13"/>
      <c r="FUE3" s="13"/>
      <c r="FUF3" s="13"/>
      <c r="FUG3" s="13"/>
      <c r="FUH3" s="13"/>
      <c r="FUI3" s="13"/>
      <c r="FUJ3" s="13"/>
      <c r="FUK3" s="13"/>
      <c r="FUL3" s="13"/>
      <c r="FUM3" s="13"/>
      <c r="FUN3" s="13"/>
      <c r="FUO3" s="13"/>
      <c r="FUP3" s="13"/>
      <c r="FUQ3" s="13"/>
      <c r="FUR3" s="13"/>
      <c r="FUS3" s="13"/>
      <c r="FUT3" s="13"/>
      <c r="FUU3" s="13"/>
      <c r="FUV3" s="13"/>
      <c r="FUW3" s="13"/>
      <c r="FUX3" s="13"/>
      <c r="FUY3" s="13"/>
      <c r="FUZ3" s="13"/>
      <c r="FVA3" s="13"/>
      <c r="FVB3" s="13"/>
      <c r="FVC3" s="13"/>
      <c r="FVD3" s="13"/>
      <c r="FVE3" s="13"/>
      <c r="FVF3" s="13"/>
      <c r="FVG3" s="13"/>
      <c r="FVH3" s="13"/>
      <c r="FVI3" s="13"/>
      <c r="FVJ3" s="13"/>
      <c r="FVK3" s="13"/>
      <c r="FVL3" s="13"/>
      <c r="FVM3" s="13"/>
      <c r="FVN3" s="13"/>
      <c r="FVO3" s="13"/>
      <c r="FVP3" s="13"/>
      <c r="FVQ3" s="13"/>
      <c r="FVR3" s="13"/>
      <c r="FVS3" s="13"/>
      <c r="FVT3" s="13"/>
      <c r="FVU3" s="13"/>
      <c r="FVV3" s="13"/>
      <c r="FVW3" s="13"/>
      <c r="FVX3" s="13"/>
      <c r="FVY3" s="13"/>
      <c r="FVZ3" s="13"/>
      <c r="FWA3" s="13"/>
      <c r="FWB3" s="13"/>
      <c r="FWC3" s="13"/>
      <c r="FWD3" s="13"/>
      <c r="FWE3" s="13"/>
      <c r="FWF3" s="13"/>
      <c r="FWG3" s="13"/>
      <c r="FWH3" s="13"/>
      <c r="FWI3" s="13"/>
      <c r="FWJ3" s="13"/>
      <c r="FWK3" s="13"/>
      <c r="FWL3" s="13"/>
      <c r="FWM3" s="13"/>
      <c r="FWN3" s="13"/>
      <c r="FWO3" s="13"/>
      <c r="FWP3" s="13"/>
      <c r="FWQ3" s="13"/>
      <c r="FWR3" s="13"/>
      <c r="FWS3" s="13"/>
      <c r="FWT3" s="13"/>
      <c r="FWU3" s="13"/>
      <c r="FWV3" s="13"/>
      <c r="FWW3" s="13"/>
      <c r="FWX3" s="13"/>
      <c r="FWY3" s="13"/>
      <c r="FWZ3" s="13"/>
      <c r="FXA3" s="13"/>
      <c r="FXB3" s="13"/>
      <c r="FXC3" s="13"/>
      <c r="FXD3" s="13"/>
      <c r="FXE3" s="13"/>
      <c r="FXF3" s="13"/>
      <c r="FXG3" s="13"/>
      <c r="FXH3" s="13"/>
      <c r="FXI3" s="13"/>
      <c r="FXJ3" s="13"/>
      <c r="FXK3" s="13"/>
      <c r="FXL3" s="13"/>
      <c r="FXM3" s="13"/>
      <c r="FXN3" s="13"/>
      <c r="FXO3" s="13"/>
      <c r="FXP3" s="13"/>
      <c r="FXQ3" s="13"/>
      <c r="FXR3" s="13"/>
      <c r="FXS3" s="13"/>
      <c r="FXT3" s="13"/>
      <c r="FXU3" s="13"/>
      <c r="FXV3" s="13"/>
      <c r="FXW3" s="13"/>
      <c r="FXX3" s="13"/>
      <c r="FXY3" s="13"/>
      <c r="FXZ3" s="13"/>
      <c r="FYA3" s="13"/>
      <c r="FYB3" s="13"/>
      <c r="FYC3" s="13"/>
      <c r="FYD3" s="13"/>
      <c r="FYE3" s="13"/>
      <c r="FYF3" s="13"/>
      <c r="FYG3" s="13"/>
      <c r="FYH3" s="13"/>
      <c r="FYI3" s="13"/>
      <c r="FYJ3" s="13"/>
      <c r="FYK3" s="13"/>
      <c r="FYL3" s="13"/>
      <c r="FYM3" s="13"/>
      <c r="FYN3" s="13"/>
      <c r="FYO3" s="13"/>
      <c r="FYP3" s="13"/>
      <c r="FYQ3" s="13"/>
      <c r="FYR3" s="13"/>
      <c r="FYS3" s="13"/>
      <c r="FYT3" s="13"/>
      <c r="FYU3" s="13"/>
      <c r="FYV3" s="13"/>
      <c r="FYW3" s="13"/>
      <c r="FYX3" s="13"/>
      <c r="FYY3" s="13"/>
      <c r="FYZ3" s="13"/>
      <c r="FZA3" s="13"/>
      <c r="FZB3" s="13"/>
      <c r="FZC3" s="13"/>
      <c r="FZD3" s="13"/>
      <c r="FZE3" s="13"/>
      <c r="FZF3" s="13"/>
      <c r="FZG3" s="13"/>
      <c r="FZH3" s="13"/>
      <c r="FZI3" s="13"/>
      <c r="FZJ3" s="13"/>
      <c r="FZK3" s="13"/>
      <c r="FZL3" s="13"/>
      <c r="FZM3" s="13"/>
      <c r="FZN3" s="13"/>
      <c r="FZO3" s="13"/>
      <c r="FZP3" s="13"/>
      <c r="FZQ3" s="13"/>
      <c r="FZR3" s="13"/>
      <c r="FZS3" s="13"/>
      <c r="FZT3" s="13"/>
      <c r="FZU3" s="13"/>
      <c r="FZV3" s="13"/>
      <c r="FZW3" s="13"/>
      <c r="FZX3" s="13"/>
      <c r="FZY3" s="13"/>
      <c r="FZZ3" s="13"/>
      <c r="GAA3" s="13"/>
      <c r="GAB3" s="13"/>
      <c r="GAC3" s="13"/>
      <c r="GAD3" s="13"/>
      <c r="GAE3" s="13"/>
      <c r="GAF3" s="13"/>
      <c r="GAG3" s="13"/>
      <c r="GAH3" s="13"/>
      <c r="GAI3" s="13"/>
      <c r="GAJ3" s="13"/>
      <c r="GAK3" s="13"/>
      <c r="GAL3" s="13"/>
      <c r="GAM3" s="13"/>
      <c r="GAN3" s="13"/>
      <c r="GAO3" s="13"/>
      <c r="GAP3" s="13"/>
      <c r="GAQ3" s="13"/>
      <c r="GAR3" s="13"/>
      <c r="GAS3" s="13"/>
      <c r="GAT3" s="13"/>
      <c r="GAU3" s="13"/>
      <c r="GAV3" s="13"/>
      <c r="GAW3" s="13"/>
      <c r="GAX3" s="13"/>
      <c r="GAY3" s="13"/>
      <c r="GAZ3" s="13"/>
      <c r="GBA3" s="13"/>
      <c r="GBB3" s="13"/>
      <c r="GBC3" s="13"/>
      <c r="GBD3" s="13"/>
      <c r="GBE3" s="13"/>
      <c r="GBF3" s="13"/>
      <c r="GBG3" s="13"/>
      <c r="GBH3" s="13"/>
      <c r="GBI3" s="13"/>
      <c r="GBJ3" s="13"/>
      <c r="GBK3" s="13"/>
      <c r="GBL3" s="13"/>
      <c r="GBM3" s="13"/>
      <c r="GBN3" s="13"/>
      <c r="GBO3" s="13"/>
      <c r="GBP3" s="13"/>
      <c r="GBQ3" s="13"/>
      <c r="GBR3" s="13"/>
      <c r="GBS3" s="13"/>
      <c r="GBT3" s="13"/>
      <c r="GBU3" s="13"/>
      <c r="GBV3" s="13"/>
      <c r="GBW3" s="13"/>
      <c r="GBX3" s="13"/>
      <c r="GBY3" s="13"/>
      <c r="GBZ3" s="13"/>
      <c r="GCA3" s="13"/>
      <c r="GCB3" s="13"/>
      <c r="GCC3" s="13"/>
      <c r="GCD3" s="13"/>
      <c r="GCE3" s="13"/>
      <c r="GCF3" s="13"/>
      <c r="GCG3" s="13"/>
      <c r="GCH3" s="13"/>
      <c r="GCI3" s="13"/>
      <c r="GCJ3" s="13"/>
      <c r="GCK3" s="13"/>
      <c r="GCL3" s="13"/>
      <c r="GCM3" s="13"/>
      <c r="GCN3" s="13"/>
      <c r="GCO3" s="13"/>
      <c r="GCP3" s="13"/>
      <c r="GCQ3" s="13"/>
      <c r="GCR3" s="13"/>
      <c r="GCS3" s="13"/>
      <c r="GCT3" s="13"/>
      <c r="GCU3" s="13"/>
      <c r="GCV3" s="13"/>
      <c r="GCW3" s="13"/>
      <c r="GCX3" s="13"/>
      <c r="GCY3" s="13"/>
      <c r="GCZ3" s="13"/>
      <c r="GDA3" s="13"/>
      <c r="GDB3" s="13"/>
      <c r="GDC3" s="13"/>
      <c r="GDD3" s="13"/>
      <c r="GDE3" s="13"/>
      <c r="GDF3" s="13"/>
      <c r="GDG3" s="13"/>
      <c r="GDH3" s="13"/>
      <c r="GDI3" s="13"/>
      <c r="GDJ3" s="13"/>
      <c r="GDK3" s="13"/>
      <c r="GDL3" s="13"/>
      <c r="GDM3" s="13"/>
      <c r="GDN3" s="13"/>
      <c r="GDO3" s="13"/>
      <c r="GDP3" s="13"/>
      <c r="GDQ3" s="13"/>
      <c r="GDR3" s="13"/>
      <c r="GDS3" s="13"/>
      <c r="GDT3" s="13"/>
      <c r="GDU3" s="13"/>
      <c r="GDV3" s="13"/>
      <c r="GDW3" s="13"/>
      <c r="GDX3" s="13"/>
      <c r="GDY3" s="13"/>
      <c r="GDZ3" s="13"/>
      <c r="GEA3" s="13"/>
      <c r="GEB3" s="13"/>
      <c r="GEC3" s="13"/>
      <c r="GED3" s="13"/>
      <c r="GEE3" s="13"/>
      <c r="GEF3" s="13"/>
      <c r="GEG3" s="13"/>
      <c r="GEH3" s="13"/>
      <c r="GEI3" s="13"/>
      <c r="GEJ3" s="13"/>
      <c r="GEK3" s="13"/>
      <c r="GEL3" s="13"/>
      <c r="GEM3" s="13"/>
      <c r="GEN3" s="13"/>
      <c r="GEO3" s="13"/>
      <c r="GEP3" s="13"/>
      <c r="GEQ3" s="13"/>
      <c r="GER3" s="13"/>
      <c r="GES3" s="13"/>
      <c r="GET3" s="13"/>
      <c r="GEU3" s="13"/>
      <c r="GEV3" s="13"/>
      <c r="GEW3" s="13"/>
      <c r="GEX3" s="13"/>
      <c r="GEY3" s="13"/>
      <c r="GEZ3" s="13"/>
      <c r="GFA3" s="13"/>
      <c r="GFB3" s="13"/>
      <c r="GFC3" s="13"/>
      <c r="GFD3" s="13"/>
      <c r="GFE3" s="13"/>
      <c r="GFF3" s="13"/>
      <c r="GFG3" s="13"/>
      <c r="GFH3" s="13"/>
      <c r="GFI3" s="13"/>
      <c r="GFJ3" s="13"/>
      <c r="GFK3" s="13"/>
      <c r="GFL3" s="13"/>
      <c r="GFM3" s="13"/>
      <c r="GFN3" s="13"/>
      <c r="GFO3" s="13"/>
      <c r="GFP3" s="13"/>
      <c r="GFQ3" s="13"/>
      <c r="GFR3" s="13"/>
      <c r="GFS3" s="13"/>
      <c r="GFT3" s="13"/>
      <c r="GFU3" s="13"/>
      <c r="GFV3" s="13"/>
      <c r="GFW3" s="13"/>
      <c r="GFX3" s="13"/>
      <c r="GFY3" s="13"/>
      <c r="GFZ3" s="13"/>
      <c r="GGA3" s="13"/>
      <c r="GGB3" s="13"/>
      <c r="GGC3" s="13"/>
      <c r="GGD3" s="13"/>
      <c r="GGE3" s="13"/>
      <c r="GGF3" s="13"/>
      <c r="GGG3" s="13"/>
      <c r="GGH3" s="13"/>
      <c r="GGI3" s="13"/>
      <c r="GGJ3" s="13"/>
      <c r="GGK3" s="13"/>
      <c r="GGL3" s="13"/>
      <c r="GGM3" s="13"/>
      <c r="GGN3" s="13"/>
      <c r="GGO3" s="13"/>
      <c r="GGP3" s="13"/>
      <c r="GGQ3" s="13"/>
      <c r="GGR3" s="13"/>
      <c r="GGS3" s="13"/>
      <c r="GGT3" s="13"/>
      <c r="GGU3" s="13"/>
      <c r="GGV3" s="13"/>
      <c r="GGW3" s="13"/>
      <c r="GGX3" s="13"/>
      <c r="GGY3" s="13"/>
      <c r="GGZ3" s="13"/>
      <c r="GHA3" s="13"/>
      <c r="GHB3" s="13"/>
      <c r="GHC3" s="13"/>
      <c r="GHD3" s="13"/>
      <c r="GHE3" s="13"/>
      <c r="GHF3" s="13"/>
      <c r="GHG3" s="13"/>
      <c r="GHH3" s="13"/>
      <c r="GHI3" s="13"/>
      <c r="GHJ3" s="13"/>
      <c r="GHK3" s="13"/>
      <c r="GHL3" s="13"/>
      <c r="GHM3" s="13"/>
      <c r="GHN3" s="13"/>
      <c r="GHO3" s="13"/>
      <c r="GHP3" s="13"/>
      <c r="GHQ3" s="13"/>
      <c r="GHR3" s="13"/>
      <c r="GHS3" s="13"/>
      <c r="GHT3" s="13"/>
      <c r="GHU3" s="13"/>
      <c r="GHV3" s="13"/>
      <c r="GHW3" s="13"/>
      <c r="GHX3" s="13"/>
      <c r="GHY3" s="13"/>
      <c r="GHZ3" s="13"/>
      <c r="GIA3" s="13"/>
      <c r="GIB3" s="13"/>
      <c r="GIC3" s="13"/>
      <c r="GID3" s="13"/>
      <c r="GIE3" s="13"/>
      <c r="GIF3" s="13"/>
      <c r="GIG3" s="13"/>
      <c r="GIH3" s="13"/>
      <c r="GII3" s="13"/>
      <c r="GIJ3" s="13"/>
      <c r="GIK3" s="13"/>
      <c r="GIL3" s="13"/>
      <c r="GIM3" s="13"/>
      <c r="GIN3" s="13"/>
      <c r="GIO3" s="13"/>
      <c r="GIP3" s="13"/>
      <c r="GIQ3" s="13"/>
      <c r="GIR3" s="13"/>
      <c r="GIS3" s="13"/>
      <c r="GIT3" s="13"/>
      <c r="GIU3" s="13"/>
      <c r="GIV3" s="13"/>
      <c r="GIW3" s="13"/>
      <c r="GIX3" s="13"/>
      <c r="GIY3" s="13"/>
      <c r="GIZ3" s="13"/>
      <c r="GJA3" s="13"/>
      <c r="GJB3" s="13"/>
      <c r="GJC3" s="13"/>
      <c r="GJD3" s="13"/>
      <c r="GJE3" s="13"/>
      <c r="GJF3" s="13"/>
      <c r="GJG3" s="13"/>
      <c r="GJH3" s="13"/>
      <c r="GJI3" s="13"/>
      <c r="GJJ3" s="13"/>
      <c r="GJK3" s="13"/>
      <c r="GJL3" s="13"/>
      <c r="GJM3" s="13"/>
      <c r="GJN3" s="13"/>
      <c r="GJO3" s="13"/>
      <c r="GJP3" s="13"/>
      <c r="GJQ3" s="13"/>
      <c r="GJR3" s="13"/>
      <c r="GJS3" s="13"/>
      <c r="GJT3" s="13"/>
      <c r="GJU3" s="13"/>
      <c r="GJV3" s="13"/>
      <c r="GJW3" s="13"/>
      <c r="GJX3" s="13"/>
      <c r="GJY3" s="13"/>
      <c r="GJZ3" s="13"/>
      <c r="GKA3" s="13"/>
      <c r="GKB3" s="13"/>
      <c r="GKC3" s="13"/>
      <c r="GKD3" s="13"/>
      <c r="GKE3" s="13"/>
      <c r="GKF3" s="13"/>
      <c r="GKG3" s="13"/>
      <c r="GKH3" s="13"/>
      <c r="GKI3" s="13"/>
      <c r="GKJ3" s="13"/>
      <c r="GKK3" s="13"/>
      <c r="GKL3" s="13"/>
      <c r="GKM3" s="13"/>
      <c r="GKN3" s="13"/>
      <c r="GKO3" s="13"/>
      <c r="GKP3" s="13"/>
      <c r="GKQ3" s="13"/>
      <c r="GKR3" s="13"/>
      <c r="GKS3" s="13"/>
      <c r="GKT3" s="13"/>
      <c r="GKU3" s="13"/>
      <c r="GKV3" s="13"/>
      <c r="GKW3" s="13"/>
      <c r="GKX3" s="13"/>
      <c r="GKY3" s="13"/>
      <c r="GKZ3" s="13"/>
      <c r="GLA3" s="13"/>
      <c r="GLB3" s="13"/>
      <c r="GLC3" s="13"/>
      <c r="GLD3" s="13"/>
      <c r="GLE3" s="13"/>
      <c r="GLF3" s="13"/>
      <c r="GLG3" s="13"/>
      <c r="GLH3" s="13"/>
      <c r="GLI3" s="13"/>
      <c r="GLJ3" s="13"/>
      <c r="GLK3" s="13"/>
      <c r="GLL3" s="13"/>
      <c r="GLM3" s="13"/>
      <c r="GLN3" s="13"/>
      <c r="GLO3" s="13"/>
      <c r="GLP3" s="13"/>
      <c r="GLQ3" s="13"/>
      <c r="GLR3" s="13"/>
      <c r="GLS3" s="13"/>
      <c r="GLT3" s="13"/>
      <c r="GLU3" s="13"/>
      <c r="GLV3" s="13"/>
      <c r="GLW3" s="13"/>
      <c r="GLX3" s="13"/>
      <c r="GLY3" s="13"/>
      <c r="GLZ3" s="13"/>
      <c r="GMA3" s="13"/>
      <c r="GMB3" s="13"/>
      <c r="GMC3" s="13"/>
      <c r="GMD3" s="13"/>
      <c r="GME3" s="13"/>
      <c r="GMF3" s="13"/>
      <c r="GMG3" s="13"/>
      <c r="GMH3" s="13"/>
      <c r="GMI3" s="13"/>
      <c r="GMJ3" s="13"/>
      <c r="GMK3" s="13"/>
      <c r="GML3" s="13"/>
      <c r="GMM3" s="13"/>
      <c r="GMN3" s="13"/>
      <c r="GMO3" s="13"/>
      <c r="GMP3" s="13"/>
      <c r="GMQ3" s="13"/>
      <c r="GMR3" s="13"/>
      <c r="GMS3" s="13"/>
      <c r="GMT3" s="13"/>
      <c r="GMU3" s="13"/>
      <c r="GMV3" s="13"/>
      <c r="GMW3" s="13"/>
      <c r="GMX3" s="13"/>
      <c r="GMY3" s="13"/>
      <c r="GMZ3" s="13"/>
      <c r="GNA3" s="13"/>
      <c r="GNB3" s="13"/>
      <c r="GNC3" s="13"/>
      <c r="GND3" s="13"/>
      <c r="GNE3" s="13"/>
      <c r="GNF3" s="13"/>
      <c r="GNG3" s="13"/>
      <c r="GNH3" s="13"/>
      <c r="GNI3" s="13"/>
      <c r="GNJ3" s="13"/>
      <c r="GNK3" s="13"/>
      <c r="GNL3" s="13"/>
      <c r="GNM3" s="13"/>
      <c r="GNN3" s="13"/>
      <c r="GNO3" s="13"/>
      <c r="GNP3" s="13"/>
      <c r="GNQ3" s="13"/>
      <c r="GNR3" s="13"/>
      <c r="GNS3" s="13"/>
      <c r="GNT3" s="13"/>
      <c r="GNU3" s="13"/>
      <c r="GNV3" s="13"/>
      <c r="GNW3" s="13"/>
      <c r="GNX3" s="13"/>
      <c r="GNY3" s="13"/>
      <c r="GNZ3" s="13"/>
      <c r="GOA3" s="13"/>
      <c r="GOB3" s="13"/>
      <c r="GOC3" s="13"/>
      <c r="GOD3" s="13"/>
      <c r="GOE3" s="13"/>
      <c r="GOF3" s="13"/>
      <c r="GOG3" s="13"/>
      <c r="GOH3" s="13"/>
      <c r="GOI3" s="13"/>
      <c r="GOJ3" s="13"/>
      <c r="GOK3" s="13"/>
      <c r="GOL3" s="13"/>
      <c r="GOM3" s="13"/>
      <c r="GON3" s="13"/>
      <c r="GOO3" s="13"/>
      <c r="GOP3" s="13"/>
      <c r="GOQ3" s="13"/>
      <c r="GOR3" s="13"/>
      <c r="GOS3" s="13"/>
      <c r="GOT3" s="13"/>
      <c r="GOU3" s="13"/>
      <c r="GOV3" s="13"/>
      <c r="GOW3" s="13"/>
      <c r="GOX3" s="13"/>
      <c r="GOY3" s="13"/>
      <c r="GOZ3" s="13"/>
      <c r="GPA3" s="13"/>
      <c r="GPB3" s="13"/>
      <c r="GPC3" s="13"/>
      <c r="GPD3" s="13"/>
      <c r="GPE3" s="13"/>
      <c r="GPF3" s="13"/>
      <c r="GPG3" s="13"/>
      <c r="GPH3" s="13"/>
      <c r="GPI3" s="13"/>
      <c r="GPJ3" s="13"/>
      <c r="GPK3" s="13"/>
      <c r="GPL3" s="13"/>
      <c r="GPM3" s="13"/>
      <c r="GPN3" s="13"/>
      <c r="GPO3" s="13"/>
      <c r="GPP3" s="13"/>
      <c r="GPQ3" s="13"/>
      <c r="GPR3" s="13"/>
      <c r="GPS3" s="13"/>
      <c r="GPT3" s="13"/>
      <c r="GPU3" s="13"/>
      <c r="GPV3" s="13"/>
      <c r="GPW3" s="13"/>
      <c r="GPX3" s="13"/>
      <c r="GPY3" s="13"/>
      <c r="GPZ3" s="13"/>
      <c r="GQA3" s="13"/>
      <c r="GQB3" s="13"/>
      <c r="GQC3" s="13"/>
      <c r="GQD3" s="13"/>
      <c r="GQE3" s="13"/>
      <c r="GQF3" s="13"/>
      <c r="GQG3" s="13"/>
      <c r="GQH3" s="13"/>
      <c r="GQI3" s="13"/>
      <c r="GQJ3" s="13"/>
      <c r="GQK3" s="13"/>
      <c r="GQL3" s="13"/>
      <c r="GQM3" s="13"/>
      <c r="GQN3" s="13"/>
      <c r="GQO3" s="13"/>
      <c r="GQP3" s="13"/>
      <c r="GQQ3" s="13"/>
      <c r="GQR3" s="13"/>
      <c r="GQS3" s="13"/>
      <c r="GQT3" s="13"/>
      <c r="GQU3" s="13"/>
      <c r="GQV3" s="13"/>
      <c r="GQW3" s="13"/>
      <c r="GQX3" s="13"/>
      <c r="GQY3" s="13"/>
      <c r="GQZ3" s="13"/>
      <c r="GRA3" s="13"/>
      <c r="GRB3" s="13"/>
      <c r="GRC3" s="13"/>
      <c r="GRD3" s="13"/>
      <c r="GRE3" s="13"/>
      <c r="GRF3" s="13"/>
      <c r="GRG3" s="13"/>
      <c r="GRH3" s="13"/>
      <c r="GRI3" s="13"/>
      <c r="GRJ3" s="13"/>
      <c r="GRK3" s="13"/>
      <c r="GRL3" s="13"/>
      <c r="GRM3" s="13"/>
      <c r="GRN3" s="13"/>
      <c r="GRO3" s="13"/>
      <c r="GRP3" s="13"/>
      <c r="GRQ3" s="13"/>
      <c r="GRR3" s="13"/>
      <c r="GRS3" s="13"/>
      <c r="GRT3" s="13"/>
      <c r="GRU3" s="13"/>
      <c r="GRV3" s="13"/>
      <c r="GRW3" s="13"/>
      <c r="GRX3" s="13"/>
      <c r="GRY3" s="13"/>
      <c r="GRZ3" s="13"/>
      <c r="GSA3" s="13"/>
      <c r="GSB3" s="13"/>
      <c r="GSC3" s="13"/>
      <c r="GSD3" s="13"/>
      <c r="GSE3" s="13"/>
      <c r="GSF3" s="13"/>
      <c r="GSG3" s="13"/>
      <c r="GSH3" s="13"/>
      <c r="GSI3" s="13"/>
      <c r="GSJ3" s="13"/>
      <c r="GSK3" s="13"/>
      <c r="GSL3" s="13"/>
      <c r="GSM3" s="13"/>
      <c r="GSN3" s="13"/>
      <c r="GSO3" s="13"/>
      <c r="GSP3" s="13"/>
      <c r="GSQ3" s="13"/>
      <c r="GSR3" s="13"/>
      <c r="GSS3" s="13"/>
      <c r="GST3" s="13"/>
      <c r="GSU3" s="13"/>
      <c r="GSV3" s="13"/>
      <c r="GSW3" s="13"/>
      <c r="GSX3" s="13"/>
      <c r="GSY3" s="13"/>
      <c r="GSZ3" s="13"/>
      <c r="GTA3" s="13"/>
      <c r="GTB3" s="13"/>
      <c r="GTC3" s="13"/>
      <c r="GTD3" s="13"/>
      <c r="GTE3" s="13"/>
      <c r="GTF3" s="13"/>
      <c r="GTG3" s="13"/>
      <c r="GTH3" s="13"/>
      <c r="GTI3" s="13"/>
      <c r="GTJ3" s="13"/>
      <c r="GTK3" s="13"/>
      <c r="GTL3" s="13"/>
      <c r="GTM3" s="13"/>
      <c r="GTN3" s="13"/>
      <c r="GTO3" s="13"/>
      <c r="GTP3" s="13"/>
      <c r="GTQ3" s="13"/>
      <c r="GTR3" s="13"/>
      <c r="GTS3" s="13"/>
      <c r="GTT3" s="13"/>
      <c r="GTU3" s="13"/>
      <c r="GTV3" s="13"/>
      <c r="GTW3" s="13"/>
      <c r="GTX3" s="13"/>
      <c r="GTY3" s="13"/>
      <c r="GTZ3" s="13"/>
      <c r="GUA3" s="13"/>
      <c r="GUB3" s="13"/>
      <c r="GUC3" s="13"/>
      <c r="GUD3" s="13"/>
      <c r="GUE3" s="13"/>
      <c r="GUF3" s="13"/>
      <c r="GUG3" s="13"/>
      <c r="GUH3" s="13"/>
      <c r="GUI3" s="13"/>
      <c r="GUJ3" s="13"/>
      <c r="GUK3" s="13"/>
      <c r="GUL3" s="13"/>
      <c r="GUM3" s="13"/>
      <c r="GUN3" s="13"/>
      <c r="GUO3" s="13"/>
      <c r="GUP3" s="13"/>
      <c r="GUQ3" s="13"/>
      <c r="GUR3" s="13"/>
      <c r="GUS3" s="13"/>
      <c r="GUT3" s="13"/>
      <c r="GUU3" s="13"/>
      <c r="GUV3" s="13"/>
      <c r="GUW3" s="13"/>
      <c r="GUX3" s="13"/>
      <c r="GUY3" s="13"/>
      <c r="GUZ3" s="13"/>
      <c r="GVA3" s="13"/>
      <c r="GVB3" s="13"/>
      <c r="GVC3" s="13"/>
      <c r="GVD3" s="13"/>
      <c r="GVE3" s="13"/>
      <c r="GVF3" s="13"/>
      <c r="GVG3" s="13"/>
      <c r="GVH3" s="13"/>
      <c r="GVI3" s="13"/>
      <c r="GVJ3" s="13"/>
      <c r="GVK3" s="13"/>
      <c r="GVL3" s="13"/>
      <c r="GVM3" s="13"/>
      <c r="GVN3" s="13"/>
      <c r="GVO3" s="13"/>
      <c r="GVP3" s="13"/>
      <c r="GVQ3" s="13"/>
      <c r="GVR3" s="13"/>
      <c r="GVS3" s="13"/>
      <c r="GVT3" s="13"/>
      <c r="GVU3" s="13"/>
      <c r="GVV3" s="13"/>
      <c r="GVW3" s="13"/>
      <c r="GVX3" s="13"/>
      <c r="GVY3" s="13"/>
      <c r="GVZ3" s="13"/>
      <c r="GWA3" s="13"/>
      <c r="GWB3" s="13"/>
      <c r="GWC3" s="13"/>
      <c r="GWD3" s="13"/>
      <c r="GWE3" s="13"/>
      <c r="GWF3" s="13"/>
      <c r="GWG3" s="13"/>
      <c r="GWH3" s="13"/>
      <c r="GWI3" s="13"/>
      <c r="GWJ3" s="13"/>
      <c r="GWK3" s="13"/>
      <c r="GWL3" s="13"/>
      <c r="GWM3" s="13"/>
      <c r="GWN3" s="13"/>
      <c r="GWO3" s="13"/>
      <c r="GWP3" s="13"/>
      <c r="GWQ3" s="13"/>
      <c r="GWR3" s="13"/>
      <c r="GWS3" s="13"/>
      <c r="GWT3" s="13"/>
      <c r="GWU3" s="13"/>
      <c r="GWV3" s="13"/>
      <c r="GWW3" s="13"/>
      <c r="GWX3" s="13"/>
      <c r="GWY3" s="13"/>
      <c r="GWZ3" s="13"/>
      <c r="GXA3" s="13"/>
      <c r="GXB3" s="13"/>
      <c r="GXC3" s="13"/>
      <c r="GXD3" s="13"/>
      <c r="GXE3" s="13"/>
      <c r="GXF3" s="13"/>
      <c r="GXG3" s="13"/>
      <c r="GXH3" s="13"/>
      <c r="GXI3" s="13"/>
      <c r="GXJ3" s="13"/>
      <c r="GXK3" s="13"/>
      <c r="GXL3" s="13"/>
      <c r="GXM3" s="13"/>
      <c r="GXN3" s="13"/>
      <c r="GXO3" s="13"/>
      <c r="GXP3" s="13"/>
      <c r="GXQ3" s="13"/>
      <c r="GXR3" s="13"/>
      <c r="GXS3" s="13"/>
      <c r="GXT3" s="13"/>
      <c r="GXU3" s="13"/>
      <c r="GXV3" s="13"/>
      <c r="GXW3" s="13"/>
      <c r="GXX3" s="13"/>
      <c r="GXY3" s="13"/>
      <c r="GXZ3" s="13"/>
      <c r="GYA3" s="13"/>
      <c r="GYB3" s="13"/>
      <c r="GYC3" s="13"/>
      <c r="GYD3" s="13"/>
      <c r="GYE3" s="13"/>
      <c r="GYF3" s="13"/>
      <c r="GYG3" s="13"/>
      <c r="GYH3" s="13"/>
      <c r="GYI3" s="13"/>
      <c r="GYJ3" s="13"/>
      <c r="GYK3" s="13"/>
      <c r="GYL3" s="13"/>
      <c r="GYM3" s="13"/>
      <c r="GYN3" s="13"/>
      <c r="GYO3" s="13"/>
      <c r="GYP3" s="13"/>
      <c r="GYQ3" s="13"/>
      <c r="GYR3" s="13"/>
      <c r="GYS3" s="13"/>
      <c r="GYT3" s="13"/>
      <c r="GYU3" s="13"/>
      <c r="GYV3" s="13"/>
      <c r="GYW3" s="13"/>
      <c r="GYX3" s="13"/>
      <c r="GYY3" s="13"/>
      <c r="GYZ3" s="13"/>
      <c r="GZA3" s="13"/>
      <c r="GZB3" s="13"/>
      <c r="GZC3" s="13"/>
      <c r="GZD3" s="13"/>
      <c r="GZE3" s="13"/>
      <c r="GZF3" s="13"/>
      <c r="GZG3" s="13"/>
      <c r="GZH3" s="13"/>
      <c r="GZI3" s="13"/>
      <c r="GZJ3" s="13"/>
      <c r="GZK3" s="13"/>
      <c r="GZL3" s="13"/>
      <c r="GZM3" s="13"/>
      <c r="GZN3" s="13"/>
      <c r="GZO3" s="13"/>
      <c r="GZP3" s="13"/>
      <c r="GZQ3" s="13"/>
      <c r="GZR3" s="13"/>
      <c r="GZS3" s="13"/>
      <c r="GZT3" s="13"/>
      <c r="GZU3" s="13"/>
      <c r="GZV3" s="13"/>
      <c r="GZW3" s="13"/>
      <c r="GZX3" s="13"/>
      <c r="GZY3" s="13"/>
      <c r="GZZ3" s="13"/>
      <c r="HAA3" s="13"/>
      <c r="HAB3" s="13"/>
      <c r="HAC3" s="13"/>
      <c r="HAD3" s="13"/>
      <c r="HAE3" s="13"/>
      <c r="HAF3" s="13"/>
      <c r="HAG3" s="13"/>
      <c r="HAH3" s="13"/>
      <c r="HAI3" s="13"/>
      <c r="HAJ3" s="13"/>
      <c r="HAK3" s="13"/>
      <c r="HAL3" s="13"/>
      <c r="HAM3" s="13"/>
      <c r="HAN3" s="13"/>
      <c r="HAO3" s="13"/>
      <c r="HAP3" s="13"/>
      <c r="HAQ3" s="13"/>
      <c r="HAR3" s="13"/>
      <c r="HAS3" s="13"/>
      <c r="HAT3" s="13"/>
      <c r="HAU3" s="13"/>
      <c r="HAV3" s="13"/>
      <c r="HAW3" s="13"/>
      <c r="HAX3" s="13"/>
      <c r="HAY3" s="13"/>
      <c r="HAZ3" s="13"/>
      <c r="HBA3" s="13"/>
      <c r="HBB3" s="13"/>
      <c r="HBC3" s="13"/>
      <c r="HBD3" s="13"/>
      <c r="HBE3" s="13"/>
      <c r="HBF3" s="13"/>
      <c r="HBG3" s="13"/>
      <c r="HBH3" s="13"/>
      <c r="HBI3" s="13"/>
      <c r="HBJ3" s="13"/>
      <c r="HBK3" s="13"/>
      <c r="HBL3" s="13"/>
      <c r="HBM3" s="13"/>
      <c r="HBN3" s="13"/>
      <c r="HBO3" s="13"/>
      <c r="HBP3" s="13"/>
      <c r="HBQ3" s="13"/>
      <c r="HBR3" s="13"/>
      <c r="HBS3" s="13"/>
      <c r="HBT3" s="13"/>
      <c r="HBU3" s="13"/>
      <c r="HBV3" s="13"/>
      <c r="HBW3" s="13"/>
      <c r="HBX3" s="13"/>
      <c r="HBY3" s="13"/>
      <c r="HBZ3" s="13"/>
      <c r="HCA3" s="13"/>
      <c r="HCB3" s="13"/>
      <c r="HCC3" s="13"/>
      <c r="HCD3" s="13"/>
      <c r="HCE3" s="13"/>
      <c r="HCF3" s="13"/>
      <c r="HCG3" s="13"/>
      <c r="HCH3" s="13"/>
      <c r="HCI3" s="13"/>
      <c r="HCJ3" s="13"/>
      <c r="HCK3" s="13"/>
      <c r="HCL3" s="13"/>
      <c r="HCM3" s="13"/>
      <c r="HCN3" s="13"/>
      <c r="HCO3" s="13"/>
      <c r="HCP3" s="13"/>
      <c r="HCQ3" s="13"/>
      <c r="HCR3" s="13"/>
      <c r="HCS3" s="13"/>
      <c r="HCT3" s="13"/>
      <c r="HCU3" s="13"/>
      <c r="HCV3" s="13"/>
      <c r="HCW3" s="13"/>
      <c r="HCX3" s="13"/>
      <c r="HCY3" s="13"/>
      <c r="HCZ3" s="13"/>
      <c r="HDA3" s="13"/>
      <c r="HDB3" s="13"/>
      <c r="HDC3" s="13"/>
      <c r="HDD3" s="13"/>
      <c r="HDE3" s="13"/>
      <c r="HDF3" s="13"/>
      <c r="HDG3" s="13"/>
      <c r="HDH3" s="13"/>
      <c r="HDI3" s="13"/>
      <c r="HDJ3" s="13"/>
      <c r="HDK3" s="13"/>
      <c r="HDL3" s="13"/>
      <c r="HDM3" s="13"/>
      <c r="HDN3" s="13"/>
      <c r="HDO3" s="13"/>
      <c r="HDP3" s="13"/>
      <c r="HDQ3" s="13"/>
      <c r="HDR3" s="13"/>
      <c r="HDS3" s="13"/>
      <c r="HDT3" s="13"/>
      <c r="HDU3" s="13"/>
      <c r="HDV3" s="13"/>
      <c r="HDW3" s="13"/>
      <c r="HDX3" s="13"/>
      <c r="HDY3" s="13"/>
      <c r="HDZ3" s="13"/>
      <c r="HEA3" s="13"/>
      <c r="HEB3" s="13"/>
      <c r="HEC3" s="13"/>
      <c r="HED3" s="13"/>
      <c r="HEE3" s="13"/>
      <c r="HEF3" s="13"/>
      <c r="HEG3" s="13"/>
      <c r="HEH3" s="13"/>
      <c r="HEI3" s="13"/>
      <c r="HEJ3" s="13"/>
      <c r="HEK3" s="13"/>
      <c r="HEL3" s="13"/>
      <c r="HEM3" s="13"/>
      <c r="HEN3" s="13"/>
      <c r="HEO3" s="13"/>
      <c r="HEP3" s="13"/>
      <c r="HEQ3" s="13"/>
      <c r="HER3" s="13"/>
      <c r="HES3" s="13"/>
      <c r="HET3" s="13"/>
      <c r="HEU3" s="13"/>
      <c r="HEV3" s="13"/>
      <c r="HEW3" s="13"/>
      <c r="HEX3" s="13"/>
      <c r="HEY3" s="13"/>
      <c r="HEZ3" s="13"/>
      <c r="HFA3" s="13"/>
      <c r="HFB3" s="13"/>
      <c r="HFC3" s="13"/>
      <c r="HFD3" s="13"/>
      <c r="HFE3" s="13"/>
      <c r="HFF3" s="13"/>
      <c r="HFG3" s="13"/>
      <c r="HFH3" s="13"/>
      <c r="HFI3" s="13"/>
      <c r="HFJ3" s="13"/>
      <c r="HFK3" s="13"/>
      <c r="HFL3" s="13"/>
      <c r="HFM3" s="13"/>
      <c r="HFN3" s="13"/>
      <c r="HFO3" s="13"/>
      <c r="HFP3" s="13"/>
      <c r="HFQ3" s="13"/>
      <c r="HFR3" s="13"/>
      <c r="HFS3" s="13"/>
      <c r="HFT3" s="13"/>
      <c r="HFU3" s="13"/>
      <c r="HFV3" s="13"/>
      <c r="HFW3" s="13"/>
      <c r="HFX3" s="13"/>
      <c r="HFY3" s="13"/>
      <c r="HFZ3" s="13"/>
      <c r="HGA3" s="13"/>
      <c r="HGB3" s="13"/>
      <c r="HGC3" s="13"/>
      <c r="HGD3" s="13"/>
      <c r="HGE3" s="13"/>
      <c r="HGF3" s="13"/>
      <c r="HGG3" s="13"/>
      <c r="HGH3" s="13"/>
      <c r="HGI3" s="13"/>
      <c r="HGJ3" s="13"/>
      <c r="HGK3" s="13"/>
      <c r="HGL3" s="13"/>
      <c r="HGM3" s="13"/>
      <c r="HGN3" s="13"/>
      <c r="HGO3" s="13"/>
      <c r="HGP3" s="13"/>
      <c r="HGQ3" s="13"/>
      <c r="HGR3" s="13"/>
      <c r="HGS3" s="13"/>
      <c r="HGT3" s="13"/>
      <c r="HGU3" s="13"/>
      <c r="HGV3" s="13"/>
      <c r="HGW3" s="13"/>
      <c r="HGX3" s="13"/>
      <c r="HGY3" s="13"/>
      <c r="HGZ3" s="13"/>
      <c r="HHA3" s="13"/>
      <c r="HHB3" s="13"/>
      <c r="HHC3" s="13"/>
      <c r="HHD3" s="13"/>
      <c r="HHE3" s="13"/>
      <c r="HHF3" s="13"/>
      <c r="HHG3" s="13"/>
      <c r="HHH3" s="13"/>
      <c r="HHI3" s="13"/>
      <c r="HHJ3" s="13"/>
      <c r="HHK3" s="13"/>
      <c r="HHL3" s="13"/>
      <c r="HHM3" s="13"/>
      <c r="HHN3" s="13"/>
      <c r="HHO3" s="13"/>
      <c r="HHP3" s="13"/>
      <c r="HHQ3" s="13"/>
      <c r="HHR3" s="13"/>
      <c r="HHS3" s="13"/>
      <c r="HHT3" s="13"/>
      <c r="HHU3" s="13"/>
      <c r="HHV3" s="13"/>
      <c r="HHW3" s="13"/>
      <c r="HHX3" s="13"/>
      <c r="HHY3" s="13"/>
      <c r="HHZ3" s="13"/>
      <c r="HIA3" s="13"/>
      <c r="HIB3" s="13"/>
      <c r="HIC3" s="13"/>
      <c r="HID3" s="13"/>
      <c r="HIE3" s="13"/>
      <c r="HIF3" s="13"/>
      <c r="HIG3" s="13"/>
      <c r="HIH3" s="13"/>
      <c r="HII3" s="13"/>
      <c r="HIJ3" s="13"/>
      <c r="HIK3" s="13"/>
      <c r="HIL3" s="13"/>
      <c r="HIM3" s="13"/>
      <c r="HIN3" s="13"/>
      <c r="HIO3" s="13"/>
      <c r="HIP3" s="13"/>
      <c r="HIQ3" s="13"/>
      <c r="HIR3" s="13"/>
      <c r="HIS3" s="13"/>
      <c r="HIT3" s="13"/>
      <c r="HIU3" s="13"/>
      <c r="HIV3" s="13"/>
      <c r="HIW3" s="13"/>
      <c r="HIX3" s="13"/>
      <c r="HIY3" s="13"/>
      <c r="HIZ3" s="13"/>
      <c r="HJA3" s="13"/>
      <c r="HJB3" s="13"/>
      <c r="HJC3" s="13"/>
      <c r="HJD3" s="13"/>
      <c r="HJE3" s="13"/>
      <c r="HJF3" s="13"/>
      <c r="HJG3" s="13"/>
      <c r="HJH3" s="13"/>
      <c r="HJI3" s="13"/>
      <c r="HJJ3" s="13"/>
      <c r="HJK3" s="13"/>
      <c r="HJL3" s="13"/>
      <c r="HJM3" s="13"/>
      <c r="HJN3" s="13"/>
      <c r="HJO3" s="13"/>
      <c r="HJP3" s="13"/>
      <c r="HJQ3" s="13"/>
      <c r="HJR3" s="13"/>
      <c r="HJS3" s="13"/>
      <c r="HJT3" s="13"/>
      <c r="HJU3" s="13"/>
      <c r="HJV3" s="13"/>
      <c r="HJW3" s="13"/>
      <c r="HJX3" s="13"/>
      <c r="HJY3" s="13"/>
      <c r="HJZ3" s="13"/>
      <c r="HKA3" s="13"/>
      <c r="HKB3" s="13"/>
      <c r="HKC3" s="13"/>
      <c r="HKD3" s="13"/>
      <c r="HKE3" s="13"/>
      <c r="HKF3" s="13"/>
      <c r="HKG3" s="13"/>
      <c r="HKH3" s="13"/>
      <c r="HKI3" s="13"/>
      <c r="HKJ3" s="13"/>
      <c r="HKK3" s="13"/>
      <c r="HKL3" s="13"/>
      <c r="HKM3" s="13"/>
      <c r="HKN3" s="13"/>
      <c r="HKO3" s="13"/>
      <c r="HKP3" s="13"/>
      <c r="HKQ3" s="13"/>
      <c r="HKR3" s="13"/>
      <c r="HKS3" s="13"/>
      <c r="HKT3" s="13"/>
      <c r="HKU3" s="13"/>
      <c r="HKV3" s="13"/>
      <c r="HKW3" s="13"/>
      <c r="HKX3" s="13"/>
      <c r="HKY3" s="13"/>
      <c r="HKZ3" s="13"/>
      <c r="HLA3" s="13"/>
      <c r="HLB3" s="13"/>
      <c r="HLC3" s="13"/>
      <c r="HLD3" s="13"/>
      <c r="HLE3" s="13"/>
      <c r="HLF3" s="13"/>
      <c r="HLG3" s="13"/>
      <c r="HLH3" s="13"/>
      <c r="HLI3" s="13"/>
      <c r="HLJ3" s="13"/>
      <c r="HLK3" s="13"/>
      <c r="HLL3" s="13"/>
      <c r="HLM3" s="13"/>
      <c r="HLN3" s="13"/>
      <c r="HLO3" s="13"/>
      <c r="HLP3" s="13"/>
      <c r="HLQ3" s="13"/>
      <c r="HLR3" s="13"/>
      <c r="HLS3" s="13"/>
      <c r="HLT3" s="13"/>
      <c r="HLU3" s="13"/>
      <c r="HLV3" s="13"/>
      <c r="HLW3" s="13"/>
      <c r="HLX3" s="13"/>
      <c r="HLY3" s="13"/>
      <c r="HLZ3" s="13"/>
      <c r="HMA3" s="13"/>
      <c r="HMB3" s="13"/>
      <c r="HMC3" s="13"/>
      <c r="HMD3" s="13"/>
      <c r="HME3" s="13"/>
      <c r="HMF3" s="13"/>
      <c r="HMG3" s="13"/>
      <c r="HMH3" s="13"/>
      <c r="HMI3" s="13"/>
      <c r="HMJ3" s="13"/>
      <c r="HMK3" s="13"/>
      <c r="HML3" s="13"/>
      <c r="HMM3" s="13"/>
      <c r="HMN3" s="13"/>
      <c r="HMO3" s="13"/>
      <c r="HMP3" s="13"/>
      <c r="HMQ3" s="13"/>
      <c r="HMR3" s="13"/>
      <c r="HMS3" s="13"/>
      <c r="HMT3" s="13"/>
      <c r="HMU3" s="13"/>
      <c r="HMV3" s="13"/>
      <c r="HMW3" s="13"/>
      <c r="HMX3" s="13"/>
      <c r="HMY3" s="13"/>
      <c r="HMZ3" s="13"/>
      <c r="HNA3" s="13"/>
      <c r="HNB3" s="13"/>
      <c r="HNC3" s="13"/>
      <c r="HND3" s="13"/>
      <c r="HNE3" s="13"/>
      <c r="HNF3" s="13"/>
      <c r="HNG3" s="13"/>
      <c r="HNH3" s="13"/>
      <c r="HNI3" s="13"/>
      <c r="HNJ3" s="13"/>
      <c r="HNK3" s="13"/>
      <c r="HNL3" s="13"/>
      <c r="HNM3" s="13"/>
      <c r="HNN3" s="13"/>
      <c r="HNO3" s="13"/>
      <c r="HNP3" s="13"/>
      <c r="HNQ3" s="13"/>
      <c r="HNR3" s="13"/>
      <c r="HNS3" s="13"/>
      <c r="HNT3" s="13"/>
      <c r="HNU3" s="13"/>
      <c r="HNV3" s="13"/>
      <c r="HNW3" s="13"/>
      <c r="HNX3" s="13"/>
      <c r="HNY3" s="13"/>
      <c r="HNZ3" s="13"/>
      <c r="HOA3" s="13"/>
      <c r="HOB3" s="13"/>
      <c r="HOC3" s="13"/>
      <c r="HOD3" s="13"/>
      <c r="HOE3" s="13"/>
      <c r="HOF3" s="13"/>
      <c r="HOG3" s="13"/>
      <c r="HOH3" s="13"/>
      <c r="HOI3" s="13"/>
      <c r="HOJ3" s="13"/>
      <c r="HOK3" s="13"/>
      <c r="HOL3" s="13"/>
      <c r="HOM3" s="13"/>
      <c r="HON3" s="13"/>
      <c r="HOO3" s="13"/>
      <c r="HOP3" s="13"/>
      <c r="HOQ3" s="13"/>
      <c r="HOR3" s="13"/>
      <c r="HOS3" s="13"/>
      <c r="HOT3" s="13"/>
      <c r="HOU3" s="13"/>
      <c r="HOV3" s="13"/>
      <c r="HOW3" s="13"/>
      <c r="HOX3" s="13"/>
      <c r="HOY3" s="13"/>
      <c r="HOZ3" s="13"/>
      <c r="HPA3" s="13"/>
      <c r="HPB3" s="13"/>
      <c r="HPC3" s="13"/>
      <c r="HPD3" s="13"/>
      <c r="HPE3" s="13"/>
      <c r="HPF3" s="13"/>
      <c r="HPG3" s="13"/>
      <c r="HPH3" s="13"/>
      <c r="HPI3" s="13"/>
      <c r="HPJ3" s="13"/>
      <c r="HPK3" s="13"/>
      <c r="HPL3" s="13"/>
      <c r="HPM3" s="13"/>
      <c r="HPN3" s="13"/>
      <c r="HPO3" s="13"/>
      <c r="HPP3" s="13"/>
      <c r="HPQ3" s="13"/>
      <c r="HPR3" s="13"/>
      <c r="HPS3" s="13"/>
      <c r="HPT3" s="13"/>
      <c r="HPU3" s="13"/>
      <c r="HPV3" s="13"/>
      <c r="HPW3" s="13"/>
      <c r="HPX3" s="13"/>
      <c r="HPY3" s="13"/>
      <c r="HPZ3" s="13"/>
      <c r="HQA3" s="13"/>
      <c r="HQB3" s="13"/>
      <c r="HQC3" s="13"/>
      <c r="HQD3" s="13"/>
      <c r="HQE3" s="13"/>
      <c r="HQF3" s="13"/>
      <c r="HQG3" s="13"/>
      <c r="HQH3" s="13"/>
      <c r="HQI3" s="13"/>
      <c r="HQJ3" s="13"/>
      <c r="HQK3" s="13"/>
      <c r="HQL3" s="13"/>
      <c r="HQM3" s="13"/>
      <c r="HQN3" s="13"/>
      <c r="HQO3" s="13"/>
      <c r="HQP3" s="13"/>
      <c r="HQQ3" s="13"/>
      <c r="HQR3" s="13"/>
      <c r="HQS3" s="13"/>
      <c r="HQT3" s="13"/>
      <c r="HQU3" s="13"/>
      <c r="HQV3" s="13"/>
      <c r="HQW3" s="13"/>
      <c r="HQX3" s="13"/>
      <c r="HQY3" s="13"/>
      <c r="HQZ3" s="13"/>
      <c r="HRA3" s="13"/>
      <c r="HRB3" s="13"/>
      <c r="HRC3" s="13"/>
      <c r="HRD3" s="13"/>
      <c r="HRE3" s="13"/>
      <c r="HRF3" s="13"/>
      <c r="HRG3" s="13"/>
      <c r="HRH3" s="13"/>
      <c r="HRI3" s="13"/>
      <c r="HRJ3" s="13"/>
      <c r="HRK3" s="13"/>
      <c r="HRL3" s="13"/>
      <c r="HRM3" s="13"/>
      <c r="HRN3" s="13"/>
      <c r="HRO3" s="13"/>
      <c r="HRP3" s="13"/>
      <c r="HRQ3" s="13"/>
      <c r="HRR3" s="13"/>
      <c r="HRS3" s="13"/>
      <c r="HRT3" s="13"/>
      <c r="HRU3" s="13"/>
      <c r="HRV3" s="13"/>
      <c r="HRW3" s="13"/>
      <c r="HRX3" s="13"/>
      <c r="HRY3" s="13"/>
      <c r="HRZ3" s="13"/>
      <c r="HSA3" s="13"/>
      <c r="HSB3" s="13"/>
      <c r="HSC3" s="13"/>
      <c r="HSD3" s="13"/>
      <c r="HSE3" s="13"/>
      <c r="HSF3" s="13"/>
      <c r="HSG3" s="13"/>
      <c r="HSH3" s="13"/>
      <c r="HSI3" s="13"/>
      <c r="HSJ3" s="13"/>
      <c r="HSK3" s="13"/>
      <c r="HSL3" s="13"/>
      <c r="HSM3" s="13"/>
      <c r="HSN3" s="13"/>
      <c r="HSO3" s="13"/>
      <c r="HSP3" s="13"/>
      <c r="HSQ3" s="13"/>
      <c r="HSR3" s="13"/>
      <c r="HSS3" s="13"/>
      <c r="HST3" s="13"/>
      <c r="HSU3" s="13"/>
      <c r="HSV3" s="13"/>
      <c r="HSW3" s="13"/>
      <c r="HSX3" s="13"/>
      <c r="HSY3" s="13"/>
      <c r="HSZ3" s="13"/>
      <c r="HTA3" s="13"/>
      <c r="HTB3" s="13"/>
      <c r="HTC3" s="13"/>
      <c r="HTD3" s="13"/>
      <c r="HTE3" s="13"/>
      <c r="HTF3" s="13"/>
      <c r="HTG3" s="13"/>
      <c r="HTH3" s="13"/>
      <c r="HTI3" s="13"/>
      <c r="HTJ3" s="13"/>
      <c r="HTK3" s="13"/>
      <c r="HTL3" s="13"/>
      <c r="HTM3" s="13"/>
      <c r="HTN3" s="13"/>
      <c r="HTO3" s="13"/>
      <c r="HTP3" s="13"/>
      <c r="HTQ3" s="13"/>
      <c r="HTR3" s="13"/>
      <c r="HTS3" s="13"/>
      <c r="HTT3" s="13"/>
      <c r="HTU3" s="13"/>
      <c r="HTV3" s="13"/>
      <c r="HTW3" s="13"/>
      <c r="HTX3" s="13"/>
      <c r="HTY3" s="13"/>
      <c r="HTZ3" s="13"/>
      <c r="HUA3" s="13"/>
      <c r="HUB3" s="13"/>
      <c r="HUC3" s="13"/>
      <c r="HUD3" s="13"/>
      <c r="HUE3" s="13"/>
      <c r="HUF3" s="13"/>
      <c r="HUG3" s="13"/>
      <c r="HUH3" s="13"/>
      <c r="HUI3" s="13"/>
      <c r="HUJ3" s="13"/>
      <c r="HUK3" s="13"/>
      <c r="HUL3" s="13"/>
      <c r="HUM3" s="13"/>
      <c r="HUN3" s="13"/>
      <c r="HUO3" s="13"/>
      <c r="HUP3" s="13"/>
      <c r="HUQ3" s="13"/>
      <c r="HUR3" s="13"/>
      <c r="HUS3" s="13"/>
      <c r="HUT3" s="13"/>
      <c r="HUU3" s="13"/>
      <c r="HUV3" s="13"/>
      <c r="HUW3" s="13"/>
      <c r="HUX3" s="13"/>
      <c r="HUY3" s="13"/>
      <c r="HUZ3" s="13"/>
      <c r="HVA3" s="13"/>
      <c r="HVB3" s="13"/>
      <c r="HVC3" s="13"/>
      <c r="HVD3" s="13"/>
      <c r="HVE3" s="13"/>
      <c r="HVF3" s="13"/>
      <c r="HVG3" s="13"/>
      <c r="HVH3" s="13"/>
      <c r="HVI3" s="13"/>
      <c r="HVJ3" s="13"/>
      <c r="HVK3" s="13"/>
      <c r="HVL3" s="13"/>
      <c r="HVM3" s="13"/>
      <c r="HVN3" s="13"/>
      <c r="HVO3" s="13"/>
      <c r="HVP3" s="13"/>
      <c r="HVQ3" s="13"/>
      <c r="HVR3" s="13"/>
      <c r="HVS3" s="13"/>
      <c r="HVT3" s="13"/>
      <c r="HVU3" s="13"/>
      <c r="HVV3" s="13"/>
      <c r="HVW3" s="13"/>
      <c r="HVX3" s="13"/>
      <c r="HVY3" s="13"/>
      <c r="HVZ3" s="13"/>
      <c r="HWA3" s="13"/>
      <c r="HWB3" s="13"/>
      <c r="HWC3" s="13"/>
      <c r="HWD3" s="13"/>
      <c r="HWE3" s="13"/>
      <c r="HWF3" s="13"/>
      <c r="HWG3" s="13"/>
      <c r="HWH3" s="13"/>
      <c r="HWI3" s="13"/>
      <c r="HWJ3" s="13"/>
      <c r="HWK3" s="13"/>
      <c r="HWL3" s="13"/>
      <c r="HWM3" s="13"/>
      <c r="HWN3" s="13"/>
      <c r="HWO3" s="13"/>
      <c r="HWP3" s="13"/>
      <c r="HWQ3" s="13"/>
      <c r="HWR3" s="13"/>
      <c r="HWS3" s="13"/>
      <c r="HWT3" s="13"/>
      <c r="HWU3" s="13"/>
      <c r="HWV3" s="13"/>
      <c r="HWW3" s="13"/>
      <c r="HWX3" s="13"/>
      <c r="HWY3" s="13"/>
      <c r="HWZ3" s="13"/>
      <c r="HXA3" s="13"/>
      <c r="HXB3" s="13"/>
      <c r="HXC3" s="13"/>
      <c r="HXD3" s="13"/>
      <c r="HXE3" s="13"/>
      <c r="HXF3" s="13"/>
      <c r="HXG3" s="13"/>
      <c r="HXH3" s="13"/>
      <c r="HXI3" s="13"/>
      <c r="HXJ3" s="13"/>
      <c r="HXK3" s="13"/>
      <c r="HXL3" s="13"/>
      <c r="HXM3" s="13"/>
      <c r="HXN3" s="13"/>
      <c r="HXO3" s="13"/>
      <c r="HXP3" s="13"/>
      <c r="HXQ3" s="13"/>
      <c r="HXR3" s="13"/>
      <c r="HXS3" s="13"/>
      <c r="HXT3" s="13"/>
      <c r="HXU3" s="13"/>
      <c r="HXV3" s="13"/>
      <c r="HXW3" s="13"/>
      <c r="HXX3" s="13"/>
      <c r="HXY3" s="13"/>
      <c r="HXZ3" s="13"/>
      <c r="HYA3" s="13"/>
      <c r="HYB3" s="13"/>
      <c r="HYC3" s="13"/>
      <c r="HYD3" s="13"/>
      <c r="HYE3" s="13"/>
      <c r="HYF3" s="13"/>
      <c r="HYG3" s="13"/>
      <c r="HYH3" s="13"/>
      <c r="HYI3" s="13"/>
      <c r="HYJ3" s="13"/>
      <c r="HYK3" s="13"/>
      <c r="HYL3" s="13"/>
      <c r="HYM3" s="13"/>
      <c r="HYN3" s="13"/>
      <c r="HYO3" s="13"/>
      <c r="HYP3" s="13"/>
      <c r="HYQ3" s="13"/>
      <c r="HYR3" s="13"/>
      <c r="HYS3" s="13"/>
      <c r="HYT3" s="13"/>
      <c r="HYU3" s="13"/>
      <c r="HYV3" s="13"/>
      <c r="HYW3" s="13"/>
      <c r="HYX3" s="13"/>
      <c r="HYY3" s="13"/>
      <c r="HYZ3" s="13"/>
      <c r="HZA3" s="13"/>
      <c r="HZB3" s="13"/>
      <c r="HZC3" s="13"/>
      <c r="HZD3" s="13"/>
      <c r="HZE3" s="13"/>
      <c r="HZF3" s="13"/>
      <c r="HZG3" s="13"/>
      <c r="HZH3" s="13"/>
      <c r="HZI3" s="13"/>
      <c r="HZJ3" s="13"/>
      <c r="HZK3" s="13"/>
      <c r="HZL3" s="13"/>
      <c r="HZM3" s="13"/>
      <c r="HZN3" s="13"/>
      <c r="HZO3" s="13"/>
      <c r="HZP3" s="13"/>
      <c r="HZQ3" s="13"/>
      <c r="HZR3" s="13"/>
      <c r="HZS3" s="13"/>
      <c r="HZT3" s="13"/>
      <c r="HZU3" s="13"/>
      <c r="HZV3" s="13"/>
      <c r="HZW3" s="13"/>
      <c r="HZX3" s="13"/>
      <c r="HZY3" s="13"/>
      <c r="HZZ3" s="13"/>
      <c r="IAA3" s="13"/>
      <c r="IAB3" s="13"/>
      <c r="IAC3" s="13"/>
      <c r="IAD3" s="13"/>
      <c r="IAE3" s="13"/>
      <c r="IAF3" s="13"/>
      <c r="IAG3" s="13"/>
      <c r="IAH3" s="13"/>
      <c r="IAI3" s="13"/>
      <c r="IAJ3" s="13"/>
      <c r="IAK3" s="13"/>
      <c r="IAL3" s="13"/>
      <c r="IAM3" s="13"/>
      <c r="IAN3" s="13"/>
      <c r="IAO3" s="13"/>
      <c r="IAP3" s="13"/>
      <c r="IAQ3" s="13"/>
      <c r="IAR3" s="13"/>
      <c r="IAS3" s="13"/>
      <c r="IAT3" s="13"/>
      <c r="IAU3" s="13"/>
      <c r="IAV3" s="13"/>
      <c r="IAW3" s="13"/>
      <c r="IAX3" s="13"/>
      <c r="IAY3" s="13"/>
      <c r="IAZ3" s="13"/>
      <c r="IBA3" s="13"/>
      <c r="IBB3" s="13"/>
      <c r="IBC3" s="13"/>
      <c r="IBD3" s="13"/>
      <c r="IBE3" s="13"/>
      <c r="IBF3" s="13"/>
      <c r="IBG3" s="13"/>
      <c r="IBH3" s="13"/>
      <c r="IBI3" s="13"/>
      <c r="IBJ3" s="13"/>
      <c r="IBK3" s="13"/>
      <c r="IBL3" s="13"/>
      <c r="IBM3" s="13"/>
      <c r="IBN3" s="13"/>
      <c r="IBO3" s="13"/>
      <c r="IBP3" s="13"/>
      <c r="IBQ3" s="13"/>
      <c r="IBR3" s="13"/>
      <c r="IBS3" s="13"/>
      <c r="IBT3" s="13"/>
      <c r="IBU3" s="13"/>
      <c r="IBV3" s="13"/>
      <c r="IBW3" s="13"/>
      <c r="IBX3" s="13"/>
      <c r="IBY3" s="13"/>
      <c r="IBZ3" s="13"/>
      <c r="ICA3" s="13"/>
      <c r="ICB3" s="13"/>
      <c r="ICC3" s="13"/>
      <c r="ICD3" s="13"/>
      <c r="ICE3" s="13"/>
      <c r="ICF3" s="13"/>
      <c r="ICG3" s="13"/>
      <c r="ICH3" s="13"/>
      <c r="ICI3" s="13"/>
      <c r="ICJ3" s="13"/>
      <c r="ICK3" s="13"/>
      <c r="ICL3" s="13"/>
      <c r="ICM3" s="13"/>
      <c r="ICN3" s="13"/>
      <c r="ICO3" s="13"/>
      <c r="ICP3" s="13"/>
      <c r="ICQ3" s="13"/>
      <c r="ICR3" s="13"/>
      <c r="ICS3" s="13"/>
      <c r="ICT3" s="13"/>
      <c r="ICU3" s="13"/>
      <c r="ICV3" s="13"/>
      <c r="ICW3" s="13"/>
      <c r="ICX3" s="13"/>
      <c r="ICY3" s="13"/>
      <c r="ICZ3" s="13"/>
      <c r="IDA3" s="13"/>
      <c r="IDB3" s="13"/>
      <c r="IDC3" s="13"/>
      <c r="IDD3" s="13"/>
      <c r="IDE3" s="13"/>
      <c r="IDF3" s="13"/>
      <c r="IDG3" s="13"/>
      <c r="IDH3" s="13"/>
      <c r="IDI3" s="13"/>
      <c r="IDJ3" s="13"/>
      <c r="IDK3" s="13"/>
      <c r="IDL3" s="13"/>
      <c r="IDM3" s="13"/>
      <c r="IDN3" s="13"/>
      <c r="IDO3" s="13"/>
      <c r="IDP3" s="13"/>
      <c r="IDQ3" s="13"/>
      <c r="IDR3" s="13"/>
      <c r="IDS3" s="13"/>
      <c r="IDT3" s="13"/>
      <c r="IDU3" s="13"/>
      <c r="IDV3" s="13"/>
      <c r="IDW3" s="13"/>
      <c r="IDX3" s="13"/>
      <c r="IDY3" s="13"/>
      <c r="IDZ3" s="13"/>
      <c r="IEA3" s="13"/>
      <c r="IEB3" s="13"/>
      <c r="IEC3" s="13"/>
      <c r="IED3" s="13"/>
      <c r="IEE3" s="13"/>
      <c r="IEF3" s="13"/>
      <c r="IEG3" s="13"/>
      <c r="IEH3" s="13"/>
      <c r="IEI3" s="13"/>
      <c r="IEJ3" s="13"/>
      <c r="IEK3" s="13"/>
      <c r="IEL3" s="13"/>
      <c r="IEM3" s="13"/>
      <c r="IEN3" s="13"/>
      <c r="IEO3" s="13"/>
      <c r="IEP3" s="13"/>
      <c r="IEQ3" s="13"/>
      <c r="IER3" s="13"/>
      <c r="IES3" s="13"/>
      <c r="IET3" s="13"/>
      <c r="IEU3" s="13"/>
      <c r="IEV3" s="13"/>
      <c r="IEW3" s="13"/>
      <c r="IEX3" s="13"/>
      <c r="IEY3" s="13"/>
      <c r="IEZ3" s="13"/>
      <c r="IFA3" s="13"/>
      <c r="IFB3" s="13"/>
      <c r="IFC3" s="13"/>
      <c r="IFD3" s="13"/>
      <c r="IFE3" s="13"/>
      <c r="IFF3" s="13"/>
      <c r="IFG3" s="13"/>
      <c r="IFH3" s="13"/>
      <c r="IFI3" s="13"/>
      <c r="IFJ3" s="13"/>
      <c r="IFK3" s="13"/>
      <c r="IFL3" s="13"/>
      <c r="IFM3" s="13"/>
      <c r="IFN3" s="13"/>
      <c r="IFO3" s="13"/>
      <c r="IFP3" s="13"/>
      <c r="IFQ3" s="13"/>
      <c r="IFR3" s="13"/>
      <c r="IFS3" s="13"/>
      <c r="IFT3" s="13"/>
      <c r="IFU3" s="13"/>
      <c r="IFV3" s="13"/>
      <c r="IFW3" s="13"/>
      <c r="IFX3" s="13"/>
      <c r="IFY3" s="13"/>
      <c r="IFZ3" s="13"/>
      <c r="IGA3" s="13"/>
      <c r="IGB3" s="13"/>
      <c r="IGC3" s="13"/>
      <c r="IGD3" s="13"/>
      <c r="IGE3" s="13"/>
      <c r="IGF3" s="13"/>
      <c r="IGG3" s="13"/>
      <c r="IGH3" s="13"/>
      <c r="IGI3" s="13"/>
      <c r="IGJ3" s="13"/>
      <c r="IGK3" s="13"/>
      <c r="IGL3" s="13"/>
      <c r="IGM3" s="13"/>
      <c r="IGN3" s="13"/>
      <c r="IGO3" s="13"/>
      <c r="IGP3" s="13"/>
      <c r="IGQ3" s="13"/>
      <c r="IGR3" s="13"/>
      <c r="IGS3" s="13"/>
      <c r="IGT3" s="13"/>
      <c r="IGU3" s="13"/>
      <c r="IGV3" s="13"/>
      <c r="IGW3" s="13"/>
      <c r="IGX3" s="13"/>
      <c r="IGY3" s="13"/>
      <c r="IGZ3" s="13"/>
      <c r="IHA3" s="13"/>
      <c r="IHB3" s="13"/>
      <c r="IHC3" s="13"/>
      <c r="IHD3" s="13"/>
      <c r="IHE3" s="13"/>
      <c r="IHF3" s="13"/>
      <c r="IHG3" s="13"/>
      <c r="IHH3" s="13"/>
      <c r="IHI3" s="13"/>
      <c r="IHJ3" s="13"/>
      <c r="IHK3" s="13"/>
      <c r="IHL3" s="13"/>
      <c r="IHM3" s="13"/>
      <c r="IHN3" s="13"/>
      <c r="IHO3" s="13"/>
      <c r="IHP3" s="13"/>
      <c r="IHQ3" s="13"/>
      <c r="IHR3" s="13"/>
      <c r="IHS3" s="13"/>
      <c r="IHT3" s="13"/>
      <c r="IHU3" s="13"/>
      <c r="IHV3" s="13"/>
      <c r="IHW3" s="13"/>
      <c r="IHX3" s="13"/>
      <c r="IHY3" s="13"/>
      <c r="IHZ3" s="13"/>
      <c r="IIA3" s="13"/>
      <c r="IIB3" s="13"/>
      <c r="IIC3" s="13"/>
      <c r="IID3" s="13"/>
      <c r="IIE3" s="13"/>
      <c r="IIF3" s="13"/>
      <c r="IIG3" s="13"/>
      <c r="IIH3" s="13"/>
      <c r="III3" s="13"/>
      <c r="IIJ3" s="13"/>
      <c r="IIK3" s="13"/>
      <c r="IIL3" s="13"/>
      <c r="IIM3" s="13"/>
      <c r="IIN3" s="13"/>
      <c r="IIO3" s="13"/>
      <c r="IIP3" s="13"/>
      <c r="IIQ3" s="13"/>
      <c r="IIR3" s="13"/>
      <c r="IIS3" s="13"/>
      <c r="IIT3" s="13"/>
      <c r="IIU3" s="13"/>
      <c r="IIV3" s="13"/>
      <c r="IIW3" s="13"/>
      <c r="IIX3" s="13"/>
      <c r="IIY3" s="13"/>
      <c r="IIZ3" s="13"/>
      <c r="IJA3" s="13"/>
      <c r="IJB3" s="13"/>
      <c r="IJC3" s="13"/>
      <c r="IJD3" s="13"/>
      <c r="IJE3" s="13"/>
      <c r="IJF3" s="13"/>
      <c r="IJG3" s="13"/>
      <c r="IJH3" s="13"/>
      <c r="IJI3" s="13"/>
      <c r="IJJ3" s="13"/>
      <c r="IJK3" s="13"/>
      <c r="IJL3" s="13"/>
      <c r="IJM3" s="13"/>
      <c r="IJN3" s="13"/>
      <c r="IJO3" s="13"/>
      <c r="IJP3" s="13"/>
      <c r="IJQ3" s="13"/>
      <c r="IJR3" s="13"/>
      <c r="IJS3" s="13"/>
      <c r="IJT3" s="13"/>
      <c r="IJU3" s="13"/>
      <c r="IJV3" s="13"/>
      <c r="IJW3" s="13"/>
      <c r="IJX3" s="13"/>
      <c r="IJY3" s="13"/>
      <c r="IJZ3" s="13"/>
      <c r="IKA3" s="13"/>
      <c r="IKB3" s="13"/>
      <c r="IKC3" s="13"/>
      <c r="IKD3" s="13"/>
      <c r="IKE3" s="13"/>
      <c r="IKF3" s="13"/>
      <c r="IKG3" s="13"/>
      <c r="IKH3" s="13"/>
      <c r="IKI3" s="13"/>
      <c r="IKJ3" s="13"/>
      <c r="IKK3" s="13"/>
      <c r="IKL3" s="13"/>
      <c r="IKM3" s="13"/>
      <c r="IKN3" s="13"/>
      <c r="IKO3" s="13"/>
      <c r="IKP3" s="13"/>
      <c r="IKQ3" s="13"/>
      <c r="IKR3" s="13"/>
      <c r="IKS3" s="13"/>
      <c r="IKT3" s="13"/>
      <c r="IKU3" s="13"/>
      <c r="IKV3" s="13"/>
      <c r="IKW3" s="13"/>
      <c r="IKX3" s="13"/>
      <c r="IKY3" s="13"/>
      <c r="IKZ3" s="13"/>
      <c r="ILA3" s="13"/>
      <c r="ILB3" s="13"/>
      <c r="ILC3" s="13"/>
      <c r="ILD3" s="13"/>
      <c r="ILE3" s="13"/>
      <c r="ILF3" s="13"/>
      <c r="ILG3" s="13"/>
      <c r="ILH3" s="13"/>
      <c r="ILI3" s="13"/>
      <c r="ILJ3" s="13"/>
      <c r="ILK3" s="13"/>
      <c r="ILL3" s="13"/>
      <c r="ILM3" s="13"/>
      <c r="ILN3" s="13"/>
      <c r="ILO3" s="13"/>
      <c r="ILP3" s="13"/>
      <c r="ILQ3" s="13"/>
      <c r="ILR3" s="13"/>
      <c r="ILS3" s="13"/>
      <c r="ILT3" s="13"/>
      <c r="ILU3" s="13"/>
      <c r="ILV3" s="13"/>
      <c r="ILW3" s="13"/>
      <c r="ILX3" s="13"/>
      <c r="ILY3" s="13"/>
      <c r="ILZ3" s="13"/>
      <c r="IMA3" s="13"/>
      <c r="IMB3" s="13"/>
      <c r="IMC3" s="13"/>
      <c r="IMD3" s="13"/>
      <c r="IME3" s="13"/>
      <c r="IMF3" s="13"/>
      <c r="IMG3" s="13"/>
      <c r="IMH3" s="13"/>
      <c r="IMI3" s="13"/>
      <c r="IMJ3" s="13"/>
      <c r="IMK3" s="13"/>
      <c r="IML3" s="13"/>
      <c r="IMM3" s="13"/>
      <c r="IMN3" s="13"/>
      <c r="IMO3" s="13"/>
      <c r="IMP3" s="13"/>
      <c r="IMQ3" s="13"/>
      <c r="IMR3" s="13"/>
      <c r="IMS3" s="13"/>
      <c r="IMT3" s="13"/>
      <c r="IMU3" s="13"/>
      <c r="IMV3" s="13"/>
      <c r="IMW3" s="13"/>
      <c r="IMX3" s="13"/>
      <c r="IMY3" s="13"/>
      <c r="IMZ3" s="13"/>
      <c r="INA3" s="13"/>
      <c r="INB3" s="13"/>
      <c r="INC3" s="13"/>
      <c r="IND3" s="13"/>
      <c r="INE3" s="13"/>
      <c r="INF3" s="13"/>
      <c r="ING3" s="13"/>
      <c r="INH3" s="13"/>
      <c r="INI3" s="13"/>
      <c r="INJ3" s="13"/>
      <c r="INK3" s="13"/>
      <c r="INL3" s="13"/>
      <c r="INM3" s="13"/>
      <c r="INN3" s="13"/>
      <c r="INO3" s="13"/>
      <c r="INP3" s="13"/>
      <c r="INQ3" s="13"/>
      <c r="INR3" s="13"/>
      <c r="INS3" s="13"/>
      <c r="INT3" s="13"/>
      <c r="INU3" s="13"/>
      <c r="INV3" s="13"/>
      <c r="INW3" s="13"/>
      <c r="INX3" s="13"/>
      <c r="INY3" s="13"/>
      <c r="INZ3" s="13"/>
      <c r="IOA3" s="13"/>
      <c r="IOB3" s="13"/>
      <c r="IOC3" s="13"/>
      <c r="IOD3" s="13"/>
      <c r="IOE3" s="13"/>
      <c r="IOF3" s="13"/>
      <c r="IOG3" s="13"/>
      <c r="IOH3" s="13"/>
      <c r="IOI3" s="13"/>
      <c r="IOJ3" s="13"/>
      <c r="IOK3" s="13"/>
      <c r="IOL3" s="13"/>
      <c r="IOM3" s="13"/>
      <c r="ION3" s="13"/>
      <c r="IOO3" s="13"/>
      <c r="IOP3" s="13"/>
      <c r="IOQ3" s="13"/>
      <c r="IOR3" s="13"/>
      <c r="IOS3" s="13"/>
      <c r="IOT3" s="13"/>
      <c r="IOU3" s="13"/>
      <c r="IOV3" s="13"/>
      <c r="IOW3" s="13"/>
      <c r="IOX3" s="13"/>
      <c r="IOY3" s="13"/>
      <c r="IOZ3" s="13"/>
      <c r="IPA3" s="13"/>
      <c r="IPB3" s="13"/>
      <c r="IPC3" s="13"/>
      <c r="IPD3" s="13"/>
      <c r="IPE3" s="13"/>
      <c r="IPF3" s="13"/>
      <c r="IPG3" s="13"/>
      <c r="IPH3" s="13"/>
      <c r="IPI3" s="13"/>
      <c r="IPJ3" s="13"/>
      <c r="IPK3" s="13"/>
      <c r="IPL3" s="13"/>
      <c r="IPM3" s="13"/>
      <c r="IPN3" s="13"/>
      <c r="IPO3" s="13"/>
      <c r="IPP3" s="13"/>
      <c r="IPQ3" s="13"/>
      <c r="IPR3" s="13"/>
      <c r="IPS3" s="13"/>
      <c r="IPT3" s="13"/>
      <c r="IPU3" s="13"/>
      <c r="IPV3" s="13"/>
      <c r="IPW3" s="13"/>
      <c r="IPX3" s="13"/>
      <c r="IPY3" s="13"/>
      <c r="IPZ3" s="13"/>
      <c r="IQA3" s="13"/>
      <c r="IQB3" s="13"/>
      <c r="IQC3" s="13"/>
      <c r="IQD3" s="13"/>
      <c r="IQE3" s="13"/>
      <c r="IQF3" s="13"/>
      <c r="IQG3" s="13"/>
      <c r="IQH3" s="13"/>
      <c r="IQI3" s="13"/>
      <c r="IQJ3" s="13"/>
      <c r="IQK3" s="13"/>
      <c r="IQL3" s="13"/>
      <c r="IQM3" s="13"/>
      <c r="IQN3" s="13"/>
      <c r="IQO3" s="13"/>
      <c r="IQP3" s="13"/>
      <c r="IQQ3" s="13"/>
      <c r="IQR3" s="13"/>
      <c r="IQS3" s="13"/>
      <c r="IQT3" s="13"/>
      <c r="IQU3" s="13"/>
      <c r="IQV3" s="13"/>
      <c r="IQW3" s="13"/>
      <c r="IQX3" s="13"/>
      <c r="IQY3" s="13"/>
      <c r="IQZ3" s="13"/>
      <c r="IRA3" s="13"/>
      <c r="IRB3" s="13"/>
      <c r="IRC3" s="13"/>
      <c r="IRD3" s="13"/>
      <c r="IRE3" s="13"/>
      <c r="IRF3" s="13"/>
      <c r="IRG3" s="13"/>
      <c r="IRH3" s="13"/>
      <c r="IRI3" s="13"/>
      <c r="IRJ3" s="13"/>
      <c r="IRK3" s="13"/>
      <c r="IRL3" s="13"/>
      <c r="IRM3" s="13"/>
      <c r="IRN3" s="13"/>
      <c r="IRO3" s="13"/>
      <c r="IRP3" s="13"/>
      <c r="IRQ3" s="13"/>
      <c r="IRR3" s="13"/>
      <c r="IRS3" s="13"/>
      <c r="IRT3" s="13"/>
      <c r="IRU3" s="13"/>
      <c r="IRV3" s="13"/>
      <c r="IRW3" s="13"/>
      <c r="IRX3" s="13"/>
      <c r="IRY3" s="13"/>
      <c r="IRZ3" s="13"/>
      <c r="ISA3" s="13"/>
      <c r="ISB3" s="13"/>
      <c r="ISC3" s="13"/>
      <c r="ISD3" s="13"/>
      <c r="ISE3" s="13"/>
      <c r="ISF3" s="13"/>
      <c r="ISG3" s="13"/>
      <c r="ISH3" s="13"/>
      <c r="ISI3" s="13"/>
      <c r="ISJ3" s="13"/>
      <c r="ISK3" s="13"/>
      <c r="ISL3" s="13"/>
      <c r="ISM3" s="13"/>
      <c r="ISN3" s="13"/>
      <c r="ISO3" s="13"/>
      <c r="ISP3" s="13"/>
      <c r="ISQ3" s="13"/>
      <c r="ISR3" s="13"/>
      <c r="ISS3" s="13"/>
      <c r="IST3" s="13"/>
      <c r="ISU3" s="13"/>
      <c r="ISV3" s="13"/>
      <c r="ISW3" s="13"/>
      <c r="ISX3" s="13"/>
      <c r="ISY3" s="13"/>
      <c r="ISZ3" s="13"/>
      <c r="ITA3" s="13"/>
      <c r="ITB3" s="13"/>
      <c r="ITC3" s="13"/>
      <c r="ITD3" s="13"/>
      <c r="ITE3" s="13"/>
      <c r="ITF3" s="13"/>
      <c r="ITG3" s="13"/>
      <c r="ITH3" s="13"/>
      <c r="ITI3" s="13"/>
      <c r="ITJ3" s="13"/>
      <c r="ITK3" s="13"/>
      <c r="ITL3" s="13"/>
      <c r="ITM3" s="13"/>
      <c r="ITN3" s="13"/>
      <c r="ITO3" s="13"/>
      <c r="ITP3" s="13"/>
      <c r="ITQ3" s="13"/>
      <c r="ITR3" s="13"/>
      <c r="ITS3" s="13"/>
      <c r="ITT3" s="13"/>
      <c r="ITU3" s="13"/>
      <c r="ITV3" s="13"/>
      <c r="ITW3" s="13"/>
      <c r="ITX3" s="13"/>
      <c r="ITY3" s="13"/>
      <c r="ITZ3" s="13"/>
      <c r="IUA3" s="13"/>
      <c r="IUB3" s="13"/>
      <c r="IUC3" s="13"/>
      <c r="IUD3" s="13"/>
      <c r="IUE3" s="13"/>
      <c r="IUF3" s="13"/>
      <c r="IUG3" s="13"/>
      <c r="IUH3" s="13"/>
      <c r="IUI3" s="13"/>
      <c r="IUJ3" s="13"/>
      <c r="IUK3" s="13"/>
      <c r="IUL3" s="13"/>
      <c r="IUM3" s="13"/>
      <c r="IUN3" s="13"/>
      <c r="IUO3" s="13"/>
      <c r="IUP3" s="13"/>
      <c r="IUQ3" s="13"/>
      <c r="IUR3" s="13"/>
      <c r="IUS3" s="13"/>
      <c r="IUT3" s="13"/>
      <c r="IUU3" s="13"/>
      <c r="IUV3" s="13"/>
      <c r="IUW3" s="13"/>
      <c r="IUX3" s="13"/>
      <c r="IUY3" s="13"/>
      <c r="IUZ3" s="13"/>
      <c r="IVA3" s="13"/>
      <c r="IVB3" s="13"/>
      <c r="IVC3" s="13"/>
      <c r="IVD3" s="13"/>
      <c r="IVE3" s="13"/>
      <c r="IVF3" s="13"/>
      <c r="IVG3" s="13"/>
      <c r="IVH3" s="13"/>
      <c r="IVI3" s="13"/>
      <c r="IVJ3" s="13"/>
      <c r="IVK3" s="13"/>
      <c r="IVL3" s="13"/>
      <c r="IVM3" s="13"/>
      <c r="IVN3" s="13"/>
      <c r="IVO3" s="13"/>
      <c r="IVP3" s="13"/>
      <c r="IVQ3" s="13"/>
      <c r="IVR3" s="13"/>
      <c r="IVS3" s="13"/>
      <c r="IVT3" s="13"/>
      <c r="IVU3" s="13"/>
      <c r="IVV3" s="13"/>
      <c r="IVW3" s="13"/>
      <c r="IVX3" s="13"/>
      <c r="IVY3" s="13"/>
      <c r="IVZ3" s="13"/>
      <c r="IWA3" s="13"/>
      <c r="IWB3" s="13"/>
      <c r="IWC3" s="13"/>
      <c r="IWD3" s="13"/>
      <c r="IWE3" s="13"/>
      <c r="IWF3" s="13"/>
      <c r="IWG3" s="13"/>
      <c r="IWH3" s="13"/>
      <c r="IWI3" s="13"/>
      <c r="IWJ3" s="13"/>
      <c r="IWK3" s="13"/>
      <c r="IWL3" s="13"/>
      <c r="IWM3" s="13"/>
      <c r="IWN3" s="13"/>
      <c r="IWO3" s="13"/>
      <c r="IWP3" s="13"/>
      <c r="IWQ3" s="13"/>
      <c r="IWR3" s="13"/>
      <c r="IWS3" s="13"/>
      <c r="IWT3" s="13"/>
      <c r="IWU3" s="13"/>
      <c r="IWV3" s="13"/>
      <c r="IWW3" s="13"/>
      <c r="IWX3" s="13"/>
      <c r="IWY3" s="13"/>
      <c r="IWZ3" s="13"/>
      <c r="IXA3" s="13"/>
      <c r="IXB3" s="13"/>
      <c r="IXC3" s="13"/>
      <c r="IXD3" s="13"/>
      <c r="IXE3" s="13"/>
      <c r="IXF3" s="13"/>
      <c r="IXG3" s="13"/>
      <c r="IXH3" s="13"/>
      <c r="IXI3" s="13"/>
      <c r="IXJ3" s="13"/>
      <c r="IXK3" s="13"/>
      <c r="IXL3" s="13"/>
      <c r="IXM3" s="13"/>
      <c r="IXN3" s="13"/>
      <c r="IXO3" s="13"/>
      <c r="IXP3" s="13"/>
      <c r="IXQ3" s="13"/>
      <c r="IXR3" s="13"/>
      <c r="IXS3" s="13"/>
      <c r="IXT3" s="13"/>
      <c r="IXU3" s="13"/>
      <c r="IXV3" s="13"/>
      <c r="IXW3" s="13"/>
      <c r="IXX3" s="13"/>
      <c r="IXY3" s="13"/>
      <c r="IXZ3" s="13"/>
      <c r="IYA3" s="13"/>
      <c r="IYB3" s="13"/>
      <c r="IYC3" s="13"/>
      <c r="IYD3" s="13"/>
      <c r="IYE3" s="13"/>
      <c r="IYF3" s="13"/>
      <c r="IYG3" s="13"/>
      <c r="IYH3" s="13"/>
      <c r="IYI3" s="13"/>
      <c r="IYJ3" s="13"/>
      <c r="IYK3" s="13"/>
      <c r="IYL3" s="13"/>
      <c r="IYM3" s="13"/>
      <c r="IYN3" s="13"/>
      <c r="IYO3" s="13"/>
      <c r="IYP3" s="13"/>
      <c r="IYQ3" s="13"/>
      <c r="IYR3" s="13"/>
      <c r="IYS3" s="13"/>
      <c r="IYT3" s="13"/>
      <c r="IYU3" s="13"/>
      <c r="IYV3" s="13"/>
      <c r="IYW3" s="13"/>
      <c r="IYX3" s="13"/>
      <c r="IYY3" s="13"/>
      <c r="IYZ3" s="13"/>
      <c r="IZA3" s="13"/>
      <c r="IZB3" s="13"/>
      <c r="IZC3" s="13"/>
      <c r="IZD3" s="13"/>
      <c r="IZE3" s="13"/>
      <c r="IZF3" s="13"/>
      <c r="IZG3" s="13"/>
      <c r="IZH3" s="13"/>
      <c r="IZI3" s="13"/>
      <c r="IZJ3" s="13"/>
      <c r="IZK3" s="13"/>
      <c r="IZL3" s="13"/>
      <c r="IZM3" s="13"/>
      <c r="IZN3" s="13"/>
      <c r="IZO3" s="13"/>
      <c r="IZP3" s="13"/>
      <c r="IZQ3" s="13"/>
      <c r="IZR3" s="13"/>
      <c r="IZS3" s="13"/>
      <c r="IZT3" s="13"/>
      <c r="IZU3" s="13"/>
      <c r="IZV3" s="13"/>
      <c r="IZW3" s="13"/>
      <c r="IZX3" s="13"/>
      <c r="IZY3" s="13"/>
      <c r="IZZ3" s="13"/>
      <c r="JAA3" s="13"/>
      <c r="JAB3" s="13"/>
      <c r="JAC3" s="13"/>
      <c r="JAD3" s="13"/>
      <c r="JAE3" s="13"/>
      <c r="JAF3" s="13"/>
      <c r="JAG3" s="13"/>
      <c r="JAH3" s="13"/>
      <c r="JAI3" s="13"/>
      <c r="JAJ3" s="13"/>
      <c r="JAK3" s="13"/>
      <c r="JAL3" s="13"/>
      <c r="JAM3" s="13"/>
      <c r="JAN3" s="13"/>
      <c r="JAO3" s="13"/>
      <c r="JAP3" s="13"/>
      <c r="JAQ3" s="13"/>
      <c r="JAR3" s="13"/>
      <c r="JAS3" s="13"/>
      <c r="JAT3" s="13"/>
      <c r="JAU3" s="13"/>
      <c r="JAV3" s="13"/>
      <c r="JAW3" s="13"/>
      <c r="JAX3" s="13"/>
      <c r="JAY3" s="13"/>
      <c r="JAZ3" s="13"/>
      <c r="JBA3" s="13"/>
      <c r="JBB3" s="13"/>
      <c r="JBC3" s="13"/>
      <c r="JBD3" s="13"/>
      <c r="JBE3" s="13"/>
      <c r="JBF3" s="13"/>
      <c r="JBG3" s="13"/>
      <c r="JBH3" s="13"/>
      <c r="JBI3" s="13"/>
      <c r="JBJ3" s="13"/>
      <c r="JBK3" s="13"/>
      <c r="JBL3" s="13"/>
      <c r="JBM3" s="13"/>
      <c r="JBN3" s="13"/>
      <c r="JBO3" s="13"/>
      <c r="JBP3" s="13"/>
      <c r="JBQ3" s="13"/>
      <c r="JBR3" s="13"/>
      <c r="JBS3" s="13"/>
      <c r="JBT3" s="13"/>
      <c r="JBU3" s="13"/>
      <c r="JBV3" s="13"/>
      <c r="JBW3" s="13"/>
      <c r="JBX3" s="13"/>
      <c r="JBY3" s="13"/>
      <c r="JBZ3" s="13"/>
      <c r="JCA3" s="13"/>
      <c r="JCB3" s="13"/>
      <c r="JCC3" s="13"/>
      <c r="JCD3" s="13"/>
      <c r="JCE3" s="13"/>
      <c r="JCF3" s="13"/>
      <c r="JCG3" s="13"/>
      <c r="JCH3" s="13"/>
      <c r="JCI3" s="13"/>
      <c r="JCJ3" s="13"/>
      <c r="JCK3" s="13"/>
      <c r="JCL3" s="13"/>
      <c r="JCM3" s="13"/>
      <c r="JCN3" s="13"/>
      <c r="JCO3" s="13"/>
      <c r="JCP3" s="13"/>
      <c r="JCQ3" s="13"/>
      <c r="JCR3" s="13"/>
      <c r="JCS3" s="13"/>
      <c r="JCT3" s="13"/>
      <c r="JCU3" s="13"/>
      <c r="JCV3" s="13"/>
      <c r="JCW3" s="13"/>
      <c r="JCX3" s="13"/>
      <c r="JCY3" s="13"/>
      <c r="JCZ3" s="13"/>
      <c r="JDA3" s="13"/>
      <c r="JDB3" s="13"/>
      <c r="JDC3" s="13"/>
      <c r="JDD3" s="13"/>
      <c r="JDE3" s="13"/>
      <c r="JDF3" s="13"/>
      <c r="JDG3" s="13"/>
      <c r="JDH3" s="13"/>
      <c r="JDI3" s="13"/>
      <c r="JDJ3" s="13"/>
      <c r="JDK3" s="13"/>
      <c r="JDL3" s="13"/>
      <c r="JDM3" s="13"/>
      <c r="JDN3" s="13"/>
      <c r="JDO3" s="13"/>
      <c r="JDP3" s="13"/>
      <c r="JDQ3" s="13"/>
      <c r="JDR3" s="13"/>
      <c r="JDS3" s="13"/>
      <c r="JDT3" s="13"/>
      <c r="JDU3" s="13"/>
      <c r="JDV3" s="13"/>
      <c r="JDW3" s="13"/>
      <c r="JDX3" s="13"/>
      <c r="JDY3" s="13"/>
      <c r="JDZ3" s="13"/>
      <c r="JEA3" s="13"/>
      <c r="JEB3" s="13"/>
      <c r="JEC3" s="13"/>
      <c r="JED3" s="13"/>
      <c r="JEE3" s="13"/>
      <c r="JEF3" s="13"/>
      <c r="JEG3" s="13"/>
      <c r="JEH3" s="13"/>
      <c r="JEI3" s="13"/>
      <c r="JEJ3" s="13"/>
      <c r="JEK3" s="13"/>
      <c r="JEL3" s="13"/>
      <c r="JEM3" s="13"/>
      <c r="JEN3" s="13"/>
      <c r="JEO3" s="13"/>
      <c r="JEP3" s="13"/>
      <c r="JEQ3" s="13"/>
      <c r="JER3" s="13"/>
      <c r="JES3" s="13"/>
      <c r="JET3" s="13"/>
      <c r="JEU3" s="13"/>
      <c r="JEV3" s="13"/>
      <c r="JEW3" s="13"/>
      <c r="JEX3" s="13"/>
      <c r="JEY3" s="13"/>
      <c r="JEZ3" s="13"/>
      <c r="JFA3" s="13"/>
      <c r="JFB3" s="13"/>
      <c r="JFC3" s="13"/>
      <c r="JFD3" s="13"/>
      <c r="JFE3" s="13"/>
      <c r="JFF3" s="13"/>
      <c r="JFG3" s="13"/>
      <c r="JFH3" s="13"/>
      <c r="JFI3" s="13"/>
      <c r="JFJ3" s="13"/>
      <c r="JFK3" s="13"/>
      <c r="JFL3" s="13"/>
      <c r="JFM3" s="13"/>
      <c r="JFN3" s="13"/>
      <c r="JFO3" s="13"/>
      <c r="JFP3" s="13"/>
      <c r="JFQ3" s="13"/>
      <c r="JFR3" s="13"/>
      <c r="JFS3" s="13"/>
      <c r="JFT3" s="13"/>
      <c r="JFU3" s="13"/>
      <c r="JFV3" s="13"/>
      <c r="JFW3" s="13"/>
      <c r="JFX3" s="13"/>
      <c r="JFY3" s="13"/>
      <c r="JFZ3" s="13"/>
      <c r="JGA3" s="13"/>
      <c r="JGB3" s="13"/>
      <c r="JGC3" s="13"/>
      <c r="JGD3" s="13"/>
      <c r="JGE3" s="13"/>
      <c r="JGF3" s="13"/>
      <c r="JGG3" s="13"/>
      <c r="JGH3" s="13"/>
      <c r="JGI3" s="13"/>
      <c r="JGJ3" s="13"/>
      <c r="JGK3" s="13"/>
      <c r="JGL3" s="13"/>
      <c r="JGM3" s="13"/>
      <c r="JGN3" s="13"/>
      <c r="JGO3" s="13"/>
      <c r="JGP3" s="13"/>
      <c r="JGQ3" s="13"/>
      <c r="JGR3" s="13"/>
      <c r="JGS3" s="13"/>
      <c r="JGT3" s="13"/>
      <c r="JGU3" s="13"/>
      <c r="JGV3" s="13"/>
      <c r="JGW3" s="13"/>
      <c r="JGX3" s="13"/>
      <c r="JGY3" s="13"/>
      <c r="JGZ3" s="13"/>
      <c r="JHA3" s="13"/>
      <c r="JHB3" s="13"/>
      <c r="JHC3" s="13"/>
      <c r="JHD3" s="13"/>
      <c r="JHE3" s="13"/>
      <c r="JHF3" s="13"/>
      <c r="JHG3" s="13"/>
      <c r="JHH3" s="13"/>
      <c r="JHI3" s="13"/>
      <c r="JHJ3" s="13"/>
      <c r="JHK3" s="13"/>
      <c r="JHL3" s="13"/>
      <c r="JHM3" s="13"/>
      <c r="JHN3" s="13"/>
      <c r="JHO3" s="13"/>
      <c r="JHP3" s="13"/>
      <c r="JHQ3" s="13"/>
      <c r="JHR3" s="13"/>
      <c r="JHS3" s="13"/>
      <c r="JHT3" s="13"/>
      <c r="JHU3" s="13"/>
      <c r="JHV3" s="13"/>
      <c r="JHW3" s="13"/>
      <c r="JHX3" s="13"/>
      <c r="JHY3" s="13"/>
      <c r="JHZ3" s="13"/>
      <c r="JIA3" s="13"/>
      <c r="JIB3" s="13"/>
      <c r="JIC3" s="13"/>
      <c r="JID3" s="13"/>
      <c r="JIE3" s="13"/>
      <c r="JIF3" s="13"/>
      <c r="JIG3" s="13"/>
      <c r="JIH3" s="13"/>
      <c r="JII3" s="13"/>
      <c r="JIJ3" s="13"/>
      <c r="JIK3" s="13"/>
      <c r="JIL3" s="13"/>
      <c r="JIM3" s="13"/>
      <c r="JIN3" s="13"/>
      <c r="JIO3" s="13"/>
      <c r="JIP3" s="13"/>
      <c r="JIQ3" s="13"/>
      <c r="JIR3" s="13"/>
      <c r="JIS3" s="13"/>
      <c r="JIT3" s="13"/>
      <c r="JIU3" s="13"/>
      <c r="JIV3" s="13"/>
      <c r="JIW3" s="13"/>
      <c r="JIX3" s="13"/>
      <c r="JIY3" s="13"/>
      <c r="JIZ3" s="13"/>
      <c r="JJA3" s="13"/>
      <c r="JJB3" s="13"/>
      <c r="JJC3" s="13"/>
      <c r="JJD3" s="13"/>
      <c r="JJE3" s="13"/>
      <c r="JJF3" s="13"/>
      <c r="JJG3" s="13"/>
      <c r="JJH3" s="13"/>
      <c r="JJI3" s="13"/>
      <c r="JJJ3" s="13"/>
      <c r="JJK3" s="13"/>
      <c r="JJL3" s="13"/>
      <c r="JJM3" s="13"/>
      <c r="JJN3" s="13"/>
      <c r="JJO3" s="13"/>
      <c r="JJP3" s="13"/>
      <c r="JJQ3" s="13"/>
      <c r="JJR3" s="13"/>
      <c r="JJS3" s="13"/>
      <c r="JJT3" s="13"/>
      <c r="JJU3" s="13"/>
      <c r="JJV3" s="13"/>
      <c r="JJW3" s="13"/>
      <c r="JJX3" s="13"/>
      <c r="JJY3" s="13"/>
      <c r="JJZ3" s="13"/>
      <c r="JKA3" s="13"/>
      <c r="JKB3" s="13"/>
      <c r="JKC3" s="13"/>
      <c r="JKD3" s="13"/>
      <c r="JKE3" s="13"/>
      <c r="JKF3" s="13"/>
      <c r="JKG3" s="13"/>
      <c r="JKH3" s="13"/>
      <c r="JKI3" s="13"/>
      <c r="JKJ3" s="13"/>
      <c r="JKK3" s="13"/>
      <c r="JKL3" s="13"/>
      <c r="JKM3" s="13"/>
      <c r="JKN3" s="13"/>
      <c r="JKO3" s="13"/>
      <c r="JKP3" s="13"/>
      <c r="JKQ3" s="13"/>
      <c r="JKR3" s="13"/>
      <c r="JKS3" s="13"/>
      <c r="JKT3" s="13"/>
      <c r="JKU3" s="13"/>
      <c r="JKV3" s="13"/>
      <c r="JKW3" s="13"/>
      <c r="JKX3" s="13"/>
      <c r="JKY3" s="13"/>
      <c r="JKZ3" s="13"/>
      <c r="JLA3" s="13"/>
      <c r="JLB3" s="13"/>
      <c r="JLC3" s="13"/>
      <c r="JLD3" s="13"/>
      <c r="JLE3" s="13"/>
      <c r="JLF3" s="13"/>
      <c r="JLG3" s="13"/>
      <c r="JLH3" s="13"/>
      <c r="JLI3" s="13"/>
      <c r="JLJ3" s="13"/>
      <c r="JLK3" s="13"/>
      <c r="JLL3" s="13"/>
      <c r="JLM3" s="13"/>
      <c r="JLN3" s="13"/>
      <c r="JLO3" s="13"/>
      <c r="JLP3" s="13"/>
      <c r="JLQ3" s="13"/>
      <c r="JLR3" s="13"/>
      <c r="JLS3" s="13"/>
      <c r="JLT3" s="13"/>
      <c r="JLU3" s="13"/>
      <c r="JLV3" s="13"/>
      <c r="JLW3" s="13"/>
      <c r="JLX3" s="13"/>
      <c r="JLY3" s="13"/>
      <c r="JLZ3" s="13"/>
      <c r="JMA3" s="13"/>
      <c r="JMB3" s="13"/>
      <c r="JMC3" s="13"/>
      <c r="JMD3" s="13"/>
      <c r="JME3" s="13"/>
      <c r="JMF3" s="13"/>
      <c r="JMG3" s="13"/>
      <c r="JMH3" s="13"/>
      <c r="JMI3" s="13"/>
      <c r="JMJ3" s="13"/>
      <c r="JMK3" s="13"/>
      <c r="JML3" s="13"/>
      <c r="JMM3" s="13"/>
      <c r="JMN3" s="13"/>
      <c r="JMO3" s="13"/>
      <c r="JMP3" s="13"/>
      <c r="JMQ3" s="13"/>
      <c r="JMR3" s="13"/>
      <c r="JMS3" s="13"/>
      <c r="JMT3" s="13"/>
      <c r="JMU3" s="13"/>
      <c r="JMV3" s="13"/>
      <c r="JMW3" s="13"/>
      <c r="JMX3" s="13"/>
      <c r="JMY3" s="13"/>
      <c r="JMZ3" s="13"/>
      <c r="JNA3" s="13"/>
      <c r="JNB3" s="13"/>
      <c r="JNC3" s="13"/>
      <c r="JND3" s="13"/>
      <c r="JNE3" s="13"/>
      <c r="JNF3" s="13"/>
      <c r="JNG3" s="13"/>
      <c r="JNH3" s="13"/>
      <c r="JNI3" s="13"/>
      <c r="JNJ3" s="13"/>
      <c r="JNK3" s="13"/>
      <c r="JNL3" s="13"/>
      <c r="JNM3" s="13"/>
      <c r="JNN3" s="13"/>
      <c r="JNO3" s="13"/>
      <c r="JNP3" s="13"/>
      <c r="JNQ3" s="13"/>
      <c r="JNR3" s="13"/>
      <c r="JNS3" s="13"/>
      <c r="JNT3" s="13"/>
      <c r="JNU3" s="13"/>
      <c r="JNV3" s="13"/>
      <c r="JNW3" s="13"/>
      <c r="JNX3" s="13"/>
      <c r="JNY3" s="13"/>
      <c r="JNZ3" s="13"/>
      <c r="JOA3" s="13"/>
      <c r="JOB3" s="13"/>
      <c r="JOC3" s="13"/>
      <c r="JOD3" s="13"/>
      <c r="JOE3" s="13"/>
      <c r="JOF3" s="13"/>
      <c r="JOG3" s="13"/>
      <c r="JOH3" s="13"/>
      <c r="JOI3" s="13"/>
      <c r="JOJ3" s="13"/>
      <c r="JOK3" s="13"/>
      <c r="JOL3" s="13"/>
      <c r="JOM3" s="13"/>
      <c r="JON3" s="13"/>
      <c r="JOO3" s="13"/>
      <c r="JOP3" s="13"/>
      <c r="JOQ3" s="13"/>
      <c r="JOR3" s="13"/>
      <c r="JOS3" s="13"/>
      <c r="JOT3" s="13"/>
      <c r="JOU3" s="13"/>
      <c r="JOV3" s="13"/>
      <c r="JOW3" s="13"/>
      <c r="JOX3" s="13"/>
      <c r="JOY3" s="13"/>
      <c r="JOZ3" s="13"/>
      <c r="JPA3" s="13"/>
      <c r="JPB3" s="13"/>
      <c r="JPC3" s="13"/>
      <c r="JPD3" s="13"/>
      <c r="JPE3" s="13"/>
      <c r="JPF3" s="13"/>
      <c r="JPG3" s="13"/>
      <c r="JPH3" s="13"/>
      <c r="JPI3" s="13"/>
      <c r="JPJ3" s="13"/>
      <c r="JPK3" s="13"/>
      <c r="JPL3" s="13"/>
      <c r="JPM3" s="13"/>
      <c r="JPN3" s="13"/>
      <c r="JPO3" s="13"/>
      <c r="JPP3" s="13"/>
      <c r="JPQ3" s="13"/>
      <c r="JPR3" s="13"/>
      <c r="JPS3" s="13"/>
      <c r="JPT3" s="13"/>
      <c r="JPU3" s="13"/>
      <c r="JPV3" s="13"/>
      <c r="JPW3" s="13"/>
      <c r="JPX3" s="13"/>
      <c r="JPY3" s="13"/>
      <c r="JPZ3" s="13"/>
      <c r="JQA3" s="13"/>
      <c r="JQB3" s="13"/>
      <c r="JQC3" s="13"/>
      <c r="JQD3" s="13"/>
      <c r="JQE3" s="13"/>
      <c r="JQF3" s="13"/>
      <c r="JQG3" s="13"/>
      <c r="JQH3" s="13"/>
      <c r="JQI3" s="13"/>
      <c r="JQJ3" s="13"/>
      <c r="JQK3" s="13"/>
      <c r="JQL3" s="13"/>
      <c r="JQM3" s="13"/>
      <c r="JQN3" s="13"/>
      <c r="JQO3" s="13"/>
      <c r="JQP3" s="13"/>
      <c r="JQQ3" s="13"/>
      <c r="JQR3" s="13"/>
      <c r="JQS3" s="13"/>
      <c r="JQT3" s="13"/>
      <c r="JQU3" s="13"/>
      <c r="JQV3" s="13"/>
      <c r="JQW3" s="13"/>
      <c r="JQX3" s="13"/>
      <c r="JQY3" s="13"/>
      <c r="JQZ3" s="13"/>
      <c r="JRA3" s="13"/>
      <c r="JRB3" s="13"/>
      <c r="JRC3" s="13"/>
      <c r="JRD3" s="13"/>
      <c r="JRE3" s="13"/>
      <c r="JRF3" s="13"/>
      <c r="JRG3" s="13"/>
      <c r="JRH3" s="13"/>
      <c r="JRI3" s="13"/>
      <c r="JRJ3" s="13"/>
      <c r="JRK3" s="13"/>
      <c r="JRL3" s="13"/>
      <c r="JRM3" s="13"/>
      <c r="JRN3" s="13"/>
      <c r="JRO3" s="13"/>
      <c r="JRP3" s="13"/>
      <c r="JRQ3" s="13"/>
      <c r="JRR3" s="13"/>
      <c r="JRS3" s="13"/>
      <c r="JRT3" s="13"/>
      <c r="JRU3" s="13"/>
      <c r="JRV3" s="13"/>
      <c r="JRW3" s="13"/>
      <c r="JRX3" s="13"/>
      <c r="JRY3" s="13"/>
      <c r="JRZ3" s="13"/>
      <c r="JSA3" s="13"/>
      <c r="JSB3" s="13"/>
      <c r="JSC3" s="13"/>
      <c r="JSD3" s="13"/>
      <c r="JSE3" s="13"/>
      <c r="JSF3" s="13"/>
      <c r="JSG3" s="13"/>
      <c r="JSH3" s="13"/>
      <c r="JSI3" s="13"/>
      <c r="JSJ3" s="13"/>
      <c r="JSK3" s="13"/>
      <c r="JSL3" s="13"/>
      <c r="JSM3" s="13"/>
      <c r="JSN3" s="13"/>
      <c r="JSO3" s="13"/>
      <c r="JSP3" s="13"/>
      <c r="JSQ3" s="13"/>
      <c r="JSR3" s="13"/>
      <c r="JSS3" s="13"/>
      <c r="JST3" s="13"/>
      <c r="JSU3" s="13"/>
      <c r="JSV3" s="13"/>
      <c r="JSW3" s="13"/>
      <c r="JSX3" s="13"/>
      <c r="JSY3" s="13"/>
      <c r="JSZ3" s="13"/>
      <c r="JTA3" s="13"/>
      <c r="JTB3" s="13"/>
      <c r="JTC3" s="13"/>
      <c r="JTD3" s="13"/>
      <c r="JTE3" s="13"/>
      <c r="JTF3" s="13"/>
      <c r="JTG3" s="13"/>
      <c r="JTH3" s="13"/>
      <c r="JTI3" s="13"/>
      <c r="JTJ3" s="13"/>
      <c r="JTK3" s="13"/>
      <c r="JTL3" s="13"/>
      <c r="JTM3" s="13"/>
      <c r="JTN3" s="13"/>
      <c r="JTO3" s="13"/>
      <c r="JTP3" s="13"/>
      <c r="JTQ3" s="13"/>
      <c r="JTR3" s="13"/>
      <c r="JTS3" s="13"/>
      <c r="JTT3" s="13"/>
      <c r="JTU3" s="13"/>
      <c r="JTV3" s="13"/>
      <c r="JTW3" s="13"/>
      <c r="JTX3" s="13"/>
      <c r="JTY3" s="13"/>
      <c r="JTZ3" s="13"/>
      <c r="JUA3" s="13"/>
      <c r="JUB3" s="13"/>
      <c r="JUC3" s="13"/>
      <c r="JUD3" s="13"/>
      <c r="JUE3" s="13"/>
      <c r="JUF3" s="13"/>
      <c r="JUG3" s="13"/>
      <c r="JUH3" s="13"/>
      <c r="JUI3" s="13"/>
      <c r="JUJ3" s="13"/>
      <c r="JUK3" s="13"/>
      <c r="JUL3" s="13"/>
      <c r="JUM3" s="13"/>
      <c r="JUN3" s="13"/>
      <c r="JUO3" s="13"/>
      <c r="JUP3" s="13"/>
      <c r="JUQ3" s="13"/>
      <c r="JUR3" s="13"/>
      <c r="JUS3" s="13"/>
      <c r="JUT3" s="13"/>
      <c r="JUU3" s="13"/>
      <c r="JUV3" s="13"/>
      <c r="JUW3" s="13"/>
      <c r="JUX3" s="13"/>
      <c r="JUY3" s="13"/>
      <c r="JUZ3" s="13"/>
      <c r="JVA3" s="13"/>
      <c r="JVB3" s="13"/>
      <c r="JVC3" s="13"/>
      <c r="JVD3" s="13"/>
      <c r="JVE3" s="13"/>
      <c r="JVF3" s="13"/>
      <c r="JVG3" s="13"/>
      <c r="JVH3" s="13"/>
      <c r="JVI3" s="13"/>
      <c r="JVJ3" s="13"/>
      <c r="JVK3" s="13"/>
      <c r="JVL3" s="13"/>
      <c r="JVM3" s="13"/>
      <c r="JVN3" s="13"/>
      <c r="JVO3" s="13"/>
      <c r="JVP3" s="13"/>
      <c r="JVQ3" s="13"/>
      <c r="JVR3" s="13"/>
      <c r="JVS3" s="13"/>
      <c r="JVT3" s="13"/>
      <c r="JVU3" s="13"/>
      <c r="JVV3" s="13"/>
      <c r="JVW3" s="13"/>
      <c r="JVX3" s="13"/>
      <c r="JVY3" s="13"/>
      <c r="JVZ3" s="13"/>
      <c r="JWA3" s="13"/>
      <c r="JWB3" s="13"/>
      <c r="JWC3" s="13"/>
      <c r="JWD3" s="13"/>
      <c r="JWE3" s="13"/>
      <c r="JWF3" s="13"/>
      <c r="JWG3" s="13"/>
      <c r="JWH3" s="13"/>
      <c r="JWI3" s="13"/>
      <c r="JWJ3" s="13"/>
      <c r="JWK3" s="13"/>
      <c r="JWL3" s="13"/>
      <c r="JWM3" s="13"/>
      <c r="JWN3" s="13"/>
      <c r="JWO3" s="13"/>
      <c r="JWP3" s="13"/>
      <c r="JWQ3" s="13"/>
      <c r="JWR3" s="13"/>
      <c r="JWS3" s="13"/>
      <c r="JWT3" s="13"/>
      <c r="JWU3" s="13"/>
      <c r="JWV3" s="13"/>
      <c r="JWW3" s="13"/>
      <c r="JWX3" s="13"/>
      <c r="JWY3" s="13"/>
      <c r="JWZ3" s="13"/>
      <c r="JXA3" s="13"/>
      <c r="JXB3" s="13"/>
      <c r="JXC3" s="13"/>
      <c r="JXD3" s="13"/>
      <c r="JXE3" s="13"/>
      <c r="JXF3" s="13"/>
      <c r="JXG3" s="13"/>
      <c r="JXH3" s="13"/>
      <c r="JXI3" s="13"/>
      <c r="JXJ3" s="13"/>
      <c r="JXK3" s="13"/>
      <c r="JXL3" s="13"/>
      <c r="JXM3" s="13"/>
      <c r="JXN3" s="13"/>
      <c r="JXO3" s="13"/>
      <c r="JXP3" s="13"/>
      <c r="JXQ3" s="13"/>
      <c r="JXR3" s="13"/>
      <c r="JXS3" s="13"/>
      <c r="JXT3" s="13"/>
      <c r="JXU3" s="13"/>
      <c r="JXV3" s="13"/>
      <c r="JXW3" s="13"/>
      <c r="JXX3" s="13"/>
      <c r="JXY3" s="13"/>
      <c r="JXZ3" s="13"/>
      <c r="JYA3" s="13"/>
      <c r="JYB3" s="13"/>
      <c r="JYC3" s="13"/>
      <c r="JYD3" s="13"/>
      <c r="JYE3" s="13"/>
      <c r="JYF3" s="13"/>
      <c r="JYG3" s="13"/>
      <c r="JYH3" s="13"/>
      <c r="JYI3" s="13"/>
      <c r="JYJ3" s="13"/>
      <c r="JYK3" s="13"/>
      <c r="JYL3" s="13"/>
      <c r="JYM3" s="13"/>
      <c r="JYN3" s="13"/>
      <c r="JYO3" s="13"/>
      <c r="JYP3" s="13"/>
      <c r="JYQ3" s="13"/>
      <c r="JYR3" s="13"/>
      <c r="JYS3" s="13"/>
      <c r="JYT3" s="13"/>
      <c r="JYU3" s="13"/>
      <c r="JYV3" s="13"/>
      <c r="JYW3" s="13"/>
      <c r="JYX3" s="13"/>
      <c r="JYY3" s="13"/>
      <c r="JYZ3" s="13"/>
      <c r="JZA3" s="13"/>
      <c r="JZB3" s="13"/>
      <c r="JZC3" s="13"/>
      <c r="JZD3" s="13"/>
      <c r="JZE3" s="13"/>
      <c r="JZF3" s="13"/>
      <c r="JZG3" s="13"/>
      <c r="JZH3" s="13"/>
      <c r="JZI3" s="13"/>
      <c r="JZJ3" s="13"/>
      <c r="JZK3" s="13"/>
      <c r="JZL3" s="13"/>
      <c r="JZM3" s="13"/>
      <c r="JZN3" s="13"/>
      <c r="JZO3" s="13"/>
      <c r="JZP3" s="13"/>
      <c r="JZQ3" s="13"/>
      <c r="JZR3" s="13"/>
      <c r="JZS3" s="13"/>
      <c r="JZT3" s="13"/>
      <c r="JZU3" s="13"/>
      <c r="JZV3" s="13"/>
      <c r="JZW3" s="13"/>
      <c r="JZX3" s="13"/>
      <c r="JZY3" s="13"/>
      <c r="JZZ3" s="13"/>
      <c r="KAA3" s="13"/>
      <c r="KAB3" s="13"/>
      <c r="KAC3" s="13"/>
      <c r="KAD3" s="13"/>
      <c r="KAE3" s="13"/>
      <c r="KAF3" s="13"/>
      <c r="KAG3" s="13"/>
      <c r="KAH3" s="13"/>
      <c r="KAI3" s="13"/>
      <c r="KAJ3" s="13"/>
      <c r="KAK3" s="13"/>
      <c r="KAL3" s="13"/>
      <c r="KAM3" s="13"/>
      <c r="KAN3" s="13"/>
      <c r="KAO3" s="13"/>
      <c r="KAP3" s="13"/>
      <c r="KAQ3" s="13"/>
      <c r="KAR3" s="13"/>
      <c r="KAS3" s="13"/>
      <c r="KAT3" s="13"/>
      <c r="KAU3" s="13"/>
      <c r="KAV3" s="13"/>
      <c r="KAW3" s="13"/>
      <c r="KAX3" s="13"/>
      <c r="KAY3" s="13"/>
      <c r="KAZ3" s="13"/>
      <c r="KBA3" s="13"/>
      <c r="KBB3" s="13"/>
      <c r="KBC3" s="13"/>
      <c r="KBD3" s="13"/>
      <c r="KBE3" s="13"/>
      <c r="KBF3" s="13"/>
      <c r="KBG3" s="13"/>
      <c r="KBH3" s="13"/>
      <c r="KBI3" s="13"/>
      <c r="KBJ3" s="13"/>
      <c r="KBK3" s="13"/>
      <c r="KBL3" s="13"/>
      <c r="KBM3" s="13"/>
      <c r="KBN3" s="13"/>
      <c r="KBO3" s="13"/>
      <c r="KBP3" s="13"/>
      <c r="KBQ3" s="13"/>
      <c r="KBR3" s="13"/>
      <c r="KBS3" s="13"/>
      <c r="KBT3" s="13"/>
      <c r="KBU3" s="13"/>
      <c r="KBV3" s="13"/>
      <c r="KBW3" s="13"/>
      <c r="KBX3" s="13"/>
      <c r="KBY3" s="13"/>
      <c r="KBZ3" s="13"/>
      <c r="KCA3" s="13"/>
      <c r="KCB3" s="13"/>
      <c r="KCC3" s="13"/>
      <c r="KCD3" s="13"/>
      <c r="KCE3" s="13"/>
      <c r="KCF3" s="13"/>
      <c r="KCG3" s="13"/>
      <c r="KCH3" s="13"/>
      <c r="KCI3" s="13"/>
      <c r="KCJ3" s="13"/>
      <c r="KCK3" s="13"/>
      <c r="KCL3" s="13"/>
      <c r="KCM3" s="13"/>
      <c r="KCN3" s="13"/>
      <c r="KCO3" s="13"/>
      <c r="KCP3" s="13"/>
      <c r="KCQ3" s="13"/>
      <c r="KCR3" s="13"/>
      <c r="KCS3" s="13"/>
      <c r="KCT3" s="13"/>
      <c r="KCU3" s="13"/>
      <c r="KCV3" s="13"/>
      <c r="KCW3" s="13"/>
      <c r="KCX3" s="13"/>
      <c r="KCY3" s="13"/>
      <c r="KCZ3" s="13"/>
      <c r="KDA3" s="13"/>
      <c r="KDB3" s="13"/>
      <c r="KDC3" s="13"/>
      <c r="KDD3" s="13"/>
      <c r="KDE3" s="13"/>
      <c r="KDF3" s="13"/>
      <c r="KDG3" s="13"/>
      <c r="KDH3" s="13"/>
      <c r="KDI3" s="13"/>
      <c r="KDJ3" s="13"/>
      <c r="KDK3" s="13"/>
      <c r="KDL3" s="13"/>
      <c r="KDM3" s="13"/>
      <c r="KDN3" s="13"/>
      <c r="KDO3" s="13"/>
      <c r="KDP3" s="13"/>
      <c r="KDQ3" s="13"/>
      <c r="KDR3" s="13"/>
      <c r="KDS3" s="13"/>
      <c r="KDT3" s="13"/>
      <c r="KDU3" s="13"/>
      <c r="KDV3" s="13"/>
      <c r="KDW3" s="13"/>
      <c r="KDX3" s="13"/>
      <c r="KDY3" s="13"/>
      <c r="KDZ3" s="13"/>
      <c r="KEA3" s="13"/>
      <c r="KEB3" s="13"/>
      <c r="KEC3" s="13"/>
      <c r="KED3" s="13"/>
      <c r="KEE3" s="13"/>
      <c r="KEF3" s="13"/>
      <c r="KEG3" s="13"/>
      <c r="KEH3" s="13"/>
      <c r="KEI3" s="13"/>
      <c r="KEJ3" s="13"/>
      <c r="KEK3" s="13"/>
      <c r="KEL3" s="13"/>
      <c r="KEM3" s="13"/>
      <c r="KEN3" s="13"/>
      <c r="KEO3" s="13"/>
      <c r="KEP3" s="13"/>
      <c r="KEQ3" s="13"/>
      <c r="KER3" s="13"/>
      <c r="KES3" s="13"/>
      <c r="KET3" s="13"/>
      <c r="KEU3" s="13"/>
      <c r="KEV3" s="13"/>
      <c r="KEW3" s="13"/>
      <c r="KEX3" s="13"/>
      <c r="KEY3" s="13"/>
      <c r="KEZ3" s="13"/>
      <c r="KFA3" s="13"/>
      <c r="KFB3" s="13"/>
      <c r="KFC3" s="13"/>
      <c r="KFD3" s="13"/>
      <c r="KFE3" s="13"/>
      <c r="KFF3" s="13"/>
      <c r="KFG3" s="13"/>
      <c r="KFH3" s="13"/>
      <c r="KFI3" s="13"/>
      <c r="KFJ3" s="13"/>
      <c r="KFK3" s="13"/>
      <c r="KFL3" s="13"/>
      <c r="KFM3" s="13"/>
      <c r="KFN3" s="13"/>
      <c r="KFO3" s="13"/>
      <c r="KFP3" s="13"/>
      <c r="KFQ3" s="13"/>
      <c r="KFR3" s="13"/>
      <c r="KFS3" s="13"/>
      <c r="KFT3" s="13"/>
      <c r="KFU3" s="13"/>
      <c r="KFV3" s="13"/>
      <c r="KFW3" s="13"/>
      <c r="KFX3" s="13"/>
      <c r="KFY3" s="13"/>
      <c r="KFZ3" s="13"/>
      <c r="KGA3" s="13"/>
      <c r="KGB3" s="13"/>
      <c r="KGC3" s="13"/>
      <c r="KGD3" s="13"/>
      <c r="KGE3" s="13"/>
      <c r="KGF3" s="13"/>
      <c r="KGG3" s="13"/>
      <c r="KGH3" s="13"/>
      <c r="KGI3" s="13"/>
      <c r="KGJ3" s="13"/>
      <c r="KGK3" s="13"/>
      <c r="KGL3" s="13"/>
      <c r="KGM3" s="13"/>
      <c r="KGN3" s="13"/>
      <c r="KGO3" s="13"/>
      <c r="KGP3" s="13"/>
      <c r="KGQ3" s="13"/>
      <c r="KGR3" s="13"/>
      <c r="KGS3" s="13"/>
      <c r="KGT3" s="13"/>
      <c r="KGU3" s="13"/>
      <c r="KGV3" s="13"/>
      <c r="KGW3" s="13"/>
      <c r="KGX3" s="13"/>
      <c r="KGY3" s="13"/>
      <c r="KGZ3" s="13"/>
      <c r="KHA3" s="13"/>
      <c r="KHB3" s="13"/>
      <c r="KHC3" s="13"/>
      <c r="KHD3" s="13"/>
      <c r="KHE3" s="13"/>
      <c r="KHF3" s="13"/>
      <c r="KHG3" s="13"/>
      <c r="KHH3" s="13"/>
      <c r="KHI3" s="13"/>
      <c r="KHJ3" s="13"/>
      <c r="KHK3" s="13"/>
      <c r="KHL3" s="13"/>
      <c r="KHM3" s="13"/>
      <c r="KHN3" s="13"/>
      <c r="KHO3" s="13"/>
      <c r="KHP3" s="13"/>
      <c r="KHQ3" s="13"/>
      <c r="KHR3" s="13"/>
      <c r="KHS3" s="13"/>
      <c r="KHT3" s="13"/>
      <c r="KHU3" s="13"/>
      <c r="KHV3" s="13"/>
      <c r="KHW3" s="13"/>
      <c r="KHX3" s="13"/>
      <c r="KHY3" s="13"/>
      <c r="KHZ3" s="13"/>
      <c r="KIA3" s="13"/>
      <c r="KIB3" s="13"/>
      <c r="KIC3" s="13"/>
      <c r="KID3" s="13"/>
      <c r="KIE3" s="13"/>
      <c r="KIF3" s="13"/>
      <c r="KIG3" s="13"/>
      <c r="KIH3" s="13"/>
      <c r="KII3" s="13"/>
      <c r="KIJ3" s="13"/>
      <c r="KIK3" s="13"/>
      <c r="KIL3" s="13"/>
      <c r="KIM3" s="13"/>
      <c r="KIN3" s="13"/>
      <c r="KIO3" s="13"/>
      <c r="KIP3" s="13"/>
      <c r="KIQ3" s="13"/>
      <c r="KIR3" s="13"/>
      <c r="KIS3" s="13"/>
      <c r="KIT3" s="13"/>
      <c r="KIU3" s="13"/>
      <c r="KIV3" s="13"/>
      <c r="KIW3" s="13"/>
      <c r="KIX3" s="13"/>
      <c r="KIY3" s="13"/>
      <c r="KIZ3" s="13"/>
      <c r="KJA3" s="13"/>
      <c r="KJB3" s="13"/>
      <c r="KJC3" s="13"/>
      <c r="KJD3" s="13"/>
      <c r="KJE3" s="13"/>
      <c r="KJF3" s="13"/>
      <c r="KJG3" s="13"/>
      <c r="KJH3" s="13"/>
      <c r="KJI3" s="13"/>
      <c r="KJJ3" s="13"/>
      <c r="KJK3" s="13"/>
      <c r="KJL3" s="13"/>
      <c r="KJM3" s="13"/>
      <c r="KJN3" s="13"/>
      <c r="KJO3" s="13"/>
      <c r="KJP3" s="13"/>
      <c r="KJQ3" s="13"/>
      <c r="KJR3" s="13"/>
      <c r="KJS3" s="13"/>
      <c r="KJT3" s="13"/>
      <c r="KJU3" s="13"/>
      <c r="KJV3" s="13"/>
      <c r="KJW3" s="13"/>
      <c r="KJX3" s="13"/>
      <c r="KJY3" s="13"/>
      <c r="KJZ3" s="13"/>
      <c r="KKA3" s="13"/>
      <c r="KKB3" s="13"/>
      <c r="KKC3" s="13"/>
      <c r="KKD3" s="13"/>
      <c r="KKE3" s="13"/>
      <c r="KKF3" s="13"/>
      <c r="KKG3" s="13"/>
      <c r="KKH3" s="13"/>
      <c r="KKI3" s="13"/>
      <c r="KKJ3" s="13"/>
      <c r="KKK3" s="13"/>
      <c r="KKL3" s="13"/>
      <c r="KKM3" s="13"/>
      <c r="KKN3" s="13"/>
      <c r="KKO3" s="13"/>
      <c r="KKP3" s="13"/>
      <c r="KKQ3" s="13"/>
      <c r="KKR3" s="13"/>
      <c r="KKS3" s="13"/>
      <c r="KKT3" s="13"/>
      <c r="KKU3" s="13"/>
      <c r="KKV3" s="13"/>
      <c r="KKW3" s="13"/>
      <c r="KKX3" s="13"/>
      <c r="KKY3" s="13"/>
      <c r="KKZ3" s="13"/>
      <c r="KLA3" s="13"/>
      <c r="KLB3" s="13"/>
      <c r="KLC3" s="13"/>
      <c r="KLD3" s="13"/>
      <c r="KLE3" s="13"/>
      <c r="KLF3" s="13"/>
      <c r="KLG3" s="13"/>
      <c r="KLH3" s="13"/>
      <c r="KLI3" s="13"/>
      <c r="KLJ3" s="13"/>
      <c r="KLK3" s="13"/>
      <c r="KLL3" s="13"/>
      <c r="KLM3" s="13"/>
      <c r="KLN3" s="13"/>
      <c r="KLO3" s="13"/>
      <c r="KLP3" s="13"/>
      <c r="KLQ3" s="13"/>
      <c r="KLR3" s="13"/>
      <c r="KLS3" s="13"/>
      <c r="KLT3" s="13"/>
      <c r="KLU3" s="13"/>
      <c r="KLV3" s="13"/>
      <c r="KLW3" s="13"/>
      <c r="KLX3" s="13"/>
      <c r="KLY3" s="13"/>
      <c r="KLZ3" s="13"/>
      <c r="KMA3" s="13"/>
      <c r="KMB3" s="13"/>
      <c r="KMC3" s="13"/>
      <c r="KMD3" s="13"/>
      <c r="KME3" s="13"/>
      <c r="KMF3" s="13"/>
      <c r="KMG3" s="13"/>
      <c r="KMH3" s="13"/>
      <c r="KMI3" s="13"/>
      <c r="KMJ3" s="13"/>
      <c r="KMK3" s="13"/>
      <c r="KML3" s="13"/>
      <c r="KMM3" s="13"/>
      <c r="KMN3" s="13"/>
      <c r="KMO3" s="13"/>
      <c r="KMP3" s="13"/>
      <c r="KMQ3" s="13"/>
      <c r="KMR3" s="13"/>
      <c r="KMS3" s="13"/>
      <c r="KMT3" s="13"/>
      <c r="KMU3" s="13"/>
      <c r="KMV3" s="13"/>
      <c r="KMW3" s="13"/>
      <c r="KMX3" s="13"/>
      <c r="KMY3" s="13"/>
      <c r="KMZ3" s="13"/>
      <c r="KNA3" s="13"/>
      <c r="KNB3" s="13"/>
      <c r="KNC3" s="13"/>
      <c r="KND3" s="13"/>
      <c r="KNE3" s="13"/>
      <c r="KNF3" s="13"/>
      <c r="KNG3" s="13"/>
      <c r="KNH3" s="13"/>
      <c r="KNI3" s="13"/>
      <c r="KNJ3" s="13"/>
      <c r="KNK3" s="13"/>
      <c r="KNL3" s="13"/>
      <c r="KNM3" s="13"/>
      <c r="KNN3" s="13"/>
      <c r="KNO3" s="13"/>
      <c r="KNP3" s="13"/>
      <c r="KNQ3" s="13"/>
      <c r="KNR3" s="13"/>
      <c r="KNS3" s="13"/>
      <c r="KNT3" s="13"/>
      <c r="KNU3" s="13"/>
      <c r="KNV3" s="13"/>
      <c r="KNW3" s="13"/>
      <c r="KNX3" s="13"/>
      <c r="KNY3" s="13"/>
      <c r="KNZ3" s="13"/>
      <c r="KOA3" s="13"/>
      <c r="KOB3" s="13"/>
      <c r="KOC3" s="13"/>
      <c r="KOD3" s="13"/>
      <c r="KOE3" s="13"/>
      <c r="KOF3" s="13"/>
      <c r="KOG3" s="13"/>
      <c r="KOH3" s="13"/>
      <c r="KOI3" s="13"/>
      <c r="KOJ3" s="13"/>
      <c r="KOK3" s="13"/>
      <c r="KOL3" s="13"/>
      <c r="KOM3" s="13"/>
      <c r="KON3" s="13"/>
      <c r="KOO3" s="13"/>
      <c r="KOP3" s="13"/>
      <c r="KOQ3" s="13"/>
      <c r="KOR3" s="13"/>
      <c r="KOS3" s="13"/>
      <c r="KOT3" s="13"/>
      <c r="KOU3" s="13"/>
      <c r="KOV3" s="13"/>
      <c r="KOW3" s="13"/>
      <c r="KOX3" s="13"/>
      <c r="KOY3" s="13"/>
      <c r="KOZ3" s="13"/>
      <c r="KPA3" s="13"/>
      <c r="KPB3" s="13"/>
      <c r="KPC3" s="13"/>
      <c r="KPD3" s="13"/>
      <c r="KPE3" s="13"/>
      <c r="KPF3" s="13"/>
      <c r="KPG3" s="13"/>
      <c r="KPH3" s="13"/>
      <c r="KPI3" s="13"/>
      <c r="KPJ3" s="13"/>
      <c r="KPK3" s="13"/>
      <c r="KPL3" s="13"/>
      <c r="KPM3" s="13"/>
      <c r="KPN3" s="13"/>
      <c r="KPO3" s="13"/>
      <c r="KPP3" s="13"/>
      <c r="KPQ3" s="13"/>
      <c r="KPR3" s="13"/>
      <c r="KPS3" s="13"/>
      <c r="KPT3" s="13"/>
      <c r="KPU3" s="13"/>
      <c r="KPV3" s="13"/>
      <c r="KPW3" s="13"/>
      <c r="KPX3" s="13"/>
      <c r="KPY3" s="13"/>
      <c r="KPZ3" s="13"/>
      <c r="KQA3" s="13"/>
      <c r="KQB3" s="13"/>
      <c r="KQC3" s="13"/>
      <c r="KQD3" s="13"/>
      <c r="KQE3" s="13"/>
      <c r="KQF3" s="13"/>
      <c r="KQG3" s="13"/>
      <c r="KQH3" s="13"/>
      <c r="KQI3" s="13"/>
      <c r="KQJ3" s="13"/>
      <c r="KQK3" s="13"/>
      <c r="KQL3" s="13"/>
      <c r="KQM3" s="13"/>
      <c r="KQN3" s="13"/>
      <c r="KQO3" s="13"/>
      <c r="KQP3" s="13"/>
      <c r="KQQ3" s="13"/>
      <c r="KQR3" s="13"/>
      <c r="KQS3" s="13"/>
      <c r="KQT3" s="13"/>
      <c r="KQU3" s="13"/>
      <c r="KQV3" s="13"/>
      <c r="KQW3" s="13"/>
      <c r="KQX3" s="13"/>
      <c r="KQY3" s="13"/>
      <c r="KQZ3" s="13"/>
      <c r="KRA3" s="13"/>
      <c r="KRB3" s="13"/>
      <c r="KRC3" s="13"/>
      <c r="KRD3" s="13"/>
      <c r="KRE3" s="13"/>
      <c r="KRF3" s="13"/>
      <c r="KRG3" s="13"/>
      <c r="KRH3" s="13"/>
      <c r="KRI3" s="13"/>
      <c r="KRJ3" s="13"/>
      <c r="KRK3" s="13"/>
      <c r="KRL3" s="13"/>
      <c r="KRM3" s="13"/>
      <c r="KRN3" s="13"/>
      <c r="KRO3" s="13"/>
      <c r="KRP3" s="13"/>
      <c r="KRQ3" s="13"/>
      <c r="KRR3" s="13"/>
      <c r="KRS3" s="13"/>
      <c r="KRT3" s="13"/>
      <c r="KRU3" s="13"/>
      <c r="KRV3" s="13"/>
      <c r="KRW3" s="13"/>
      <c r="KRX3" s="13"/>
      <c r="KRY3" s="13"/>
      <c r="KRZ3" s="13"/>
      <c r="KSA3" s="13"/>
      <c r="KSB3" s="13"/>
      <c r="KSC3" s="13"/>
      <c r="KSD3" s="13"/>
      <c r="KSE3" s="13"/>
      <c r="KSF3" s="13"/>
      <c r="KSG3" s="13"/>
      <c r="KSH3" s="13"/>
      <c r="KSI3" s="13"/>
      <c r="KSJ3" s="13"/>
      <c r="KSK3" s="13"/>
      <c r="KSL3" s="13"/>
      <c r="KSM3" s="13"/>
      <c r="KSN3" s="13"/>
      <c r="KSO3" s="13"/>
      <c r="KSP3" s="13"/>
      <c r="KSQ3" s="13"/>
      <c r="KSR3" s="13"/>
      <c r="KSS3" s="13"/>
      <c r="KST3" s="13"/>
      <c r="KSU3" s="13"/>
      <c r="KSV3" s="13"/>
      <c r="KSW3" s="13"/>
      <c r="KSX3" s="13"/>
      <c r="KSY3" s="13"/>
      <c r="KSZ3" s="13"/>
      <c r="KTA3" s="13"/>
      <c r="KTB3" s="13"/>
      <c r="KTC3" s="13"/>
      <c r="KTD3" s="13"/>
      <c r="KTE3" s="13"/>
      <c r="KTF3" s="13"/>
      <c r="KTG3" s="13"/>
      <c r="KTH3" s="13"/>
      <c r="KTI3" s="13"/>
      <c r="KTJ3" s="13"/>
      <c r="KTK3" s="13"/>
      <c r="KTL3" s="13"/>
      <c r="KTM3" s="13"/>
      <c r="KTN3" s="13"/>
      <c r="KTO3" s="13"/>
      <c r="KTP3" s="13"/>
      <c r="KTQ3" s="13"/>
      <c r="KTR3" s="13"/>
      <c r="KTS3" s="13"/>
      <c r="KTT3" s="13"/>
      <c r="KTU3" s="13"/>
      <c r="KTV3" s="13"/>
      <c r="KTW3" s="13"/>
      <c r="KTX3" s="13"/>
      <c r="KTY3" s="13"/>
      <c r="KTZ3" s="13"/>
      <c r="KUA3" s="13"/>
      <c r="KUB3" s="13"/>
      <c r="KUC3" s="13"/>
      <c r="KUD3" s="13"/>
      <c r="KUE3" s="13"/>
      <c r="KUF3" s="13"/>
      <c r="KUG3" s="13"/>
      <c r="KUH3" s="13"/>
      <c r="KUI3" s="13"/>
      <c r="KUJ3" s="13"/>
      <c r="KUK3" s="13"/>
      <c r="KUL3" s="13"/>
      <c r="KUM3" s="13"/>
      <c r="KUN3" s="13"/>
      <c r="KUO3" s="13"/>
      <c r="KUP3" s="13"/>
      <c r="KUQ3" s="13"/>
      <c r="KUR3" s="13"/>
      <c r="KUS3" s="13"/>
      <c r="KUT3" s="13"/>
      <c r="KUU3" s="13"/>
      <c r="KUV3" s="13"/>
      <c r="KUW3" s="13"/>
      <c r="KUX3" s="13"/>
      <c r="KUY3" s="13"/>
      <c r="KUZ3" s="13"/>
      <c r="KVA3" s="13"/>
      <c r="KVB3" s="13"/>
      <c r="KVC3" s="13"/>
      <c r="KVD3" s="13"/>
      <c r="KVE3" s="13"/>
      <c r="KVF3" s="13"/>
      <c r="KVG3" s="13"/>
      <c r="KVH3" s="13"/>
      <c r="KVI3" s="13"/>
      <c r="KVJ3" s="13"/>
      <c r="KVK3" s="13"/>
      <c r="KVL3" s="13"/>
      <c r="KVM3" s="13"/>
      <c r="KVN3" s="13"/>
      <c r="KVO3" s="13"/>
      <c r="KVP3" s="13"/>
      <c r="KVQ3" s="13"/>
      <c r="KVR3" s="13"/>
      <c r="KVS3" s="13"/>
      <c r="KVT3" s="13"/>
      <c r="KVU3" s="13"/>
      <c r="KVV3" s="13"/>
      <c r="KVW3" s="13"/>
      <c r="KVX3" s="13"/>
      <c r="KVY3" s="13"/>
      <c r="KVZ3" s="13"/>
      <c r="KWA3" s="13"/>
      <c r="KWB3" s="13"/>
      <c r="KWC3" s="13"/>
      <c r="KWD3" s="13"/>
      <c r="KWE3" s="13"/>
      <c r="KWF3" s="13"/>
      <c r="KWG3" s="13"/>
      <c r="KWH3" s="13"/>
      <c r="KWI3" s="13"/>
      <c r="KWJ3" s="13"/>
      <c r="KWK3" s="13"/>
      <c r="KWL3" s="13"/>
      <c r="KWM3" s="13"/>
      <c r="KWN3" s="13"/>
      <c r="KWO3" s="13"/>
      <c r="KWP3" s="13"/>
      <c r="KWQ3" s="13"/>
      <c r="KWR3" s="13"/>
      <c r="KWS3" s="13"/>
      <c r="KWT3" s="13"/>
      <c r="KWU3" s="13"/>
      <c r="KWV3" s="13"/>
      <c r="KWW3" s="13"/>
      <c r="KWX3" s="13"/>
      <c r="KWY3" s="13"/>
      <c r="KWZ3" s="13"/>
      <c r="KXA3" s="13"/>
      <c r="KXB3" s="13"/>
      <c r="KXC3" s="13"/>
      <c r="KXD3" s="13"/>
      <c r="KXE3" s="13"/>
      <c r="KXF3" s="13"/>
      <c r="KXG3" s="13"/>
      <c r="KXH3" s="13"/>
      <c r="KXI3" s="13"/>
      <c r="KXJ3" s="13"/>
      <c r="KXK3" s="13"/>
      <c r="KXL3" s="13"/>
      <c r="KXM3" s="13"/>
      <c r="KXN3" s="13"/>
      <c r="KXO3" s="13"/>
      <c r="KXP3" s="13"/>
      <c r="KXQ3" s="13"/>
      <c r="KXR3" s="13"/>
      <c r="KXS3" s="13"/>
      <c r="KXT3" s="13"/>
      <c r="KXU3" s="13"/>
      <c r="KXV3" s="13"/>
      <c r="KXW3" s="13"/>
      <c r="KXX3" s="13"/>
      <c r="KXY3" s="13"/>
      <c r="KXZ3" s="13"/>
      <c r="KYA3" s="13"/>
      <c r="KYB3" s="13"/>
      <c r="KYC3" s="13"/>
      <c r="KYD3" s="13"/>
      <c r="KYE3" s="13"/>
      <c r="KYF3" s="13"/>
      <c r="KYG3" s="13"/>
      <c r="KYH3" s="13"/>
      <c r="KYI3" s="13"/>
      <c r="KYJ3" s="13"/>
      <c r="KYK3" s="13"/>
      <c r="KYL3" s="13"/>
      <c r="KYM3" s="13"/>
      <c r="KYN3" s="13"/>
      <c r="KYO3" s="13"/>
      <c r="KYP3" s="13"/>
      <c r="KYQ3" s="13"/>
      <c r="KYR3" s="13"/>
      <c r="KYS3" s="13"/>
      <c r="KYT3" s="13"/>
      <c r="KYU3" s="13"/>
      <c r="KYV3" s="13"/>
      <c r="KYW3" s="13"/>
      <c r="KYX3" s="13"/>
      <c r="KYY3" s="13"/>
      <c r="KYZ3" s="13"/>
      <c r="KZA3" s="13"/>
      <c r="KZB3" s="13"/>
      <c r="KZC3" s="13"/>
      <c r="KZD3" s="13"/>
      <c r="KZE3" s="13"/>
      <c r="KZF3" s="13"/>
      <c r="KZG3" s="13"/>
      <c r="KZH3" s="13"/>
      <c r="KZI3" s="13"/>
      <c r="KZJ3" s="13"/>
      <c r="KZK3" s="13"/>
      <c r="KZL3" s="13"/>
      <c r="KZM3" s="13"/>
      <c r="KZN3" s="13"/>
      <c r="KZO3" s="13"/>
      <c r="KZP3" s="13"/>
      <c r="KZQ3" s="13"/>
      <c r="KZR3" s="13"/>
      <c r="KZS3" s="13"/>
      <c r="KZT3" s="13"/>
      <c r="KZU3" s="13"/>
      <c r="KZV3" s="13"/>
      <c r="KZW3" s="13"/>
      <c r="KZX3" s="13"/>
      <c r="KZY3" s="13"/>
      <c r="KZZ3" s="13"/>
      <c r="LAA3" s="13"/>
      <c r="LAB3" s="13"/>
      <c r="LAC3" s="13"/>
      <c r="LAD3" s="13"/>
      <c r="LAE3" s="13"/>
      <c r="LAF3" s="13"/>
      <c r="LAG3" s="13"/>
      <c r="LAH3" s="13"/>
      <c r="LAI3" s="13"/>
      <c r="LAJ3" s="13"/>
      <c r="LAK3" s="13"/>
      <c r="LAL3" s="13"/>
      <c r="LAM3" s="13"/>
      <c r="LAN3" s="13"/>
      <c r="LAO3" s="13"/>
      <c r="LAP3" s="13"/>
      <c r="LAQ3" s="13"/>
      <c r="LAR3" s="13"/>
      <c r="LAS3" s="13"/>
      <c r="LAT3" s="13"/>
      <c r="LAU3" s="13"/>
      <c r="LAV3" s="13"/>
      <c r="LAW3" s="13"/>
      <c r="LAX3" s="13"/>
      <c r="LAY3" s="13"/>
      <c r="LAZ3" s="13"/>
      <c r="LBA3" s="13"/>
      <c r="LBB3" s="13"/>
      <c r="LBC3" s="13"/>
      <c r="LBD3" s="13"/>
      <c r="LBE3" s="13"/>
      <c r="LBF3" s="13"/>
      <c r="LBG3" s="13"/>
      <c r="LBH3" s="13"/>
      <c r="LBI3" s="13"/>
      <c r="LBJ3" s="13"/>
      <c r="LBK3" s="13"/>
      <c r="LBL3" s="13"/>
      <c r="LBM3" s="13"/>
      <c r="LBN3" s="13"/>
      <c r="LBO3" s="13"/>
      <c r="LBP3" s="13"/>
      <c r="LBQ3" s="13"/>
      <c r="LBR3" s="13"/>
      <c r="LBS3" s="13"/>
      <c r="LBT3" s="13"/>
      <c r="LBU3" s="13"/>
      <c r="LBV3" s="13"/>
      <c r="LBW3" s="13"/>
      <c r="LBX3" s="13"/>
      <c r="LBY3" s="13"/>
      <c r="LBZ3" s="13"/>
      <c r="LCA3" s="13"/>
      <c r="LCB3" s="13"/>
      <c r="LCC3" s="13"/>
      <c r="LCD3" s="13"/>
      <c r="LCE3" s="13"/>
      <c r="LCF3" s="13"/>
      <c r="LCG3" s="13"/>
      <c r="LCH3" s="13"/>
      <c r="LCI3" s="13"/>
      <c r="LCJ3" s="13"/>
      <c r="LCK3" s="13"/>
      <c r="LCL3" s="13"/>
      <c r="LCM3" s="13"/>
      <c r="LCN3" s="13"/>
      <c r="LCO3" s="13"/>
      <c r="LCP3" s="13"/>
      <c r="LCQ3" s="13"/>
      <c r="LCR3" s="13"/>
      <c r="LCS3" s="13"/>
      <c r="LCT3" s="13"/>
      <c r="LCU3" s="13"/>
      <c r="LCV3" s="13"/>
      <c r="LCW3" s="13"/>
      <c r="LCX3" s="13"/>
      <c r="LCY3" s="13"/>
      <c r="LCZ3" s="13"/>
      <c r="LDA3" s="13"/>
      <c r="LDB3" s="13"/>
      <c r="LDC3" s="13"/>
      <c r="LDD3" s="13"/>
      <c r="LDE3" s="13"/>
      <c r="LDF3" s="13"/>
      <c r="LDG3" s="13"/>
      <c r="LDH3" s="13"/>
      <c r="LDI3" s="13"/>
      <c r="LDJ3" s="13"/>
      <c r="LDK3" s="13"/>
      <c r="LDL3" s="13"/>
      <c r="LDM3" s="13"/>
      <c r="LDN3" s="13"/>
      <c r="LDO3" s="13"/>
      <c r="LDP3" s="13"/>
      <c r="LDQ3" s="13"/>
      <c r="LDR3" s="13"/>
      <c r="LDS3" s="13"/>
      <c r="LDT3" s="13"/>
      <c r="LDU3" s="13"/>
      <c r="LDV3" s="13"/>
      <c r="LDW3" s="13"/>
      <c r="LDX3" s="13"/>
      <c r="LDY3" s="13"/>
      <c r="LDZ3" s="13"/>
      <c r="LEA3" s="13"/>
      <c r="LEB3" s="13"/>
      <c r="LEC3" s="13"/>
      <c r="LED3" s="13"/>
      <c r="LEE3" s="13"/>
      <c r="LEF3" s="13"/>
      <c r="LEG3" s="13"/>
      <c r="LEH3" s="13"/>
      <c r="LEI3" s="13"/>
      <c r="LEJ3" s="13"/>
      <c r="LEK3" s="13"/>
      <c r="LEL3" s="13"/>
      <c r="LEM3" s="13"/>
      <c r="LEN3" s="13"/>
      <c r="LEO3" s="13"/>
      <c r="LEP3" s="13"/>
      <c r="LEQ3" s="13"/>
      <c r="LER3" s="13"/>
      <c r="LES3" s="13"/>
      <c r="LET3" s="13"/>
      <c r="LEU3" s="13"/>
      <c r="LEV3" s="13"/>
      <c r="LEW3" s="13"/>
      <c r="LEX3" s="13"/>
      <c r="LEY3" s="13"/>
      <c r="LEZ3" s="13"/>
      <c r="LFA3" s="13"/>
      <c r="LFB3" s="13"/>
      <c r="LFC3" s="13"/>
      <c r="LFD3" s="13"/>
      <c r="LFE3" s="13"/>
      <c r="LFF3" s="13"/>
      <c r="LFG3" s="13"/>
      <c r="LFH3" s="13"/>
      <c r="LFI3" s="13"/>
      <c r="LFJ3" s="13"/>
      <c r="LFK3" s="13"/>
      <c r="LFL3" s="13"/>
      <c r="LFM3" s="13"/>
      <c r="LFN3" s="13"/>
      <c r="LFO3" s="13"/>
      <c r="LFP3" s="13"/>
      <c r="LFQ3" s="13"/>
      <c r="LFR3" s="13"/>
      <c r="LFS3" s="13"/>
      <c r="LFT3" s="13"/>
      <c r="LFU3" s="13"/>
      <c r="LFV3" s="13"/>
      <c r="LFW3" s="13"/>
      <c r="LFX3" s="13"/>
      <c r="LFY3" s="13"/>
      <c r="LFZ3" s="13"/>
      <c r="LGA3" s="13"/>
      <c r="LGB3" s="13"/>
      <c r="LGC3" s="13"/>
      <c r="LGD3" s="13"/>
      <c r="LGE3" s="13"/>
      <c r="LGF3" s="13"/>
      <c r="LGG3" s="13"/>
      <c r="LGH3" s="13"/>
      <c r="LGI3" s="13"/>
      <c r="LGJ3" s="13"/>
      <c r="LGK3" s="13"/>
      <c r="LGL3" s="13"/>
      <c r="LGM3" s="13"/>
      <c r="LGN3" s="13"/>
      <c r="LGO3" s="13"/>
      <c r="LGP3" s="13"/>
      <c r="LGQ3" s="13"/>
      <c r="LGR3" s="13"/>
      <c r="LGS3" s="13"/>
      <c r="LGT3" s="13"/>
      <c r="LGU3" s="13"/>
      <c r="LGV3" s="13"/>
      <c r="LGW3" s="13"/>
      <c r="LGX3" s="13"/>
      <c r="LGY3" s="13"/>
      <c r="LGZ3" s="13"/>
      <c r="LHA3" s="13"/>
      <c r="LHB3" s="13"/>
      <c r="LHC3" s="13"/>
      <c r="LHD3" s="13"/>
      <c r="LHE3" s="13"/>
      <c r="LHF3" s="13"/>
      <c r="LHG3" s="13"/>
      <c r="LHH3" s="13"/>
      <c r="LHI3" s="13"/>
      <c r="LHJ3" s="13"/>
      <c r="LHK3" s="13"/>
      <c r="LHL3" s="13"/>
      <c r="LHM3" s="13"/>
      <c r="LHN3" s="13"/>
      <c r="LHO3" s="13"/>
      <c r="LHP3" s="13"/>
      <c r="LHQ3" s="13"/>
      <c r="LHR3" s="13"/>
      <c r="LHS3" s="13"/>
      <c r="LHT3" s="13"/>
      <c r="LHU3" s="13"/>
      <c r="LHV3" s="13"/>
      <c r="LHW3" s="13"/>
      <c r="LHX3" s="13"/>
      <c r="LHY3" s="13"/>
      <c r="LHZ3" s="13"/>
      <c r="LIA3" s="13"/>
      <c r="LIB3" s="13"/>
      <c r="LIC3" s="13"/>
      <c r="LID3" s="13"/>
      <c r="LIE3" s="13"/>
      <c r="LIF3" s="13"/>
      <c r="LIG3" s="13"/>
      <c r="LIH3" s="13"/>
      <c r="LII3" s="13"/>
      <c r="LIJ3" s="13"/>
      <c r="LIK3" s="13"/>
      <c r="LIL3" s="13"/>
      <c r="LIM3" s="13"/>
      <c r="LIN3" s="13"/>
      <c r="LIO3" s="13"/>
      <c r="LIP3" s="13"/>
      <c r="LIQ3" s="13"/>
      <c r="LIR3" s="13"/>
      <c r="LIS3" s="13"/>
      <c r="LIT3" s="13"/>
      <c r="LIU3" s="13"/>
      <c r="LIV3" s="13"/>
      <c r="LIW3" s="13"/>
      <c r="LIX3" s="13"/>
      <c r="LIY3" s="13"/>
      <c r="LIZ3" s="13"/>
      <c r="LJA3" s="13"/>
      <c r="LJB3" s="13"/>
      <c r="LJC3" s="13"/>
      <c r="LJD3" s="13"/>
      <c r="LJE3" s="13"/>
      <c r="LJF3" s="13"/>
      <c r="LJG3" s="13"/>
      <c r="LJH3" s="13"/>
      <c r="LJI3" s="13"/>
      <c r="LJJ3" s="13"/>
      <c r="LJK3" s="13"/>
      <c r="LJL3" s="13"/>
      <c r="LJM3" s="13"/>
      <c r="LJN3" s="13"/>
      <c r="LJO3" s="13"/>
      <c r="LJP3" s="13"/>
      <c r="LJQ3" s="13"/>
      <c r="LJR3" s="13"/>
      <c r="LJS3" s="13"/>
      <c r="LJT3" s="13"/>
      <c r="LJU3" s="13"/>
      <c r="LJV3" s="13"/>
      <c r="LJW3" s="13"/>
      <c r="LJX3" s="13"/>
      <c r="LJY3" s="13"/>
      <c r="LJZ3" s="13"/>
      <c r="LKA3" s="13"/>
      <c r="LKB3" s="13"/>
      <c r="LKC3" s="13"/>
      <c r="LKD3" s="13"/>
      <c r="LKE3" s="13"/>
      <c r="LKF3" s="13"/>
      <c r="LKG3" s="13"/>
      <c r="LKH3" s="13"/>
      <c r="LKI3" s="13"/>
      <c r="LKJ3" s="13"/>
      <c r="LKK3" s="13"/>
      <c r="LKL3" s="13"/>
      <c r="LKM3" s="13"/>
      <c r="LKN3" s="13"/>
      <c r="LKO3" s="13"/>
      <c r="LKP3" s="13"/>
      <c r="LKQ3" s="13"/>
      <c r="LKR3" s="13"/>
      <c r="LKS3" s="13"/>
      <c r="LKT3" s="13"/>
      <c r="LKU3" s="13"/>
      <c r="LKV3" s="13"/>
      <c r="LKW3" s="13"/>
      <c r="LKX3" s="13"/>
      <c r="LKY3" s="13"/>
      <c r="LKZ3" s="13"/>
      <c r="LLA3" s="13"/>
      <c r="LLB3" s="13"/>
      <c r="LLC3" s="13"/>
      <c r="LLD3" s="13"/>
      <c r="LLE3" s="13"/>
      <c r="LLF3" s="13"/>
      <c r="LLG3" s="13"/>
      <c r="LLH3" s="13"/>
      <c r="LLI3" s="13"/>
      <c r="LLJ3" s="13"/>
      <c r="LLK3" s="13"/>
      <c r="LLL3" s="13"/>
      <c r="LLM3" s="13"/>
      <c r="LLN3" s="13"/>
      <c r="LLO3" s="13"/>
      <c r="LLP3" s="13"/>
      <c r="LLQ3" s="13"/>
      <c r="LLR3" s="13"/>
      <c r="LLS3" s="13"/>
      <c r="LLT3" s="13"/>
      <c r="LLU3" s="13"/>
      <c r="LLV3" s="13"/>
      <c r="LLW3" s="13"/>
      <c r="LLX3" s="13"/>
      <c r="LLY3" s="13"/>
      <c r="LLZ3" s="13"/>
      <c r="LMA3" s="13"/>
      <c r="LMB3" s="13"/>
      <c r="LMC3" s="13"/>
      <c r="LMD3" s="13"/>
      <c r="LME3" s="13"/>
      <c r="LMF3" s="13"/>
      <c r="LMG3" s="13"/>
      <c r="LMH3" s="13"/>
      <c r="LMI3" s="13"/>
      <c r="LMJ3" s="13"/>
      <c r="LMK3" s="13"/>
      <c r="LML3" s="13"/>
      <c r="LMM3" s="13"/>
      <c r="LMN3" s="13"/>
      <c r="LMO3" s="13"/>
      <c r="LMP3" s="13"/>
      <c r="LMQ3" s="13"/>
      <c r="LMR3" s="13"/>
      <c r="LMS3" s="13"/>
      <c r="LMT3" s="13"/>
      <c r="LMU3" s="13"/>
      <c r="LMV3" s="13"/>
      <c r="LMW3" s="13"/>
      <c r="LMX3" s="13"/>
      <c r="LMY3" s="13"/>
      <c r="LMZ3" s="13"/>
      <c r="LNA3" s="13"/>
      <c r="LNB3" s="13"/>
      <c r="LNC3" s="13"/>
      <c r="LND3" s="13"/>
      <c r="LNE3" s="13"/>
      <c r="LNF3" s="13"/>
      <c r="LNG3" s="13"/>
      <c r="LNH3" s="13"/>
      <c r="LNI3" s="13"/>
      <c r="LNJ3" s="13"/>
      <c r="LNK3" s="13"/>
      <c r="LNL3" s="13"/>
      <c r="LNM3" s="13"/>
      <c r="LNN3" s="13"/>
      <c r="LNO3" s="13"/>
      <c r="LNP3" s="13"/>
      <c r="LNQ3" s="13"/>
      <c r="LNR3" s="13"/>
      <c r="LNS3" s="13"/>
      <c r="LNT3" s="13"/>
      <c r="LNU3" s="13"/>
      <c r="LNV3" s="13"/>
      <c r="LNW3" s="13"/>
      <c r="LNX3" s="13"/>
      <c r="LNY3" s="13"/>
      <c r="LNZ3" s="13"/>
      <c r="LOA3" s="13"/>
      <c r="LOB3" s="13"/>
      <c r="LOC3" s="13"/>
      <c r="LOD3" s="13"/>
      <c r="LOE3" s="13"/>
      <c r="LOF3" s="13"/>
      <c r="LOG3" s="13"/>
      <c r="LOH3" s="13"/>
      <c r="LOI3" s="13"/>
      <c r="LOJ3" s="13"/>
      <c r="LOK3" s="13"/>
      <c r="LOL3" s="13"/>
      <c r="LOM3" s="13"/>
      <c r="LON3" s="13"/>
      <c r="LOO3" s="13"/>
      <c r="LOP3" s="13"/>
      <c r="LOQ3" s="13"/>
      <c r="LOR3" s="13"/>
      <c r="LOS3" s="13"/>
      <c r="LOT3" s="13"/>
      <c r="LOU3" s="13"/>
      <c r="LOV3" s="13"/>
      <c r="LOW3" s="13"/>
      <c r="LOX3" s="13"/>
      <c r="LOY3" s="13"/>
      <c r="LOZ3" s="13"/>
      <c r="LPA3" s="13"/>
      <c r="LPB3" s="13"/>
      <c r="LPC3" s="13"/>
      <c r="LPD3" s="13"/>
      <c r="LPE3" s="13"/>
      <c r="LPF3" s="13"/>
      <c r="LPG3" s="13"/>
      <c r="LPH3" s="13"/>
      <c r="LPI3" s="13"/>
      <c r="LPJ3" s="13"/>
      <c r="LPK3" s="13"/>
      <c r="LPL3" s="13"/>
      <c r="LPM3" s="13"/>
      <c r="LPN3" s="13"/>
      <c r="LPO3" s="13"/>
      <c r="LPP3" s="13"/>
      <c r="LPQ3" s="13"/>
      <c r="LPR3" s="13"/>
      <c r="LPS3" s="13"/>
      <c r="LPT3" s="13"/>
      <c r="LPU3" s="13"/>
      <c r="LPV3" s="13"/>
      <c r="LPW3" s="13"/>
      <c r="LPX3" s="13"/>
      <c r="LPY3" s="13"/>
      <c r="LPZ3" s="13"/>
      <c r="LQA3" s="13"/>
      <c r="LQB3" s="13"/>
      <c r="LQC3" s="13"/>
      <c r="LQD3" s="13"/>
      <c r="LQE3" s="13"/>
      <c r="LQF3" s="13"/>
      <c r="LQG3" s="13"/>
      <c r="LQH3" s="13"/>
      <c r="LQI3" s="13"/>
      <c r="LQJ3" s="13"/>
      <c r="LQK3" s="13"/>
      <c r="LQL3" s="13"/>
      <c r="LQM3" s="13"/>
      <c r="LQN3" s="13"/>
      <c r="LQO3" s="13"/>
      <c r="LQP3" s="13"/>
      <c r="LQQ3" s="13"/>
      <c r="LQR3" s="13"/>
      <c r="LQS3" s="13"/>
      <c r="LQT3" s="13"/>
      <c r="LQU3" s="13"/>
      <c r="LQV3" s="13"/>
      <c r="LQW3" s="13"/>
      <c r="LQX3" s="13"/>
      <c r="LQY3" s="13"/>
      <c r="LQZ3" s="13"/>
      <c r="LRA3" s="13"/>
      <c r="LRB3" s="13"/>
      <c r="LRC3" s="13"/>
      <c r="LRD3" s="13"/>
      <c r="LRE3" s="13"/>
      <c r="LRF3" s="13"/>
      <c r="LRG3" s="13"/>
      <c r="LRH3" s="13"/>
      <c r="LRI3" s="13"/>
      <c r="LRJ3" s="13"/>
      <c r="LRK3" s="13"/>
      <c r="LRL3" s="13"/>
      <c r="LRM3" s="13"/>
      <c r="LRN3" s="13"/>
      <c r="LRO3" s="13"/>
      <c r="LRP3" s="13"/>
      <c r="LRQ3" s="13"/>
      <c r="LRR3" s="13"/>
      <c r="LRS3" s="13"/>
      <c r="LRT3" s="13"/>
      <c r="LRU3" s="13"/>
      <c r="LRV3" s="13"/>
      <c r="LRW3" s="13"/>
      <c r="LRX3" s="13"/>
      <c r="LRY3" s="13"/>
      <c r="LRZ3" s="13"/>
      <c r="LSA3" s="13"/>
      <c r="LSB3" s="13"/>
      <c r="LSC3" s="13"/>
      <c r="LSD3" s="13"/>
      <c r="LSE3" s="13"/>
      <c r="LSF3" s="13"/>
      <c r="LSG3" s="13"/>
      <c r="LSH3" s="13"/>
      <c r="LSI3" s="13"/>
      <c r="LSJ3" s="13"/>
      <c r="LSK3" s="13"/>
      <c r="LSL3" s="13"/>
      <c r="LSM3" s="13"/>
      <c r="LSN3" s="13"/>
      <c r="LSO3" s="13"/>
      <c r="LSP3" s="13"/>
      <c r="LSQ3" s="13"/>
      <c r="LSR3" s="13"/>
      <c r="LSS3" s="13"/>
      <c r="LST3" s="13"/>
      <c r="LSU3" s="13"/>
      <c r="LSV3" s="13"/>
      <c r="LSW3" s="13"/>
      <c r="LSX3" s="13"/>
      <c r="LSY3" s="13"/>
      <c r="LSZ3" s="13"/>
      <c r="LTA3" s="13"/>
      <c r="LTB3" s="13"/>
      <c r="LTC3" s="13"/>
      <c r="LTD3" s="13"/>
      <c r="LTE3" s="13"/>
      <c r="LTF3" s="13"/>
      <c r="LTG3" s="13"/>
      <c r="LTH3" s="13"/>
      <c r="LTI3" s="13"/>
      <c r="LTJ3" s="13"/>
      <c r="LTK3" s="13"/>
      <c r="LTL3" s="13"/>
      <c r="LTM3" s="13"/>
      <c r="LTN3" s="13"/>
      <c r="LTO3" s="13"/>
      <c r="LTP3" s="13"/>
      <c r="LTQ3" s="13"/>
      <c r="LTR3" s="13"/>
      <c r="LTS3" s="13"/>
      <c r="LTT3" s="13"/>
      <c r="LTU3" s="13"/>
      <c r="LTV3" s="13"/>
      <c r="LTW3" s="13"/>
      <c r="LTX3" s="13"/>
      <c r="LTY3" s="13"/>
      <c r="LTZ3" s="13"/>
      <c r="LUA3" s="13"/>
      <c r="LUB3" s="13"/>
      <c r="LUC3" s="13"/>
      <c r="LUD3" s="13"/>
      <c r="LUE3" s="13"/>
      <c r="LUF3" s="13"/>
      <c r="LUG3" s="13"/>
      <c r="LUH3" s="13"/>
      <c r="LUI3" s="13"/>
      <c r="LUJ3" s="13"/>
      <c r="LUK3" s="13"/>
      <c r="LUL3" s="13"/>
      <c r="LUM3" s="13"/>
      <c r="LUN3" s="13"/>
      <c r="LUO3" s="13"/>
      <c r="LUP3" s="13"/>
      <c r="LUQ3" s="13"/>
      <c r="LUR3" s="13"/>
      <c r="LUS3" s="13"/>
      <c r="LUT3" s="13"/>
      <c r="LUU3" s="13"/>
      <c r="LUV3" s="13"/>
      <c r="LUW3" s="13"/>
      <c r="LUX3" s="13"/>
      <c r="LUY3" s="13"/>
      <c r="LUZ3" s="13"/>
      <c r="LVA3" s="13"/>
      <c r="LVB3" s="13"/>
      <c r="LVC3" s="13"/>
      <c r="LVD3" s="13"/>
      <c r="LVE3" s="13"/>
      <c r="LVF3" s="13"/>
      <c r="LVG3" s="13"/>
      <c r="LVH3" s="13"/>
      <c r="LVI3" s="13"/>
      <c r="LVJ3" s="13"/>
      <c r="LVK3" s="13"/>
      <c r="LVL3" s="13"/>
      <c r="LVM3" s="13"/>
      <c r="LVN3" s="13"/>
      <c r="LVO3" s="13"/>
      <c r="LVP3" s="13"/>
      <c r="LVQ3" s="13"/>
      <c r="LVR3" s="13"/>
      <c r="LVS3" s="13"/>
      <c r="LVT3" s="13"/>
      <c r="LVU3" s="13"/>
      <c r="LVV3" s="13"/>
      <c r="LVW3" s="13"/>
      <c r="LVX3" s="13"/>
      <c r="LVY3" s="13"/>
      <c r="LVZ3" s="13"/>
      <c r="LWA3" s="13"/>
      <c r="LWB3" s="13"/>
      <c r="LWC3" s="13"/>
      <c r="LWD3" s="13"/>
      <c r="LWE3" s="13"/>
      <c r="LWF3" s="13"/>
      <c r="LWG3" s="13"/>
      <c r="LWH3" s="13"/>
      <c r="LWI3" s="13"/>
      <c r="LWJ3" s="13"/>
      <c r="LWK3" s="13"/>
      <c r="LWL3" s="13"/>
      <c r="LWM3" s="13"/>
      <c r="LWN3" s="13"/>
      <c r="LWO3" s="13"/>
      <c r="LWP3" s="13"/>
      <c r="LWQ3" s="13"/>
      <c r="LWR3" s="13"/>
      <c r="LWS3" s="13"/>
      <c r="LWT3" s="13"/>
      <c r="LWU3" s="13"/>
      <c r="LWV3" s="13"/>
      <c r="LWW3" s="13"/>
      <c r="LWX3" s="13"/>
      <c r="LWY3" s="13"/>
      <c r="LWZ3" s="13"/>
      <c r="LXA3" s="13"/>
      <c r="LXB3" s="13"/>
      <c r="LXC3" s="13"/>
      <c r="LXD3" s="13"/>
      <c r="LXE3" s="13"/>
      <c r="LXF3" s="13"/>
      <c r="LXG3" s="13"/>
      <c r="LXH3" s="13"/>
      <c r="LXI3" s="13"/>
      <c r="LXJ3" s="13"/>
      <c r="LXK3" s="13"/>
      <c r="LXL3" s="13"/>
      <c r="LXM3" s="13"/>
      <c r="LXN3" s="13"/>
      <c r="LXO3" s="13"/>
      <c r="LXP3" s="13"/>
      <c r="LXQ3" s="13"/>
      <c r="LXR3" s="13"/>
      <c r="LXS3" s="13"/>
      <c r="LXT3" s="13"/>
      <c r="LXU3" s="13"/>
      <c r="LXV3" s="13"/>
      <c r="LXW3" s="13"/>
      <c r="LXX3" s="13"/>
      <c r="LXY3" s="13"/>
      <c r="LXZ3" s="13"/>
      <c r="LYA3" s="13"/>
      <c r="LYB3" s="13"/>
      <c r="LYC3" s="13"/>
      <c r="LYD3" s="13"/>
      <c r="LYE3" s="13"/>
      <c r="LYF3" s="13"/>
      <c r="LYG3" s="13"/>
      <c r="LYH3" s="13"/>
      <c r="LYI3" s="13"/>
      <c r="LYJ3" s="13"/>
      <c r="LYK3" s="13"/>
      <c r="LYL3" s="13"/>
      <c r="LYM3" s="13"/>
      <c r="LYN3" s="13"/>
      <c r="LYO3" s="13"/>
      <c r="LYP3" s="13"/>
      <c r="LYQ3" s="13"/>
      <c r="LYR3" s="13"/>
      <c r="LYS3" s="13"/>
      <c r="LYT3" s="13"/>
      <c r="LYU3" s="13"/>
      <c r="LYV3" s="13"/>
      <c r="LYW3" s="13"/>
      <c r="LYX3" s="13"/>
      <c r="LYY3" s="13"/>
      <c r="LYZ3" s="13"/>
      <c r="LZA3" s="13"/>
      <c r="LZB3" s="13"/>
      <c r="LZC3" s="13"/>
      <c r="LZD3" s="13"/>
      <c r="LZE3" s="13"/>
      <c r="LZF3" s="13"/>
      <c r="LZG3" s="13"/>
      <c r="LZH3" s="13"/>
      <c r="LZI3" s="13"/>
      <c r="LZJ3" s="13"/>
      <c r="LZK3" s="13"/>
      <c r="LZL3" s="13"/>
      <c r="LZM3" s="13"/>
      <c r="LZN3" s="13"/>
      <c r="LZO3" s="13"/>
      <c r="LZP3" s="13"/>
      <c r="LZQ3" s="13"/>
      <c r="LZR3" s="13"/>
      <c r="LZS3" s="13"/>
      <c r="LZT3" s="13"/>
      <c r="LZU3" s="13"/>
      <c r="LZV3" s="13"/>
      <c r="LZW3" s="13"/>
      <c r="LZX3" s="13"/>
      <c r="LZY3" s="13"/>
      <c r="LZZ3" s="13"/>
      <c r="MAA3" s="13"/>
      <c r="MAB3" s="13"/>
      <c r="MAC3" s="13"/>
      <c r="MAD3" s="13"/>
      <c r="MAE3" s="13"/>
      <c r="MAF3" s="13"/>
      <c r="MAG3" s="13"/>
      <c r="MAH3" s="13"/>
      <c r="MAI3" s="13"/>
      <c r="MAJ3" s="13"/>
      <c r="MAK3" s="13"/>
      <c r="MAL3" s="13"/>
      <c r="MAM3" s="13"/>
      <c r="MAN3" s="13"/>
      <c r="MAO3" s="13"/>
      <c r="MAP3" s="13"/>
      <c r="MAQ3" s="13"/>
      <c r="MAR3" s="13"/>
      <c r="MAS3" s="13"/>
      <c r="MAT3" s="13"/>
      <c r="MAU3" s="13"/>
      <c r="MAV3" s="13"/>
      <c r="MAW3" s="13"/>
      <c r="MAX3" s="13"/>
      <c r="MAY3" s="13"/>
      <c r="MAZ3" s="13"/>
      <c r="MBA3" s="13"/>
      <c r="MBB3" s="13"/>
      <c r="MBC3" s="13"/>
      <c r="MBD3" s="13"/>
      <c r="MBE3" s="13"/>
      <c r="MBF3" s="13"/>
      <c r="MBG3" s="13"/>
      <c r="MBH3" s="13"/>
      <c r="MBI3" s="13"/>
      <c r="MBJ3" s="13"/>
      <c r="MBK3" s="13"/>
      <c r="MBL3" s="13"/>
      <c r="MBM3" s="13"/>
      <c r="MBN3" s="13"/>
      <c r="MBO3" s="13"/>
      <c r="MBP3" s="13"/>
      <c r="MBQ3" s="13"/>
      <c r="MBR3" s="13"/>
      <c r="MBS3" s="13"/>
      <c r="MBT3" s="13"/>
      <c r="MBU3" s="13"/>
      <c r="MBV3" s="13"/>
      <c r="MBW3" s="13"/>
      <c r="MBX3" s="13"/>
      <c r="MBY3" s="13"/>
      <c r="MBZ3" s="13"/>
      <c r="MCA3" s="13"/>
      <c r="MCB3" s="13"/>
      <c r="MCC3" s="13"/>
      <c r="MCD3" s="13"/>
      <c r="MCE3" s="13"/>
      <c r="MCF3" s="13"/>
      <c r="MCG3" s="13"/>
      <c r="MCH3" s="13"/>
      <c r="MCI3" s="13"/>
      <c r="MCJ3" s="13"/>
      <c r="MCK3" s="13"/>
      <c r="MCL3" s="13"/>
      <c r="MCM3" s="13"/>
      <c r="MCN3" s="13"/>
      <c r="MCO3" s="13"/>
      <c r="MCP3" s="13"/>
      <c r="MCQ3" s="13"/>
      <c r="MCR3" s="13"/>
      <c r="MCS3" s="13"/>
      <c r="MCT3" s="13"/>
      <c r="MCU3" s="13"/>
      <c r="MCV3" s="13"/>
      <c r="MCW3" s="13"/>
      <c r="MCX3" s="13"/>
      <c r="MCY3" s="13"/>
      <c r="MCZ3" s="13"/>
      <c r="MDA3" s="13"/>
      <c r="MDB3" s="13"/>
      <c r="MDC3" s="13"/>
      <c r="MDD3" s="13"/>
      <c r="MDE3" s="13"/>
      <c r="MDF3" s="13"/>
      <c r="MDG3" s="13"/>
      <c r="MDH3" s="13"/>
      <c r="MDI3" s="13"/>
      <c r="MDJ3" s="13"/>
      <c r="MDK3" s="13"/>
      <c r="MDL3" s="13"/>
      <c r="MDM3" s="13"/>
      <c r="MDN3" s="13"/>
      <c r="MDO3" s="13"/>
      <c r="MDP3" s="13"/>
      <c r="MDQ3" s="13"/>
      <c r="MDR3" s="13"/>
      <c r="MDS3" s="13"/>
      <c r="MDT3" s="13"/>
      <c r="MDU3" s="13"/>
      <c r="MDV3" s="13"/>
      <c r="MDW3" s="13"/>
      <c r="MDX3" s="13"/>
      <c r="MDY3" s="13"/>
      <c r="MDZ3" s="13"/>
      <c r="MEA3" s="13"/>
      <c r="MEB3" s="13"/>
      <c r="MEC3" s="13"/>
      <c r="MED3" s="13"/>
      <c r="MEE3" s="13"/>
      <c r="MEF3" s="13"/>
      <c r="MEG3" s="13"/>
      <c r="MEH3" s="13"/>
      <c r="MEI3" s="13"/>
      <c r="MEJ3" s="13"/>
      <c r="MEK3" s="13"/>
      <c r="MEL3" s="13"/>
      <c r="MEM3" s="13"/>
      <c r="MEN3" s="13"/>
      <c r="MEO3" s="13"/>
      <c r="MEP3" s="13"/>
      <c r="MEQ3" s="13"/>
      <c r="MER3" s="13"/>
      <c r="MES3" s="13"/>
      <c r="MET3" s="13"/>
      <c r="MEU3" s="13"/>
      <c r="MEV3" s="13"/>
      <c r="MEW3" s="13"/>
      <c r="MEX3" s="13"/>
      <c r="MEY3" s="13"/>
      <c r="MEZ3" s="13"/>
      <c r="MFA3" s="13"/>
      <c r="MFB3" s="13"/>
      <c r="MFC3" s="13"/>
      <c r="MFD3" s="13"/>
      <c r="MFE3" s="13"/>
      <c r="MFF3" s="13"/>
      <c r="MFG3" s="13"/>
      <c r="MFH3" s="13"/>
      <c r="MFI3" s="13"/>
      <c r="MFJ3" s="13"/>
      <c r="MFK3" s="13"/>
      <c r="MFL3" s="13"/>
      <c r="MFM3" s="13"/>
      <c r="MFN3" s="13"/>
      <c r="MFO3" s="13"/>
      <c r="MFP3" s="13"/>
      <c r="MFQ3" s="13"/>
      <c r="MFR3" s="13"/>
      <c r="MFS3" s="13"/>
      <c r="MFT3" s="13"/>
      <c r="MFU3" s="13"/>
      <c r="MFV3" s="13"/>
      <c r="MFW3" s="13"/>
      <c r="MFX3" s="13"/>
      <c r="MFY3" s="13"/>
      <c r="MFZ3" s="13"/>
      <c r="MGA3" s="13"/>
      <c r="MGB3" s="13"/>
      <c r="MGC3" s="13"/>
      <c r="MGD3" s="13"/>
      <c r="MGE3" s="13"/>
      <c r="MGF3" s="13"/>
      <c r="MGG3" s="13"/>
      <c r="MGH3" s="13"/>
      <c r="MGI3" s="13"/>
      <c r="MGJ3" s="13"/>
      <c r="MGK3" s="13"/>
      <c r="MGL3" s="13"/>
      <c r="MGM3" s="13"/>
      <c r="MGN3" s="13"/>
      <c r="MGO3" s="13"/>
      <c r="MGP3" s="13"/>
      <c r="MGQ3" s="13"/>
      <c r="MGR3" s="13"/>
      <c r="MGS3" s="13"/>
      <c r="MGT3" s="13"/>
      <c r="MGU3" s="13"/>
      <c r="MGV3" s="13"/>
      <c r="MGW3" s="13"/>
      <c r="MGX3" s="13"/>
      <c r="MGY3" s="13"/>
      <c r="MGZ3" s="13"/>
      <c r="MHA3" s="13"/>
      <c r="MHB3" s="13"/>
      <c r="MHC3" s="13"/>
      <c r="MHD3" s="13"/>
      <c r="MHE3" s="13"/>
      <c r="MHF3" s="13"/>
      <c r="MHG3" s="13"/>
      <c r="MHH3" s="13"/>
      <c r="MHI3" s="13"/>
      <c r="MHJ3" s="13"/>
      <c r="MHK3" s="13"/>
      <c r="MHL3" s="13"/>
      <c r="MHM3" s="13"/>
      <c r="MHN3" s="13"/>
      <c r="MHO3" s="13"/>
      <c r="MHP3" s="13"/>
      <c r="MHQ3" s="13"/>
      <c r="MHR3" s="13"/>
      <c r="MHS3" s="13"/>
      <c r="MHT3" s="13"/>
      <c r="MHU3" s="13"/>
      <c r="MHV3" s="13"/>
      <c r="MHW3" s="13"/>
      <c r="MHX3" s="13"/>
      <c r="MHY3" s="13"/>
      <c r="MHZ3" s="13"/>
      <c r="MIA3" s="13"/>
      <c r="MIB3" s="13"/>
      <c r="MIC3" s="13"/>
      <c r="MID3" s="13"/>
      <c r="MIE3" s="13"/>
      <c r="MIF3" s="13"/>
      <c r="MIG3" s="13"/>
      <c r="MIH3" s="13"/>
      <c r="MII3" s="13"/>
      <c r="MIJ3" s="13"/>
      <c r="MIK3" s="13"/>
      <c r="MIL3" s="13"/>
      <c r="MIM3" s="13"/>
      <c r="MIN3" s="13"/>
      <c r="MIO3" s="13"/>
      <c r="MIP3" s="13"/>
      <c r="MIQ3" s="13"/>
      <c r="MIR3" s="13"/>
      <c r="MIS3" s="13"/>
      <c r="MIT3" s="13"/>
      <c r="MIU3" s="13"/>
      <c r="MIV3" s="13"/>
      <c r="MIW3" s="13"/>
      <c r="MIX3" s="13"/>
      <c r="MIY3" s="13"/>
      <c r="MIZ3" s="13"/>
      <c r="MJA3" s="13"/>
      <c r="MJB3" s="13"/>
      <c r="MJC3" s="13"/>
      <c r="MJD3" s="13"/>
      <c r="MJE3" s="13"/>
      <c r="MJF3" s="13"/>
      <c r="MJG3" s="13"/>
      <c r="MJH3" s="13"/>
      <c r="MJI3" s="13"/>
      <c r="MJJ3" s="13"/>
      <c r="MJK3" s="13"/>
      <c r="MJL3" s="13"/>
      <c r="MJM3" s="13"/>
      <c r="MJN3" s="13"/>
      <c r="MJO3" s="13"/>
      <c r="MJP3" s="13"/>
      <c r="MJQ3" s="13"/>
      <c r="MJR3" s="13"/>
      <c r="MJS3" s="13"/>
      <c r="MJT3" s="13"/>
      <c r="MJU3" s="13"/>
      <c r="MJV3" s="13"/>
      <c r="MJW3" s="13"/>
      <c r="MJX3" s="13"/>
      <c r="MJY3" s="13"/>
      <c r="MJZ3" s="13"/>
      <c r="MKA3" s="13"/>
      <c r="MKB3" s="13"/>
      <c r="MKC3" s="13"/>
      <c r="MKD3" s="13"/>
      <c r="MKE3" s="13"/>
      <c r="MKF3" s="13"/>
      <c r="MKG3" s="13"/>
      <c r="MKH3" s="13"/>
      <c r="MKI3" s="13"/>
      <c r="MKJ3" s="13"/>
      <c r="MKK3" s="13"/>
      <c r="MKL3" s="13"/>
      <c r="MKM3" s="13"/>
      <c r="MKN3" s="13"/>
      <c r="MKO3" s="13"/>
      <c r="MKP3" s="13"/>
      <c r="MKQ3" s="13"/>
      <c r="MKR3" s="13"/>
      <c r="MKS3" s="13"/>
      <c r="MKT3" s="13"/>
      <c r="MKU3" s="13"/>
      <c r="MKV3" s="13"/>
      <c r="MKW3" s="13"/>
      <c r="MKX3" s="13"/>
      <c r="MKY3" s="13"/>
      <c r="MKZ3" s="13"/>
      <c r="MLA3" s="13"/>
      <c r="MLB3" s="13"/>
      <c r="MLC3" s="13"/>
      <c r="MLD3" s="13"/>
      <c r="MLE3" s="13"/>
      <c r="MLF3" s="13"/>
      <c r="MLG3" s="13"/>
      <c r="MLH3" s="13"/>
      <c r="MLI3" s="13"/>
      <c r="MLJ3" s="13"/>
      <c r="MLK3" s="13"/>
      <c r="MLL3" s="13"/>
      <c r="MLM3" s="13"/>
      <c r="MLN3" s="13"/>
      <c r="MLO3" s="13"/>
      <c r="MLP3" s="13"/>
      <c r="MLQ3" s="13"/>
      <c r="MLR3" s="13"/>
      <c r="MLS3" s="13"/>
      <c r="MLT3" s="13"/>
      <c r="MLU3" s="13"/>
      <c r="MLV3" s="13"/>
      <c r="MLW3" s="13"/>
      <c r="MLX3" s="13"/>
      <c r="MLY3" s="13"/>
      <c r="MLZ3" s="13"/>
      <c r="MMA3" s="13"/>
      <c r="MMB3" s="13"/>
      <c r="MMC3" s="13"/>
      <c r="MMD3" s="13"/>
      <c r="MME3" s="13"/>
      <c r="MMF3" s="13"/>
      <c r="MMG3" s="13"/>
      <c r="MMH3" s="13"/>
      <c r="MMI3" s="13"/>
      <c r="MMJ3" s="13"/>
      <c r="MMK3" s="13"/>
      <c r="MML3" s="13"/>
      <c r="MMM3" s="13"/>
      <c r="MMN3" s="13"/>
      <c r="MMO3" s="13"/>
      <c r="MMP3" s="13"/>
      <c r="MMQ3" s="13"/>
      <c r="MMR3" s="13"/>
      <c r="MMS3" s="13"/>
      <c r="MMT3" s="13"/>
      <c r="MMU3" s="13"/>
      <c r="MMV3" s="13"/>
      <c r="MMW3" s="13"/>
      <c r="MMX3" s="13"/>
      <c r="MMY3" s="13"/>
      <c r="MMZ3" s="13"/>
      <c r="MNA3" s="13"/>
      <c r="MNB3" s="13"/>
      <c r="MNC3" s="13"/>
      <c r="MND3" s="13"/>
      <c r="MNE3" s="13"/>
      <c r="MNF3" s="13"/>
      <c r="MNG3" s="13"/>
      <c r="MNH3" s="13"/>
      <c r="MNI3" s="13"/>
      <c r="MNJ3" s="13"/>
      <c r="MNK3" s="13"/>
      <c r="MNL3" s="13"/>
      <c r="MNM3" s="13"/>
      <c r="MNN3" s="13"/>
      <c r="MNO3" s="13"/>
      <c r="MNP3" s="13"/>
      <c r="MNQ3" s="13"/>
      <c r="MNR3" s="13"/>
      <c r="MNS3" s="13"/>
      <c r="MNT3" s="13"/>
      <c r="MNU3" s="13"/>
      <c r="MNV3" s="13"/>
      <c r="MNW3" s="13"/>
      <c r="MNX3" s="13"/>
      <c r="MNY3" s="13"/>
      <c r="MNZ3" s="13"/>
      <c r="MOA3" s="13"/>
      <c r="MOB3" s="13"/>
      <c r="MOC3" s="13"/>
      <c r="MOD3" s="13"/>
      <c r="MOE3" s="13"/>
      <c r="MOF3" s="13"/>
      <c r="MOG3" s="13"/>
      <c r="MOH3" s="13"/>
      <c r="MOI3" s="13"/>
      <c r="MOJ3" s="13"/>
      <c r="MOK3" s="13"/>
      <c r="MOL3" s="13"/>
      <c r="MOM3" s="13"/>
      <c r="MON3" s="13"/>
      <c r="MOO3" s="13"/>
      <c r="MOP3" s="13"/>
      <c r="MOQ3" s="13"/>
      <c r="MOR3" s="13"/>
      <c r="MOS3" s="13"/>
      <c r="MOT3" s="13"/>
      <c r="MOU3" s="13"/>
      <c r="MOV3" s="13"/>
      <c r="MOW3" s="13"/>
      <c r="MOX3" s="13"/>
      <c r="MOY3" s="13"/>
      <c r="MOZ3" s="13"/>
      <c r="MPA3" s="13"/>
      <c r="MPB3" s="13"/>
      <c r="MPC3" s="13"/>
      <c r="MPD3" s="13"/>
      <c r="MPE3" s="13"/>
      <c r="MPF3" s="13"/>
      <c r="MPG3" s="13"/>
      <c r="MPH3" s="13"/>
      <c r="MPI3" s="13"/>
      <c r="MPJ3" s="13"/>
      <c r="MPK3" s="13"/>
      <c r="MPL3" s="13"/>
      <c r="MPM3" s="13"/>
      <c r="MPN3" s="13"/>
      <c r="MPO3" s="13"/>
      <c r="MPP3" s="13"/>
      <c r="MPQ3" s="13"/>
      <c r="MPR3" s="13"/>
      <c r="MPS3" s="13"/>
      <c r="MPT3" s="13"/>
      <c r="MPU3" s="13"/>
      <c r="MPV3" s="13"/>
      <c r="MPW3" s="13"/>
      <c r="MPX3" s="13"/>
      <c r="MPY3" s="13"/>
      <c r="MPZ3" s="13"/>
      <c r="MQA3" s="13"/>
      <c r="MQB3" s="13"/>
      <c r="MQC3" s="13"/>
      <c r="MQD3" s="13"/>
      <c r="MQE3" s="13"/>
      <c r="MQF3" s="13"/>
      <c r="MQG3" s="13"/>
      <c r="MQH3" s="13"/>
      <c r="MQI3" s="13"/>
      <c r="MQJ3" s="13"/>
      <c r="MQK3" s="13"/>
      <c r="MQL3" s="13"/>
      <c r="MQM3" s="13"/>
      <c r="MQN3" s="13"/>
      <c r="MQO3" s="13"/>
      <c r="MQP3" s="13"/>
      <c r="MQQ3" s="13"/>
      <c r="MQR3" s="13"/>
      <c r="MQS3" s="13"/>
      <c r="MQT3" s="13"/>
      <c r="MQU3" s="13"/>
      <c r="MQV3" s="13"/>
      <c r="MQW3" s="13"/>
      <c r="MQX3" s="13"/>
      <c r="MQY3" s="13"/>
      <c r="MQZ3" s="13"/>
      <c r="MRA3" s="13"/>
      <c r="MRB3" s="13"/>
      <c r="MRC3" s="13"/>
      <c r="MRD3" s="13"/>
      <c r="MRE3" s="13"/>
      <c r="MRF3" s="13"/>
      <c r="MRG3" s="13"/>
      <c r="MRH3" s="13"/>
      <c r="MRI3" s="13"/>
      <c r="MRJ3" s="13"/>
      <c r="MRK3" s="13"/>
      <c r="MRL3" s="13"/>
      <c r="MRM3" s="13"/>
      <c r="MRN3" s="13"/>
      <c r="MRO3" s="13"/>
      <c r="MRP3" s="13"/>
      <c r="MRQ3" s="13"/>
      <c r="MRR3" s="13"/>
      <c r="MRS3" s="13"/>
      <c r="MRT3" s="13"/>
      <c r="MRU3" s="13"/>
      <c r="MRV3" s="13"/>
      <c r="MRW3" s="13"/>
      <c r="MRX3" s="13"/>
      <c r="MRY3" s="13"/>
      <c r="MRZ3" s="13"/>
      <c r="MSA3" s="13"/>
      <c r="MSB3" s="13"/>
      <c r="MSC3" s="13"/>
      <c r="MSD3" s="13"/>
      <c r="MSE3" s="13"/>
      <c r="MSF3" s="13"/>
      <c r="MSG3" s="13"/>
      <c r="MSH3" s="13"/>
      <c r="MSI3" s="13"/>
      <c r="MSJ3" s="13"/>
      <c r="MSK3" s="13"/>
      <c r="MSL3" s="13"/>
      <c r="MSM3" s="13"/>
      <c r="MSN3" s="13"/>
      <c r="MSO3" s="13"/>
      <c r="MSP3" s="13"/>
      <c r="MSQ3" s="13"/>
      <c r="MSR3" s="13"/>
      <c r="MSS3" s="13"/>
      <c r="MST3" s="13"/>
      <c r="MSU3" s="13"/>
      <c r="MSV3" s="13"/>
      <c r="MSW3" s="13"/>
      <c r="MSX3" s="13"/>
      <c r="MSY3" s="13"/>
      <c r="MSZ3" s="13"/>
      <c r="MTA3" s="13"/>
      <c r="MTB3" s="13"/>
      <c r="MTC3" s="13"/>
      <c r="MTD3" s="13"/>
      <c r="MTE3" s="13"/>
      <c r="MTF3" s="13"/>
      <c r="MTG3" s="13"/>
      <c r="MTH3" s="13"/>
      <c r="MTI3" s="13"/>
      <c r="MTJ3" s="13"/>
      <c r="MTK3" s="13"/>
      <c r="MTL3" s="13"/>
      <c r="MTM3" s="13"/>
      <c r="MTN3" s="13"/>
      <c r="MTO3" s="13"/>
      <c r="MTP3" s="13"/>
      <c r="MTQ3" s="13"/>
      <c r="MTR3" s="13"/>
      <c r="MTS3" s="13"/>
      <c r="MTT3" s="13"/>
      <c r="MTU3" s="13"/>
      <c r="MTV3" s="13"/>
      <c r="MTW3" s="13"/>
      <c r="MTX3" s="13"/>
      <c r="MTY3" s="13"/>
      <c r="MTZ3" s="13"/>
      <c r="MUA3" s="13"/>
      <c r="MUB3" s="13"/>
      <c r="MUC3" s="13"/>
      <c r="MUD3" s="13"/>
      <c r="MUE3" s="13"/>
      <c r="MUF3" s="13"/>
      <c r="MUG3" s="13"/>
      <c r="MUH3" s="13"/>
      <c r="MUI3" s="13"/>
      <c r="MUJ3" s="13"/>
      <c r="MUK3" s="13"/>
      <c r="MUL3" s="13"/>
      <c r="MUM3" s="13"/>
      <c r="MUN3" s="13"/>
      <c r="MUO3" s="13"/>
      <c r="MUP3" s="13"/>
      <c r="MUQ3" s="13"/>
      <c r="MUR3" s="13"/>
      <c r="MUS3" s="13"/>
      <c r="MUT3" s="13"/>
      <c r="MUU3" s="13"/>
      <c r="MUV3" s="13"/>
      <c r="MUW3" s="13"/>
      <c r="MUX3" s="13"/>
      <c r="MUY3" s="13"/>
      <c r="MUZ3" s="13"/>
      <c r="MVA3" s="13"/>
      <c r="MVB3" s="13"/>
      <c r="MVC3" s="13"/>
      <c r="MVD3" s="13"/>
      <c r="MVE3" s="13"/>
      <c r="MVF3" s="13"/>
      <c r="MVG3" s="13"/>
      <c r="MVH3" s="13"/>
      <c r="MVI3" s="13"/>
      <c r="MVJ3" s="13"/>
      <c r="MVK3" s="13"/>
      <c r="MVL3" s="13"/>
      <c r="MVM3" s="13"/>
      <c r="MVN3" s="13"/>
      <c r="MVO3" s="13"/>
      <c r="MVP3" s="13"/>
      <c r="MVQ3" s="13"/>
      <c r="MVR3" s="13"/>
      <c r="MVS3" s="13"/>
      <c r="MVT3" s="13"/>
      <c r="MVU3" s="13"/>
      <c r="MVV3" s="13"/>
      <c r="MVW3" s="13"/>
      <c r="MVX3" s="13"/>
      <c r="MVY3" s="13"/>
      <c r="MVZ3" s="13"/>
      <c r="MWA3" s="13"/>
      <c r="MWB3" s="13"/>
      <c r="MWC3" s="13"/>
      <c r="MWD3" s="13"/>
      <c r="MWE3" s="13"/>
      <c r="MWF3" s="13"/>
      <c r="MWG3" s="13"/>
      <c r="MWH3" s="13"/>
      <c r="MWI3" s="13"/>
      <c r="MWJ3" s="13"/>
      <c r="MWK3" s="13"/>
      <c r="MWL3" s="13"/>
      <c r="MWM3" s="13"/>
      <c r="MWN3" s="13"/>
      <c r="MWO3" s="13"/>
      <c r="MWP3" s="13"/>
      <c r="MWQ3" s="13"/>
      <c r="MWR3" s="13"/>
      <c r="MWS3" s="13"/>
      <c r="MWT3" s="13"/>
      <c r="MWU3" s="13"/>
      <c r="MWV3" s="13"/>
      <c r="MWW3" s="13"/>
      <c r="MWX3" s="13"/>
      <c r="MWY3" s="13"/>
      <c r="MWZ3" s="13"/>
      <c r="MXA3" s="13"/>
      <c r="MXB3" s="13"/>
      <c r="MXC3" s="13"/>
      <c r="MXD3" s="13"/>
      <c r="MXE3" s="13"/>
      <c r="MXF3" s="13"/>
      <c r="MXG3" s="13"/>
      <c r="MXH3" s="13"/>
      <c r="MXI3" s="13"/>
      <c r="MXJ3" s="13"/>
      <c r="MXK3" s="13"/>
      <c r="MXL3" s="13"/>
      <c r="MXM3" s="13"/>
      <c r="MXN3" s="13"/>
      <c r="MXO3" s="13"/>
      <c r="MXP3" s="13"/>
      <c r="MXQ3" s="13"/>
      <c r="MXR3" s="13"/>
      <c r="MXS3" s="13"/>
      <c r="MXT3" s="13"/>
      <c r="MXU3" s="13"/>
      <c r="MXV3" s="13"/>
      <c r="MXW3" s="13"/>
      <c r="MXX3" s="13"/>
      <c r="MXY3" s="13"/>
      <c r="MXZ3" s="13"/>
      <c r="MYA3" s="13"/>
      <c r="MYB3" s="13"/>
      <c r="MYC3" s="13"/>
      <c r="MYD3" s="13"/>
      <c r="MYE3" s="13"/>
      <c r="MYF3" s="13"/>
      <c r="MYG3" s="13"/>
      <c r="MYH3" s="13"/>
      <c r="MYI3" s="13"/>
      <c r="MYJ3" s="13"/>
      <c r="MYK3" s="13"/>
      <c r="MYL3" s="13"/>
      <c r="MYM3" s="13"/>
      <c r="MYN3" s="13"/>
      <c r="MYO3" s="13"/>
      <c r="MYP3" s="13"/>
      <c r="MYQ3" s="13"/>
      <c r="MYR3" s="13"/>
      <c r="MYS3" s="13"/>
      <c r="MYT3" s="13"/>
      <c r="MYU3" s="13"/>
      <c r="MYV3" s="13"/>
      <c r="MYW3" s="13"/>
      <c r="MYX3" s="13"/>
      <c r="MYY3" s="13"/>
      <c r="MYZ3" s="13"/>
      <c r="MZA3" s="13"/>
      <c r="MZB3" s="13"/>
      <c r="MZC3" s="13"/>
      <c r="MZD3" s="13"/>
      <c r="MZE3" s="13"/>
      <c r="MZF3" s="13"/>
      <c r="MZG3" s="13"/>
      <c r="MZH3" s="13"/>
      <c r="MZI3" s="13"/>
      <c r="MZJ3" s="13"/>
      <c r="MZK3" s="13"/>
      <c r="MZL3" s="13"/>
      <c r="MZM3" s="13"/>
      <c r="MZN3" s="13"/>
      <c r="MZO3" s="13"/>
      <c r="MZP3" s="13"/>
      <c r="MZQ3" s="13"/>
      <c r="MZR3" s="13"/>
      <c r="MZS3" s="13"/>
      <c r="MZT3" s="13"/>
      <c r="MZU3" s="13"/>
      <c r="MZV3" s="13"/>
      <c r="MZW3" s="13"/>
      <c r="MZX3" s="13"/>
      <c r="MZY3" s="13"/>
      <c r="MZZ3" s="13"/>
      <c r="NAA3" s="13"/>
      <c r="NAB3" s="13"/>
      <c r="NAC3" s="13"/>
      <c r="NAD3" s="13"/>
      <c r="NAE3" s="13"/>
      <c r="NAF3" s="13"/>
      <c r="NAG3" s="13"/>
      <c r="NAH3" s="13"/>
      <c r="NAI3" s="13"/>
      <c r="NAJ3" s="13"/>
      <c r="NAK3" s="13"/>
      <c r="NAL3" s="13"/>
      <c r="NAM3" s="13"/>
      <c r="NAN3" s="13"/>
      <c r="NAO3" s="13"/>
      <c r="NAP3" s="13"/>
      <c r="NAQ3" s="13"/>
      <c r="NAR3" s="13"/>
      <c r="NAS3" s="13"/>
      <c r="NAT3" s="13"/>
      <c r="NAU3" s="13"/>
      <c r="NAV3" s="13"/>
      <c r="NAW3" s="13"/>
      <c r="NAX3" s="13"/>
      <c r="NAY3" s="13"/>
      <c r="NAZ3" s="13"/>
      <c r="NBA3" s="13"/>
      <c r="NBB3" s="13"/>
      <c r="NBC3" s="13"/>
      <c r="NBD3" s="13"/>
      <c r="NBE3" s="13"/>
      <c r="NBF3" s="13"/>
      <c r="NBG3" s="13"/>
      <c r="NBH3" s="13"/>
      <c r="NBI3" s="13"/>
      <c r="NBJ3" s="13"/>
      <c r="NBK3" s="13"/>
      <c r="NBL3" s="13"/>
      <c r="NBM3" s="13"/>
      <c r="NBN3" s="13"/>
      <c r="NBO3" s="13"/>
      <c r="NBP3" s="13"/>
      <c r="NBQ3" s="13"/>
      <c r="NBR3" s="13"/>
      <c r="NBS3" s="13"/>
      <c r="NBT3" s="13"/>
      <c r="NBU3" s="13"/>
      <c r="NBV3" s="13"/>
      <c r="NBW3" s="13"/>
      <c r="NBX3" s="13"/>
      <c r="NBY3" s="13"/>
      <c r="NBZ3" s="13"/>
      <c r="NCA3" s="13"/>
      <c r="NCB3" s="13"/>
      <c r="NCC3" s="13"/>
      <c r="NCD3" s="13"/>
      <c r="NCE3" s="13"/>
      <c r="NCF3" s="13"/>
      <c r="NCG3" s="13"/>
      <c r="NCH3" s="13"/>
      <c r="NCI3" s="13"/>
      <c r="NCJ3" s="13"/>
      <c r="NCK3" s="13"/>
      <c r="NCL3" s="13"/>
      <c r="NCM3" s="13"/>
      <c r="NCN3" s="13"/>
      <c r="NCO3" s="13"/>
      <c r="NCP3" s="13"/>
      <c r="NCQ3" s="13"/>
      <c r="NCR3" s="13"/>
      <c r="NCS3" s="13"/>
      <c r="NCT3" s="13"/>
      <c r="NCU3" s="13"/>
      <c r="NCV3" s="13"/>
      <c r="NCW3" s="13"/>
      <c r="NCX3" s="13"/>
      <c r="NCY3" s="13"/>
      <c r="NCZ3" s="13"/>
      <c r="NDA3" s="13"/>
      <c r="NDB3" s="13"/>
      <c r="NDC3" s="13"/>
      <c r="NDD3" s="13"/>
      <c r="NDE3" s="13"/>
      <c r="NDF3" s="13"/>
      <c r="NDG3" s="13"/>
      <c r="NDH3" s="13"/>
      <c r="NDI3" s="13"/>
      <c r="NDJ3" s="13"/>
      <c r="NDK3" s="13"/>
      <c r="NDL3" s="13"/>
      <c r="NDM3" s="13"/>
      <c r="NDN3" s="13"/>
      <c r="NDO3" s="13"/>
      <c r="NDP3" s="13"/>
      <c r="NDQ3" s="13"/>
      <c r="NDR3" s="13"/>
      <c r="NDS3" s="13"/>
      <c r="NDT3" s="13"/>
      <c r="NDU3" s="13"/>
      <c r="NDV3" s="13"/>
      <c r="NDW3" s="13"/>
      <c r="NDX3" s="13"/>
      <c r="NDY3" s="13"/>
      <c r="NDZ3" s="13"/>
      <c r="NEA3" s="13"/>
      <c r="NEB3" s="13"/>
      <c r="NEC3" s="13"/>
      <c r="NED3" s="13"/>
      <c r="NEE3" s="13"/>
      <c r="NEF3" s="13"/>
      <c r="NEG3" s="13"/>
      <c r="NEH3" s="13"/>
      <c r="NEI3" s="13"/>
      <c r="NEJ3" s="13"/>
      <c r="NEK3" s="13"/>
      <c r="NEL3" s="13"/>
      <c r="NEM3" s="13"/>
      <c r="NEN3" s="13"/>
      <c r="NEO3" s="13"/>
      <c r="NEP3" s="13"/>
      <c r="NEQ3" s="13"/>
      <c r="NER3" s="13"/>
      <c r="NES3" s="13"/>
      <c r="NET3" s="13"/>
      <c r="NEU3" s="13"/>
      <c r="NEV3" s="13"/>
      <c r="NEW3" s="13"/>
      <c r="NEX3" s="13"/>
      <c r="NEY3" s="13"/>
      <c r="NEZ3" s="13"/>
      <c r="NFA3" s="13"/>
      <c r="NFB3" s="13"/>
      <c r="NFC3" s="13"/>
      <c r="NFD3" s="13"/>
      <c r="NFE3" s="13"/>
      <c r="NFF3" s="13"/>
      <c r="NFG3" s="13"/>
      <c r="NFH3" s="13"/>
      <c r="NFI3" s="13"/>
      <c r="NFJ3" s="13"/>
      <c r="NFK3" s="13"/>
      <c r="NFL3" s="13"/>
      <c r="NFM3" s="13"/>
      <c r="NFN3" s="13"/>
      <c r="NFO3" s="13"/>
      <c r="NFP3" s="13"/>
      <c r="NFQ3" s="13"/>
      <c r="NFR3" s="13"/>
      <c r="NFS3" s="13"/>
      <c r="NFT3" s="13"/>
      <c r="NFU3" s="13"/>
      <c r="NFV3" s="13"/>
      <c r="NFW3" s="13"/>
      <c r="NFX3" s="13"/>
      <c r="NFY3" s="13"/>
      <c r="NFZ3" s="13"/>
      <c r="NGA3" s="13"/>
      <c r="NGB3" s="13"/>
      <c r="NGC3" s="13"/>
      <c r="NGD3" s="13"/>
      <c r="NGE3" s="13"/>
      <c r="NGF3" s="13"/>
      <c r="NGG3" s="13"/>
      <c r="NGH3" s="13"/>
      <c r="NGI3" s="13"/>
      <c r="NGJ3" s="13"/>
      <c r="NGK3" s="13"/>
      <c r="NGL3" s="13"/>
      <c r="NGM3" s="13"/>
      <c r="NGN3" s="13"/>
      <c r="NGO3" s="13"/>
      <c r="NGP3" s="13"/>
      <c r="NGQ3" s="13"/>
      <c r="NGR3" s="13"/>
      <c r="NGS3" s="13"/>
      <c r="NGT3" s="13"/>
      <c r="NGU3" s="13"/>
      <c r="NGV3" s="13"/>
      <c r="NGW3" s="13"/>
      <c r="NGX3" s="13"/>
      <c r="NGY3" s="13"/>
      <c r="NGZ3" s="13"/>
      <c r="NHA3" s="13"/>
      <c r="NHB3" s="13"/>
      <c r="NHC3" s="13"/>
      <c r="NHD3" s="13"/>
      <c r="NHE3" s="13"/>
      <c r="NHF3" s="13"/>
      <c r="NHG3" s="13"/>
      <c r="NHH3" s="13"/>
      <c r="NHI3" s="13"/>
      <c r="NHJ3" s="13"/>
      <c r="NHK3" s="13"/>
      <c r="NHL3" s="13"/>
      <c r="NHM3" s="13"/>
      <c r="NHN3" s="13"/>
      <c r="NHO3" s="13"/>
      <c r="NHP3" s="13"/>
      <c r="NHQ3" s="13"/>
      <c r="NHR3" s="13"/>
      <c r="NHS3" s="13"/>
      <c r="NHT3" s="13"/>
      <c r="NHU3" s="13"/>
      <c r="NHV3" s="13"/>
      <c r="NHW3" s="13"/>
      <c r="NHX3" s="13"/>
      <c r="NHY3" s="13"/>
      <c r="NHZ3" s="13"/>
      <c r="NIA3" s="13"/>
      <c r="NIB3" s="13"/>
      <c r="NIC3" s="13"/>
      <c r="NID3" s="13"/>
      <c r="NIE3" s="13"/>
      <c r="NIF3" s="13"/>
      <c r="NIG3" s="13"/>
      <c r="NIH3" s="13"/>
      <c r="NII3" s="13"/>
      <c r="NIJ3" s="13"/>
      <c r="NIK3" s="13"/>
      <c r="NIL3" s="13"/>
      <c r="NIM3" s="13"/>
      <c r="NIN3" s="13"/>
      <c r="NIO3" s="13"/>
      <c r="NIP3" s="13"/>
      <c r="NIQ3" s="13"/>
      <c r="NIR3" s="13"/>
      <c r="NIS3" s="13"/>
      <c r="NIT3" s="13"/>
      <c r="NIU3" s="13"/>
      <c r="NIV3" s="13"/>
      <c r="NIW3" s="13"/>
      <c r="NIX3" s="13"/>
      <c r="NIY3" s="13"/>
      <c r="NIZ3" s="13"/>
      <c r="NJA3" s="13"/>
      <c r="NJB3" s="13"/>
      <c r="NJC3" s="13"/>
      <c r="NJD3" s="13"/>
      <c r="NJE3" s="13"/>
      <c r="NJF3" s="13"/>
      <c r="NJG3" s="13"/>
      <c r="NJH3" s="13"/>
      <c r="NJI3" s="13"/>
      <c r="NJJ3" s="13"/>
      <c r="NJK3" s="13"/>
      <c r="NJL3" s="13"/>
      <c r="NJM3" s="13"/>
      <c r="NJN3" s="13"/>
      <c r="NJO3" s="13"/>
      <c r="NJP3" s="13"/>
      <c r="NJQ3" s="13"/>
      <c r="NJR3" s="13"/>
      <c r="NJS3" s="13"/>
      <c r="NJT3" s="13"/>
      <c r="NJU3" s="13"/>
      <c r="NJV3" s="13"/>
      <c r="NJW3" s="13"/>
      <c r="NJX3" s="13"/>
      <c r="NJY3" s="13"/>
      <c r="NJZ3" s="13"/>
      <c r="NKA3" s="13"/>
      <c r="NKB3" s="13"/>
      <c r="NKC3" s="13"/>
      <c r="NKD3" s="13"/>
      <c r="NKE3" s="13"/>
      <c r="NKF3" s="13"/>
      <c r="NKG3" s="13"/>
      <c r="NKH3" s="13"/>
      <c r="NKI3" s="13"/>
      <c r="NKJ3" s="13"/>
      <c r="NKK3" s="13"/>
      <c r="NKL3" s="13"/>
      <c r="NKM3" s="13"/>
      <c r="NKN3" s="13"/>
      <c r="NKO3" s="13"/>
      <c r="NKP3" s="13"/>
      <c r="NKQ3" s="13"/>
      <c r="NKR3" s="13"/>
      <c r="NKS3" s="13"/>
      <c r="NKT3" s="13"/>
      <c r="NKU3" s="13"/>
      <c r="NKV3" s="13"/>
      <c r="NKW3" s="13"/>
      <c r="NKX3" s="13"/>
      <c r="NKY3" s="13"/>
      <c r="NKZ3" s="13"/>
      <c r="NLA3" s="13"/>
      <c r="NLB3" s="13"/>
      <c r="NLC3" s="13"/>
      <c r="NLD3" s="13"/>
      <c r="NLE3" s="13"/>
      <c r="NLF3" s="13"/>
      <c r="NLG3" s="13"/>
      <c r="NLH3" s="13"/>
      <c r="NLI3" s="13"/>
      <c r="NLJ3" s="13"/>
      <c r="NLK3" s="13"/>
      <c r="NLL3" s="13"/>
      <c r="NLM3" s="13"/>
      <c r="NLN3" s="13"/>
      <c r="NLO3" s="13"/>
      <c r="NLP3" s="13"/>
      <c r="NLQ3" s="13"/>
      <c r="NLR3" s="13"/>
      <c r="NLS3" s="13"/>
      <c r="NLT3" s="13"/>
      <c r="NLU3" s="13"/>
      <c r="NLV3" s="13"/>
      <c r="NLW3" s="13"/>
      <c r="NLX3" s="13"/>
      <c r="NLY3" s="13"/>
      <c r="NLZ3" s="13"/>
      <c r="NMA3" s="13"/>
      <c r="NMB3" s="13"/>
      <c r="NMC3" s="13"/>
      <c r="NMD3" s="13"/>
      <c r="NME3" s="13"/>
      <c r="NMF3" s="13"/>
      <c r="NMG3" s="13"/>
      <c r="NMH3" s="13"/>
      <c r="NMI3" s="13"/>
      <c r="NMJ3" s="13"/>
      <c r="NMK3" s="13"/>
      <c r="NML3" s="13"/>
      <c r="NMM3" s="13"/>
      <c r="NMN3" s="13"/>
      <c r="NMO3" s="13"/>
      <c r="NMP3" s="13"/>
      <c r="NMQ3" s="13"/>
      <c r="NMR3" s="13"/>
      <c r="NMS3" s="13"/>
      <c r="NMT3" s="13"/>
      <c r="NMU3" s="13"/>
      <c r="NMV3" s="13"/>
      <c r="NMW3" s="13"/>
      <c r="NMX3" s="13"/>
      <c r="NMY3" s="13"/>
      <c r="NMZ3" s="13"/>
      <c r="NNA3" s="13"/>
      <c r="NNB3" s="13"/>
      <c r="NNC3" s="13"/>
      <c r="NND3" s="13"/>
      <c r="NNE3" s="13"/>
      <c r="NNF3" s="13"/>
      <c r="NNG3" s="13"/>
      <c r="NNH3" s="13"/>
      <c r="NNI3" s="13"/>
      <c r="NNJ3" s="13"/>
      <c r="NNK3" s="13"/>
      <c r="NNL3" s="13"/>
      <c r="NNM3" s="13"/>
      <c r="NNN3" s="13"/>
      <c r="NNO3" s="13"/>
      <c r="NNP3" s="13"/>
      <c r="NNQ3" s="13"/>
      <c r="NNR3" s="13"/>
      <c r="NNS3" s="13"/>
      <c r="NNT3" s="13"/>
      <c r="NNU3" s="13"/>
      <c r="NNV3" s="13"/>
      <c r="NNW3" s="13"/>
      <c r="NNX3" s="13"/>
      <c r="NNY3" s="13"/>
      <c r="NNZ3" s="13"/>
      <c r="NOA3" s="13"/>
      <c r="NOB3" s="13"/>
      <c r="NOC3" s="13"/>
      <c r="NOD3" s="13"/>
      <c r="NOE3" s="13"/>
      <c r="NOF3" s="13"/>
      <c r="NOG3" s="13"/>
      <c r="NOH3" s="13"/>
      <c r="NOI3" s="13"/>
      <c r="NOJ3" s="13"/>
      <c r="NOK3" s="13"/>
      <c r="NOL3" s="13"/>
      <c r="NOM3" s="13"/>
      <c r="NON3" s="13"/>
      <c r="NOO3" s="13"/>
      <c r="NOP3" s="13"/>
      <c r="NOQ3" s="13"/>
      <c r="NOR3" s="13"/>
      <c r="NOS3" s="13"/>
      <c r="NOT3" s="13"/>
      <c r="NOU3" s="13"/>
      <c r="NOV3" s="13"/>
      <c r="NOW3" s="13"/>
      <c r="NOX3" s="13"/>
      <c r="NOY3" s="13"/>
      <c r="NOZ3" s="13"/>
      <c r="NPA3" s="13"/>
      <c r="NPB3" s="13"/>
      <c r="NPC3" s="13"/>
      <c r="NPD3" s="13"/>
      <c r="NPE3" s="13"/>
      <c r="NPF3" s="13"/>
      <c r="NPG3" s="13"/>
      <c r="NPH3" s="13"/>
      <c r="NPI3" s="13"/>
      <c r="NPJ3" s="13"/>
      <c r="NPK3" s="13"/>
      <c r="NPL3" s="13"/>
      <c r="NPM3" s="13"/>
      <c r="NPN3" s="13"/>
      <c r="NPO3" s="13"/>
      <c r="NPP3" s="13"/>
      <c r="NPQ3" s="13"/>
      <c r="NPR3" s="13"/>
      <c r="NPS3" s="13"/>
      <c r="NPT3" s="13"/>
      <c r="NPU3" s="13"/>
      <c r="NPV3" s="13"/>
      <c r="NPW3" s="13"/>
      <c r="NPX3" s="13"/>
      <c r="NPY3" s="13"/>
      <c r="NPZ3" s="13"/>
      <c r="NQA3" s="13"/>
      <c r="NQB3" s="13"/>
      <c r="NQC3" s="13"/>
      <c r="NQD3" s="13"/>
      <c r="NQE3" s="13"/>
      <c r="NQF3" s="13"/>
      <c r="NQG3" s="13"/>
      <c r="NQH3" s="13"/>
      <c r="NQI3" s="13"/>
      <c r="NQJ3" s="13"/>
      <c r="NQK3" s="13"/>
      <c r="NQL3" s="13"/>
      <c r="NQM3" s="13"/>
      <c r="NQN3" s="13"/>
      <c r="NQO3" s="13"/>
      <c r="NQP3" s="13"/>
      <c r="NQQ3" s="13"/>
      <c r="NQR3" s="13"/>
      <c r="NQS3" s="13"/>
      <c r="NQT3" s="13"/>
      <c r="NQU3" s="13"/>
      <c r="NQV3" s="13"/>
      <c r="NQW3" s="13"/>
      <c r="NQX3" s="13"/>
      <c r="NQY3" s="13"/>
      <c r="NQZ3" s="13"/>
      <c r="NRA3" s="13"/>
      <c r="NRB3" s="13"/>
      <c r="NRC3" s="13"/>
      <c r="NRD3" s="13"/>
      <c r="NRE3" s="13"/>
      <c r="NRF3" s="13"/>
      <c r="NRG3" s="13"/>
      <c r="NRH3" s="13"/>
      <c r="NRI3" s="13"/>
      <c r="NRJ3" s="13"/>
      <c r="NRK3" s="13"/>
      <c r="NRL3" s="13"/>
      <c r="NRM3" s="13"/>
      <c r="NRN3" s="13"/>
      <c r="NRO3" s="13"/>
      <c r="NRP3" s="13"/>
      <c r="NRQ3" s="13"/>
      <c r="NRR3" s="13"/>
      <c r="NRS3" s="13"/>
      <c r="NRT3" s="13"/>
      <c r="NRU3" s="13"/>
      <c r="NRV3" s="13"/>
      <c r="NRW3" s="13"/>
      <c r="NRX3" s="13"/>
      <c r="NRY3" s="13"/>
      <c r="NRZ3" s="13"/>
      <c r="NSA3" s="13"/>
      <c r="NSB3" s="13"/>
      <c r="NSC3" s="13"/>
      <c r="NSD3" s="13"/>
      <c r="NSE3" s="13"/>
      <c r="NSF3" s="13"/>
      <c r="NSG3" s="13"/>
      <c r="NSH3" s="13"/>
      <c r="NSI3" s="13"/>
      <c r="NSJ3" s="13"/>
      <c r="NSK3" s="13"/>
      <c r="NSL3" s="13"/>
      <c r="NSM3" s="13"/>
      <c r="NSN3" s="13"/>
      <c r="NSO3" s="13"/>
      <c r="NSP3" s="13"/>
      <c r="NSQ3" s="13"/>
      <c r="NSR3" s="13"/>
      <c r="NSS3" s="13"/>
      <c r="NST3" s="13"/>
      <c r="NSU3" s="13"/>
      <c r="NSV3" s="13"/>
      <c r="NSW3" s="13"/>
      <c r="NSX3" s="13"/>
      <c r="NSY3" s="13"/>
      <c r="NSZ3" s="13"/>
      <c r="NTA3" s="13"/>
      <c r="NTB3" s="13"/>
      <c r="NTC3" s="13"/>
      <c r="NTD3" s="13"/>
      <c r="NTE3" s="13"/>
      <c r="NTF3" s="13"/>
      <c r="NTG3" s="13"/>
      <c r="NTH3" s="13"/>
      <c r="NTI3" s="13"/>
      <c r="NTJ3" s="13"/>
      <c r="NTK3" s="13"/>
      <c r="NTL3" s="13"/>
      <c r="NTM3" s="13"/>
      <c r="NTN3" s="13"/>
      <c r="NTO3" s="13"/>
      <c r="NTP3" s="13"/>
      <c r="NTQ3" s="13"/>
      <c r="NTR3" s="13"/>
      <c r="NTS3" s="13"/>
      <c r="NTT3" s="13"/>
      <c r="NTU3" s="13"/>
      <c r="NTV3" s="13"/>
      <c r="NTW3" s="13"/>
      <c r="NTX3" s="13"/>
      <c r="NTY3" s="13"/>
      <c r="NTZ3" s="13"/>
      <c r="NUA3" s="13"/>
      <c r="NUB3" s="13"/>
      <c r="NUC3" s="13"/>
      <c r="NUD3" s="13"/>
      <c r="NUE3" s="13"/>
      <c r="NUF3" s="13"/>
      <c r="NUG3" s="13"/>
      <c r="NUH3" s="13"/>
      <c r="NUI3" s="13"/>
      <c r="NUJ3" s="13"/>
      <c r="NUK3" s="13"/>
      <c r="NUL3" s="13"/>
      <c r="NUM3" s="13"/>
      <c r="NUN3" s="13"/>
      <c r="NUO3" s="13"/>
      <c r="NUP3" s="13"/>
      <c r="NUQ3" s="13"/>
      <c r="NUR3" s="13"/>
      <c r="NUS3" s="13"/>
      <c r="NUT3" s="13"/>
      <c r="NUU3" s="13"/>
      <c r="NUV3" s="13"/>
      <c r="NUW3" s="13"/>
      <c r="NUX3" s="13"/>
      <c r="NUY3" s="13"/>
      <c r="NUZ3" s="13"/>
      <c r="NVA3" s="13"/>
      <c r="NVB3" s="13"/>
      <c r="NVC3" s="13"/>
      <c r="NVD3" s="13"/>
      <c r="NVE3" s="13"/>
      <c r="NVF3" s="13"/>
      <c r="NVG3" s="13"/>
      <c r="NVH3" s="13"/>
      <c r="NVI3" s="13"/>
      <c r="NVJ3" s="13"/>
      <c r="NVK3" s="13"/>
      <c r="NVL3" s="13"/>
      <c r="NVM3" s="13"/>
      <c r="NVN3" s="13"/>
      <c r="NVO3" s="13"/>
      <c r="NVP3" s="13"/>
      <c r="NVQ3" s="13"/>
      <c r="NVR3" s="13"/>
      <c r="NVS3" s="13"/>
      <c r="NVT3" s="13"/>
      <c r="NVU3" s="13"/>
      <c r="NVV3" s="13"/>
      <c r="NVW3" s="13"/>
      <c r="NVX3" s="13"/>
      <c r="NVY3" s="13"/>
      <c r="NVZ3" s="13"/>
      <c r="NWA3" s="13"/>
      <c r="NWB3" s="13"/>
      <c r="NWC3" s="13"/>
      <c r="NWD3" s="13"/>
      <c r="NWE3" s="13"/>
      <c r="NWF3" s="13"/>
      <c r="NWG3" s="13"/>
      <c r="NWH3" s="13"/>
      <c r="NWI3" s="13"/>
      <c r="NWJ3" s="13"/>
      <c r="NWK3" s="13"/>
      <c r="NWL3" s="13"/>
      <c r="NWM3" s="13"/>
      <c r="NWN3" s="13"/>
      <c r="NWO3" s="13"/>
      <c r="NWP3" s="13"/>
      <c r="NWQ3" s="13"/>
      <c r="NWR3" s="13"/>
      <c r="NWS3" s="13"/>
      <c r="NWT3" s="13"/>
      <c r="NWU3" s="13"/>
      <c r="NWV3" s="13"/>
      <c r="NWW3" s="13"/>
      <c r="NWX3" s="13"/>
      <c r="NWY3" s="13"/>
      <c r="NWZ3" s="13"/>
      <c r="NXA3" s="13"/>
      <c r="NXB3" s="13"/>
      <c r="NXC3" s="13"/>
      <c r="NXD3" s="13"/>
      <c r="NXE3" s="13"/>
      <c r="NXF3" s="13"/>
      <c r="NXG3" s="13"/>
      <c r="NXH3" s="13"/>
      <c r="NXI3" s="13"/>
      <c r="NXJ3" s="13"/>
      <c r="NXK3" s="13"/>
      <c r="NXL3" s="13"/>
      <c r="NXM3" s="13"/>
      <c r="NXN3" s="13"/>
      <c r="NXO3" s="13"/>
      <c r="NXP3" s="13"/>
      <c r="NXQ3" s="13"/>
      <c r="NXR3" s="13"/>
      <c r="NXS3" s="13"/>
      <c r="NXT3" s="13"/>
      <c r="NXU3" s="13"/>
      <c r="NXV3" s="13"/>
      <c r="NXW3" s="13"/>
      <c r="NXX3" s="13"/>
      <c r="NXY3" s="13"/>
      <c r="NXZ3" s="13"/>
      <c r="NYA3" s="13"/>
      <c r="NYB3" s="13"/>
      <c r="NYC3" s="13"/>
      <c r="NYD3" s="13"/>
      <c r="NYE3" s="13"/>
      <c r="NYF3" s="13"/>
      <c r="NYG3" s="13"/>
      <c r="NYH3" s="13"/>
      <c r="NYI3" s="13"/>
      <c r="NYJ3" s="13"/>
      <c r="NYK3" s="13"/>
      <c r="NYL3" s="13"/>
      <c r="NYM3" s="13"/>
      <c r="NYN3" s="13"/>
      <c r="NYO3" s="13"/>
      <c r="NYP3" s="13"/>
      <c r="NYQ3" s="13"/>
      <c r="NYR3" s="13"/>
      <c r="NYS3" s="13"/>
      <c r="NYT3" s="13"/>
      <c r="NYU3" s="13"/>
      <c r="NYV3" s="13"/>
      <c r="NYW3" s="13"/>
      <c r="NYX3" s="13"/>
      <c r="NYY3" s="13"/>
      <c r="NYZ3" s="13"/>
      <c r="NZA3" s="13"/>
      <c r="NZB3" s="13"/>
      <c r="NZC3" s="13"/>
      <c r="NZD3" s="13"/>
      <c r="NZE3" s="13"/>
      <c r="NZF3" s="13"/>
      <c r="NZG3" s="13"/>
      <c r="NZH3" s="13"/>
      <c r="NZI3" s="13"/>
      <c r="NZJ3" s="13"/>
      <c r="NZK3" s="13"/>
      <c r="NZL3" s="13"/>
      <c r="NZM3" s="13"/>
      <c r="NZN3" s="13"/>
      <c r="NZO3" s="13"/>
      <c r="NZP3" s="13"/>
      <c r="NZQ3" s="13"/>
      <c r="NZR3" s="13"/>
      <c r="NZS3" s="13"/>
      <c r="NZT3" s="13"/>
      <c r="NZU3" s="13"/>
      <c r="NZV3" s="13"/>
      <c r="NZW3" s="13"/>
      <c r="NZX3" s="13"/>
      <c r="NZY3" s="13"/>
      <c r="NZZ3" s="13"/>
      <c r="OAA3" s="13"/>
      <c r="OAB3" s="13"/>
      <c r="OAC3" s="13"/>
      <c r="OAD3" s="13"/>
      <c r="OAE3" s="13"/>
      <c r="OAF3" s="13"/>
      <c r="OAG3" s="13"/>
      <c r="OAH3" s="13"/>
      <c r="OAI3" s="13"/>
      <c r="OAJ3" s="13"/>
      <c r="OAK3" s="13"/>
      <c r="OAL3" s="13"/>
      <c r="OAM3" s="13"/>
      <c r="OAN3" s="13"/>
      <c r="OAO3" s="13"/>
      <c r="OAP3" s="13"/>
      <c r="OAQ3" s="13"/>
      <c r="OAR3" s="13"/>
      <c r="OAS3" s="13"/>
      <c r="OAT3" s="13"/>
      <c r="OAU3" s="13"/>
      <c r="OAV3" s="13"/>
      <c r="OAW3" s="13"/>
      <c r="OAX3" s="13"/>
      <c r="OAY3" s="13"/>
      <c r="OAZ3" s="13"/>
      <c r="OBA3" s="13"/>
      <c r="OBB3" s="13"/>
      <c r="OBC3" s="13"/>
      <c r="OBD3" s="13"/>
      <c r="OBE3" s="13"/>
      <c r="OBF3" s="13"/>
      <c r="OBG3" s="13"/>
      <c r="OBH3" s="13"/>
      <c r="OBI3" s="13"/>
      <c r="OBJ3" s="13"/>
      <c r="OBK3" s="13"/>
      <c r="OBL3" s="13"/>
      <c r="OBM3" s="13"/>
      <c r="OBN3" s="13"/>
      <c r="OBO3" s="13"/>
      <c r="OBP3" s="13"/>
      <c r="OBQ3" s="13"/>
      <c r="OBR3" s="13"/>
      <c r="OBS3" s="13"/>
      <c r="OBT3" s="13"/>
      <c r="OBU3" s="13"/>
      <c r="OBV3" s="13"/>
      <c r="OBW3" s="13"/>
      <c r="OBX3" s="13"/>
      <c r="OBY3" s="13"/>
      <c r="OBZ3" s="13"/>
      <c r="OCA3" s="13"/>
      <c r="OCB3" s="13"/>
      <c r="OCC3" s="13"/>
      <c r="OCD3" s="13"/>
      <c r="OCE3" s="13"/>
      <c r="OCF3" s="13"/>
      <c r="OCG3" s="13"/>
      <c r="OCH3" s="13"/>
      <c r="OCI3" s="13"/>
      <c r="OCJ3" s="13"/>
      <c r="OCK3" s="13"/>
      <c r="OCL3" s="13"/>
      <c r="OCM3" s="13"/>
      <c r="OCN3" s="13"/>
      <c r="OCO3" s="13"/>
      <c r="OCP3" s="13"/>
      <c r="OCQ3" s="13"/>
      <c r="OCR3" s="13"/>
      <c r="OCS3" s="13"/>
      <c r="OCT3" s="13"/>
      <c r="OCU3" s="13"/>
      <c r="OCV3" s="13"/>
      <c r="OCW3" s="13"/>
      <c r="OCX3" s="13"/>
      <c r="OCY3" s="13"/>
      <c r="OCZ3" s="13"/>
      <c r="ODA3" s="13"/>
      <c r="ODB3" s="13"/>
      <c r="ODC3" s="13"/>
      <c r="ODD3" s="13"/>
      <c r="ODE3" s="13"/>
      <c r="ODF3" s="13"/>
      <c r="ODG3" s="13"/>
      <c r="ODH3" s="13"/>
      <c r="ODI3" s="13"/>
      <c r="ODJ3" s="13"/>
      <c r="ODK3" s="13"/>
      <c r="ODL3" s="13"/>
      <c r="ODM3" s="13"/>
      <c r="ODN3" s="13"/>
      <c r="ODO3" s="13"/>
      <c r="ODP3" s="13"/>
      <c r="ODQ3" s="13"/>
      <c r="ODR3" s="13"/>
      <c r="ODS3" s="13"/>
      <c r="ODT3" s="13"/>
      <c r="ODU3" s="13"/>
      <c r="ODV3" s="13"/>
      <c r="ODW3" s="13"/>
      <c r="ODX3" s="13"/>
      <c r="ODY3" s="13"/>
      <c r="ODZ3" s="13"/>
      <c r="OEA3" s="13"/>
      <c r="OEB3" s="13"/>
      <c r="OEC3" s="13"/>
      <c r="OED3" s="13"/>
      <c r="OEE3" s="13"/>
      <c r="OEF3" s="13"/>
      <c r="OEG3" s="13"/>
      <c r="OEH3" s="13"/>
      <c r="OEI3" s="13"/>
      <c r="OEJ3" s="13"/>
      <c r="OEK3" s="13"/>
      <c r="OEL3" s="13"/>
      <c r="OEM3" s="13"/>
      <c r="OEN3" s="13"/>
      <c r="OEO3" s="13"/>
      <c r="OEP3" s="13"/>
      <c r="OEQ3" s="13"/>
      <c r="OER3" s="13"/>
      <c r="OES3" s="13"/>
      <c r="OET3" s="13"/>
      <c r="OEU3" s="13"/>
      <c r="OEV3" s="13"/>
      <c r="OEW3" s="13"/>
      <c r="OEX3" s="13"/>
      <c r="OEY3" s="13"/>
      <c r="OEZ3" s="13"/>
      <c r="OFA3" s="13"/>
      <c r="OFB3" s="13"/>
      <c r="OFC3" s="13"/>
      <c r="OFD3" s="13"/>
      <c r="OFE3" s="13"/>
      <c r="OFF3" s="13"/>
      <c r="OFG3" s="13"/>
      <c r="OFH3" s="13"/>
      <c r="OFI3" s="13"/>
      <c r="OFJ3" s="13"/>
      <c r="OFK3" s="13"/>
      <c r="OFL3" s="13"/>
      <c r="OFM3" s="13"/>
      <c r="OFN3" s="13"/>
      <c r="OFO3" s="13"/>
      <c r="OFP3" s="13"/>
      <c r="OFQ3" s="13"/>
      <c r="OFR3" s="13"/>
      <c r="OFS3" s="13"/>
      <c r="OFT3" s="13"/>
      <c r="OFU3" s="13"/>
      <c r="OFV3" s="13"/>
      <c r="OFW3" s="13"/>
      <c r="OFX3" s="13"/>
      <c r="OFY3" s="13"/>
      <c r="OFZ3" s="13"/>
      <c r="OGA3" s="13"/>
      <c r="OGB3" s="13"/>
      <c r="OGC3" s="13"/>
      <c r="OGD3" s="13"/>
      <c r="OGE3" s="13"/>
      <c r="OGF3" s="13"/>
      <c r="OGG3" s="13"/>
      <c r="OGH3" s="13"/>
      <c r="OGI3" s="13"/>
      <c r="OGJ3" s="13"/>
      <c r="OGK3" s="13"/>
      <c r="OGL3" s="13"/>
      <c r="OGM3" s="13"/>
      <c r="OGN3" s="13"/>
      <c r="OGO3" s="13"/>
      <c r="OGP3" s="13"/>
      <c r="OGQ3" s="13"/>
      <c r="OGR3" s="13"/>
      <c r="OGS3" s="13"/>
      <c r="OGT3" s="13"/>
      <c r="OGU3" s="13"/>
      <c r="OGV3" s="13"/>
      <c r="OGW3" s="13"/>
      <c r="OGX3" s="13"/>
      <c r="OGY3" s="13"/>
      <c r="OGZ3" s="13"/>
      <c r="OHA3" s="13"/>
      <c r="OHB3" s="13"/>
      <c r="OHC3" s="13"/>
      <c r="OHD3" s="13"/>
      <c r="OHE3" s="13"/>
      <c r="OHF3" s="13"/>
      <c r="OHG3" s="13"/>
      <c r="OHH3" s="13"/>
      <c r="OHI3" s="13"/>
      <c r="OHJ3" s="13"/>
      <c r="OHK3" s="13"/>
      <c r="OHL3" s="13"/>
      <c r="OHM3" s="13"/>
      <c r="OHN3" s="13"/>
      <c r="OHO3" s="13"/>
      <c r="OHP3" s="13"/>
      <c r="OHQ3" s="13"/>
      <c r="OHR3" s="13"/>
      <c r="OHS3" s="13"/>
      <c r="OHT3" s="13"/>
      <c r="OHU3" s="13"/>
      <c r="OHV3" s="13"/>
      <c r="OHW3" s="13"/>
      <c r="OHX3" s="13"/>
      <c r="OHY3" s="13"/>
      <c r="OHZ3" s="13"/>
      <c r="OIA3" s="13"/>
      <c r="OIB3" s="13"/>
      <c r="OIC3" s="13"/>
      <c r="OID3" s="13"/>
      <c r="OIE3" s="13"/>
      <c r="OIF3" s="13"/>
      <c r="OIG3" s="13"/>
      <c r="OIH3" s="13"/>
      <c r="OII3" s="13"/>
      <c r="OIJ3" s="13"/>
      <c r="OIK3" s="13"/>
      <c r="OIL3" s="13"/>
      <c r="OIM3" s="13"/>
      <c r="OIN3" s="13"/>
      <c r="OIO3" s="13"/>
      <c r="OIP3" s="13"/>
      <c r="OIQ3" s="13"/>
      <c r="OIR3" s="13"/>
      <c r="OIS3" s="13"/>
      <c r="OIT3" s="13"/>
      <c r="OIU3" s="13"/>
      <c r="OIV3" s="13"/>
      <c r="OIW3" s="13"/>
      <c r="OIX3" s="13"/>
      <c r="OIY3" s="13"/>
      <c r="OIZ3" s="13"/>
      <c r="OJA3" s="13"/>
      <c r="OJB3" s="13"/>
      <c r="OJC3" s="13"/>
      <c r="OJD3" s="13"/>
      <c r="OJE3" s="13"/>
      <c r="OJF3" s="13"/>
      <c r="OJG3" s="13"/>
      <c r="OJH3" s="13"/>
      <c r="OJI3" s="13"/>
      <c r="OJJ3" s="13"/>
      <c r="OJK3" s="13"/>
      <c r="OJL3" s="13"/>
      <c r="OJM3" s="13"/>
      <c r="OJN3" s="13"/>
      <c r="OJO3" s="13"/>
      <c r="OJP3" s="13"/>
      <c r="OJQ3" s="13"/>
      <c r="OJR3" s="13"/>
      <c r="OJS3" s="13"/>
      <c r="OJT3" s="13"/>
      <c r="OJU3" s="13"/>
      <c r="OJV3" s="13"/>
      <c r="OJW3" s="13"/>
      <c r="OJX3" s="13"/>
      <c r="OJY3" s="13"/>
      <c r="OJZ3" s="13"/>
      <c r="OKA3" s="13"/>
      <c r="OKB3" s="13"/>
      <c r="OKC3" s="13"/>
      <c r="OKD3" s="13"/>
      <c r="OKE3" s="13"/>
      <c r="OKF3" s="13"/>
      <c r="OKG3" s="13"/>
      <c r="OKH3" s="13"/>
      <c r="OKI3" s="13"/>
      <c r="OKJ3" s="13"/>
      <c r="OKK3" s="13"/>
      <c r="OKL3" s="13"/>
      <c r="OKM3" s="13"/>
      <c r="OKN3" s="13"/>
      <c r="OKO3" s="13"/>
      <c r="OKP3" s="13"/>
      <c r="OKQ3" s="13"/>
      <c r="OKR3" s="13"/>
      <c r="OKS3" s="13"/>
      <c r="OKT3" s="13"/>
      <c r="OKU3" s="13"/>
      <c r="OKV3" s="13"/>
      <c r="OKW3" s="13"/>
      <c r="OKX3" s="13"/>
      <c r="OKY3" s="13"/>
      <c r="OKZ3" s="13"/>
      <c r="OLA3" s="13"/>
      <c r="OLB3" s="13"/>
      <c r="OLC3" s="13"/>
      <c r="OLD3" s="13"/>
      <c r="OLE3" s="13"/>
      <c r="OLF3" s="13"/>
      <c r="OLG3" s="13"/>
      <c r="OLH3" s="13"/>
      <c r="OLI3" s="13"/>
      <c r="OLJ3" s="13"/>
      <c r="OLK3" s="13"/>
      <c r="OLL3" s="13"/>
      <c r="OLM3" s="13"/>
      <c r="OLN3" s="13"/>
      <c r="OLO3" s="13"/>
      <c r="OLP3" s="13"/>
      <c r="OLQ3" s="13"/>
      <c r="OLR3" s="13"/>
      <c r="OLS3" s="13"/>
      <c r="OLT3" s="13"/>
      <c r="OLU3" s="13"/>
      <c r="OLV3" s="13"/>
      <c r="OLW3" s="13"/>
      <c r="OLX3" s="13"/>
      <c r="OLY3" s="13"/>
      <c r="OLZ3" s="13"/>
      <c r="OMA3" s="13"/>
      <c r="OMB3" s="13"/>
      <c r="OMC3" s="13"/>
      <c r="OMD3" s="13"/>
      <c r="OME3" s="13"/>
      <c r="OMF3" s="13"/>
      <c r="OMG3" s="13"/>
      <c r="OMH3" s="13"/>
      <c r="OMI3" s="13"/>
      <c r="OMJ3" s="13"/>
      <c r="OMK3" s="13"/>
      <c r="OML3" s="13"/>
      <c r="OMM3" s="13"/>
      <c r="OMN3" s="13"/>
      <c r="OMO3" s="13"/>
      <c r="OMP3" s="13"/>
      <c r="OMQ3" s="13"/>
      <c r="OMR3" s="13"/>
      <c r="OMS3" s="13"/>
      <c r="OMT3" s="13"/>
      <c r="OMU3" s="13"/>
      <c r="OMV3" s="13"/>
      <c r="OMW3" s="13"/>
      <c r="OMX3" s="13"/>
      <c r="OMY3" s="13"/>
      <c r="OMZ3" s="13"/>
      <c r="ONA3" s="13"/>
      <c r="ONB3" s="13"/>
      <c r="ONC3" s="13"/>
      <c r="OND3" s="13"/>
      <c r="ONE3" s="13"/>
      <c r="ONF3" s="13"/>
      <c r="ONG3" s="13"/>
      <c r="ONH3" s="13"/>
      <c r="ONI3" s="13"/>
      <c r="ONJ3" s="13"/>
      <c r="ONK3" s="13"/>
      <c r="ONL3" s="13"/>
      <c r="ONM3" s="13"/>
      <c r="ONN3" s="13"/>
      <c r="ONO3" s="13"/>
      <c r="ONP3" s="13"/>
      <c r="ONQ3" s="13"/>
      <c r="ONR3" s="13"/>
      <c r="ONS3" s="13"/>
      <c r="ONT3" s="13"/>
      <c r="ONU3" s="13"/>
      <c r="ONV3" s="13"/>
      <c r="ONW3" s="13"/>
      <c r="ONX3" s="13"/>
      <c r="ONY3" s="13"/>
      <c r="ONZ3" s="13"/>
      <c r="OOA3" s="13"/>
      <c r="OOB3" s="13"/>
      <c r="OOC3" s="13"/>
      <c r="OOD3" s="13"/>
      <c r="OOE3" s="13"/>
      <c r="OOF3" s="13"/>
      <c r="OOG3" s="13"/>
      <c r="OOH3" s="13"/>
      <c r="OOI3" s="13"/>
      <c r="OOJ3" s="13"/>
      <c r="OOK3" s="13"/>
      <c r="OOL3" s="13"/>
      <c r="OOM3" s="13"/>
      <c r="OON3" s="13"/>
      <c r="OOO3" s="13"/>
      <c r="OOP3" s="13"/>
      <c r="OOQ3" s="13"/>
      <c r="OOR3" s="13"/>
      <c r="OOS3" s="13"/>
      <c r="OOT3" s="13"/>
      <c r="OOU3" s="13"/>
      <c r="OOV3" s="13"/>
      <c r="OOW3" s="13"/>
      <c r="OOX3" s="13"/>
      <c r="OOY3" s="13"/>
      <c r="OOZ3" s="13"/>
      <c r="OPA3" s="13"/>
      <c r="OPB3" s="13"/>
      <c r="OPC3" s="13"/>
      <c r="OPD3" s="13"/>
      <c r="OPE3" s="13"/>
      <c r="OPF3" s="13"/>
      <c r="OPG3" s="13"/>
      <c r="OPH3" s="13"/>
      <c r="OPI3" s="13"/>
      <c r="OPJ3" s="13"/>
      <c r="OPK3" s="13"/>
      <c r="OPL3" s="13"/>
      <c r="OPM3" s="13"/>
      <c r="OPN3" s="13"/>
      <c r="OPO3" s="13"/>
      <c r="OPP3" s="13"/>
      <c r="OPQ3" s="13"/>
      <c r="OPR3" s="13"/>
      <c r="OPS3" s="13"/>
      <c r="OPT3" s="13"/>
      <c r="OPU3" s="13"/>
      <c r="OPV3" s="13"/>
      <c r="OPW3" s="13"/>
      <c r="OPX3" s="13"/>
      <c r="OPY3" s="13"/>
      <c r="OPZ3" s="13"/>
      <c r="OQA3" s="13"/>
      <c r="OQB3" s="13"/>
      <c r="OQC3" s="13"/>
      <c r="OQD3" s="13"/>
      <c r="OQE3" s="13"/>
      <c r="OQF3" s="13"/>
      <c r="OQG3" s="13"/>
      <c r="OQH3" s="13"/>
      <c r="OQI3" s="13"/>
      <c r="OQJ3" s="13"/>
      <c r="OQK3" s="13"/>
      <c r="OQL3" s="13"/>
      <c r="OQM3" s="13"/>
      <c r="OQN3" s="13"/>
      <c r="OQO3" s="13"/>
      <c r="OQP3" s="13"/>
      <c r="OQQ3" s="13"/>
      <c r="OQR3" s="13"/>
      <c r="OQS3" s="13"/>
      <c r="OQT3" s="13"/>
      <c r="OQU3" s="13"/>
      <c r="OQV3" s="13"/>
      <c r="OQW3" s="13"/>
      <c r="OQX3" s="13"/>
      <c r="OQY3" s="13"/>
      <c r="OQZ3" s="13"/>
      <c r="ORA3" s="13"/>
      <c r="ORB3" s="13"/>
      <c r="ORC3" s="13"/>
      <c r="ORD3" s="13"/>
      <c r="ORE3" s="13"/>
      <c r="ORF3" s="13"/>
      <c r="ORG3" s="13"/>
      <c r="ORH3" s="13"/>
      <c r="ORI3" s="13"/>
      <c r="ORJ3" s="13"/>
      <c r="ORK3" s="13"/>
      <c r="ORL3" s="13"/>
      <c r="ORM3" s="13"/>
      <c r="ORN3" s="13"/>
      <c r="ORO3" s="13"/>
      <c r="ORP3" s="13"/>
      <c r="ORQ3" s="13"/>
      <c r="ORR3" s="13"/>
      <c r="ORS3" s="13"/>
      <c r="ORT3" s="13"/>
      <c r="ORU3" s="13"/>
      <c r="ORV3" s="13"/>
      <c r="ORW3" s="13"/>
      <c r="ORX3" s="13"/>
      <c r="ORY3" s="13"/>
      <c r="ORZ3" s="13"/>
      <c r="OSA3" s="13"/>
      <c r="OSB3" s="13"/>
      <c r="OSC3" s="13"/>
      <c r="OSD3" s="13"/>
      <c r="OSE3" s="13"/>
      <c r="OSF3" s="13"/>
      <c r="OSG3" s="13"/>
      <c r="OSH3" s="13"/>
      <c r="OSI3" s="13"/>
      <c r="OSJ3" s="13"/>
      <c r="OSK3" s="13"/>
      <c r="OSL3" s="13"/>
      <c r="OSM3" s="13"/>
      <c r="OSN3" s="13"/>
      <c r="OSO3" s="13"/>
      <c r="OSP3" s="13"/>
      <c r="OSQ3" s="13"/>
      <c r="OSR3" s="13"/>
      <c r="OSS3" s="13"/>
      <c r="OST3" s="13"/>
      <c r="OSU3" s="13"/>
      <c r="OSV3" s="13"/>
      <c r="OSW3" s="13"/>
      <c r="OSX3" s="13"/>
      <c r="OSY3" s="13"/>
      <c r="OSZ3" s="13"/>
      <c r="OTA3" s="13"/>
      <c r="OTB3" s="13"/>
      <c r="OTC3" s="13"/>
      <c r="OTD3" s="13"/>
      <c r="OTE3" s="13"/>
      <c r="OTF3" s="13"/>
      <c r="OTG3" s="13"/>
      <c r="OTH3" s="13"/>
      <c r="OTI3" s="13"/>
      <c r="OTJ3" s="13"/>
      <c r="OTK3" s="13"/>
      <c r="OTL3" s="13"/>
      <c r="OTM3" s="13"/>
      <c r="OTN3" s="13"/>
      <c r="OTO3" s="13"/>
      <c r="OTP3" s="13"/>
      <c r="OTQ3" s="13"/>
      <c r="OTR3" s="13"/>
      <c r="OTS3" s="13"/>
      <c r="OTT3" s="13"/>
      <c r="OTU3" s="13"/>
      <c r="OTV3" s="13"/>
      <c r="OTW3" s="13"/>
      <c r="OTX3" s="13"/>
      <c r="OTY3" s="13"/>
      <c r="OTZ3" s="13"/>
      <c r="OUA3" s="13"/>
      <c r="OUB3" s="13"/>
      <c r="OUC3" s="13"/>
      <c r="OUD3" s="13"/>
      <c r="OUE3" s="13"/>
      <c r="OUF3" s="13"/>
      <c r="OUG3" s="13"/>
      <c r="OUH3" s="13"/>
      <c r="OUI3" s="13"/>
      <c r="OUJ3" s="13"/>
      <c r="OUK3" s="13"/>
      <c r="OUL3" s="13"/>
      <c r="OUM3" s="13"/>
      <c r="OUN3" s="13"/>
      <c r="OUO3" s="13"/>
      <c r="OUP3" s="13"/>
      <c r="OUQ3" s="13"/>
      <c r="OUR3" s="13"/>
      <c r="OUS3" s="13"/>
      <c r="OUT3" s="13"/>
      <c r="OUU3" s="13"/>
      <c r="OUV3" s="13"/>
      <c r="OUW3" s="13"/>
      <c r="OUX3" s="13"/>
      <c r="OUY3" s="13"/>
      <c r="OUZ3" s="13"/>
      <c r="OVA3" s="13"/>
      <c r="OVB3" s="13"/>
      <c r="OVC3" s="13"/>
      <c r="OVD3" s="13"/>
      <c r="OVE3" s="13"/>
      <c r="OVF3" s="13"/>
      <c r="OVG3" s="13"/>
      <c r="OVH3" s="13"/>
      <c r="OVI3" s="13"/>
      <c r="OVJ3" s="13"/>
      <c r="OVK3" s="13"/>
      <c r="OVL3" s="13"/>
      <c r="OVM3" s="13"/>
      <c r="OVN3" s="13"/>
      <c r="OVO3" s="13"/>
      <c r="OVP3" s="13"/>
      <c r="OVQ3" s="13"/>
      <c r="OVR3" s="13"/>
      <c r="OVS3" s="13"/>
      <c r="OVT3" s="13"/>
      <c r="OVU3" s="13"/>
      <c r="OVV3" s="13"/>
      <c r="OVW3" s="13"/>
      <c r="OVX3" s="13"/>
      <c r="OVY3" s="13"/>
      <c r="OVZ3" s="13"/>
      <c r="OWA3" s="13"/>
      <c r="OWB3" s="13"/>
      <c r="OWC3" s="13"/>
      <c r="OWD3" s="13"/>
      <c r="OWE3" s="13"/>
      <c r="OWF3" s="13"/>
      <c r="OWG3" s="13"/>
      <c r="OWH3" s="13"/>
      <c r="OWI3" s="13"/>
      <c r="OWJ3" s="13"/>
      <c r="OWK3" s="13"/>
      <c r="OWL3" s="13"/>
      <c r="OWM3" s="13"/>
      <c r="OWN3" s="13"/>
      <c r="OWO3" s="13"/>
      <c r="OWP3" s="13"/>
      <c r="OWQ3" s="13"/>
      <c r="OWR3" s="13"/>
      <c r="OWS3" s="13"/>
      <c r="OWT3" s="13"/>
      <c r="OWU3" s="13"/>
      <c r="OWV3" s="13"/>
      <c r="OWW3" s="13"/>
      <c r="OWX3" s="13"/>
      <c r="OWY3" s="13"/>
      <c r="OWZ3" s="13"/>
      <c r="OXA3" s="13"/>
      <c r="OXB3" s="13"/>
      <c r="OXC3" s="13"/>
      <c r="OXD3" s="13"/>
      <c r="OXE3" s="13"/>
      <c r="OXF3" s="13"/>
      <c r="OXG3" s="13"/>
      <c r="OXH3" s="13"/>
      <c r="OXI3" s="13"/>
      <c r="OXJ3" s="13"/>
      <c r="OXK3" s="13"/>
      <c r="OXL3" s="13"/>
      <c r="OXM3" s="13"/>
      <c r="OXN3" s="13"/>
      <c r="OXO3" s="13"/>
      <c r="OXP3" s="13"/>
      <c r="OXQ3" s="13"/>
      <c r="OXR3" s="13"/>
      <c r="OXS3" s="13"/>
      <c r="OXT3" s="13"/>
      <c r="OXU3" s="13"/>
      <c r="OXV3" s="13"/>
      <c r="OXW3" s="13"/>
      <c r="OXX3" s="13"/>
      <c r="OXY3" s="13"/>
      <c r="OXZ3" s="13"/>
      <c r="OYA3" s="13"/>
      <c r="OYB3" s="13"/>
      <c r="OYC3" s="13"/>
      <c r="OYD3" s="13"/>
      <c r="OYE3" s="13"/>
      <c r="OYF3" s="13"/>
      <c r="OYG3" s="13"/>
      <c r="OYH3" s="13"/>
      <c r="OYI3" s="13"/>
      <c r="OYJ3" s="13"/>
      <c r="OYK3" s="13"/>
      <c r="OYL3" s="13"/>
      <c r="OYM3" s="13"/>
      <c r="OYN3" s="13"/>
      <c r="OYO3" s="13"/>
      <c r="OYP3" s="13"/>
      <c r="OYQ3" s="13"/>
      <c r="OYR3" s="13"/>
      <c r="OYS3" s="13"/>
      <c r="OYT3" s="13"/>
      <c r="OYU3" s="13"/>
      <c r="OYV3" s="13"/>
      <c r="OYW3" s="13"/>
      <c r="OYX3" s="13"/>
      <c r="OYY3" s="13"/>
      <c r="OYZ3" s="13"/>
      <c r="OZA3" s="13"/>
      <c r="OZB3" s="13"/>
      <c r="OZC3" s="13"/>
      <c r="OZD3" s="13"/>
      <c r="OZE3" s="13"/>
      <c r="OZF3" s="13"/>
      <c r="OZG3" s="13"/>
      <c r="OZH3" s="13"/>
      <c r="OZI3" s="13"/>
      <c r="OZJ3" s="13"/>
      <c r="OZK3" s="13"/>
      <c r="OZL3" s="13"/>
      <c r="OZM3" s="13"/>
      <c r="OZN3" s="13"/>
      <c r="OZO3" s="13"/>
      <c r="OZP3" s="13"/>
      <c r="OZQ3" s="13"/>
      <c r="OZR3" s="13"/>
      <c r="OZS3" s="13"/>
      <c r="OZT3" s="13"/>
      <c r="OZU3" s="13"/>
      <c r="OZV3" s="13"/>
      <c r="OZW3" s="13"/>
      <c r="OZX3" s="13"/>
      <c r="OZY3" s="13"/>
      <c r="OZZ3" s="13"/>
      <c r="PAA3" s="13"/>
      <c r="PAB3" s="13"/>
      <c r="PAC3" s="13"/>
      <c r="PAD3" s="13"/>
      <c r="PAE3" s="13"/>
      <c r="PAF3" s="13"/>
      <c r="PAG3" s="13"/>
      <c r="PAH3" s="13"/>
      <c r="PAI3" s="13"/>
      <c r="PAJ3" s="13"/>
      <c r="PAK3" s="13"/>
      <c r="PAL3" s="13"/>
      <c r="PAM3" s="13"/>
      <c r="PAN3" s="13"/>
      <c r="PAO3" s="13"/>
      <c r="PAP3" s="13"/>
      <c r="PAQ3" s="13"/>
      <c r="PAR3" s="13"/>
      <c r="PAS3" s="13"/>
      <c r="PAT3" s="13"/>
      <c r="PAU3" s="13"/>
      <c r="PAV3" s="13"/>
      <c r="PAW3" s="13"/>
      <c r="PAX3" s="13"/>
      <c r="PAY3" s="13"/>
      <c r="PAZ3" s="13"/>
      <c r="PBA3" s="13"/>
      <c r="PBB3" s="13"/>
      <c r="PBC3" s="13"/>
      <c r="PBD3" s="13"/>
      <c r="PBE3" s="13"/>
      <c r="PBF3" s="13"/>
      <c r="PBG3" s="13"/>
      <c r="PBH3" s="13"/>
      <c r="PBI3" s="13"/>
      <c r="PBJ3" s="13"/>
      <c r="PBK3" s="13"/>
      <c r="PBL3" s="13"/>
      <c r="PBM3" s="13"/>
      <c r="PBN3" s="13"/>
      <c r="PBO3" s="13"/>
      <c r="PBP3" s="13"/>
      <c r="PBQ3" s="13"/>
      <c r="PBR3" s="13"/>
      <c r="PBS3" s="13"/>
      <c r="PBT3" s="13"/>
      <c r="PBU3" s="13"/>
      <c r="PBV3" s="13"/>
      <c r="PBW3" s="13"/>
      <c r="PBX3" s="13"/>
      <c r="PBY3" s="13"/>
      <c r="PBZ3" s="13"/>
      <c r="PCA3" s="13"/>
      <c r="PCB3" s="13"/>
      <c r="PCC3" s="13"/>
      <c r="PCD3" s="13"/>
      <c r="PCE3" s="13"/>
      <c r="PCF3" s="13"/>
      <c r="PCG3" s="13"/>
      <c r="PCH3" s="13"/>
      <c r="PCI3" s="13"/>
      <c r="PCJ3" s="13"/>
      <c r="PCK3" s="13"/>
      <c r="PCL3" s="13"/>
      <c r="PCM3" s="13"/>
      <c r="PCN3" s="13"/>
      <c r="PCO3" s="13"/>
      <c r="PCP3" s="13"/>
      <c r="PCQ3" s="13"/>
      <c r="PCR3" s="13"/>
      <c r="PCS3" s="13"/>
      <c r="PCT3" s="13"/>
      <c r="PCU3" s="13"/>
      <c r="PCV3" s="13"/>
      <c r="PCW3" s="13"/>
      <c r="PCX3" s="13"/>
      <c r="PCY3" s="13"/>
      <c r="PCZ3" s="13"/>
      <c r="PDA3" s="13"/>
      <c r="PDB3" s="13"/>
      <c r="PDC3" s="13"/>
      <c r="PDD3" s="13"/>
      <c r="PDE3" s="13"/>
      <c r="PDF3" s="13"/>
      <c r="PDG3" s="13"/>
      <c r="PDH3" s="13"/>
      <c r="PDI3" s="13"/>
      <c r="PDJ3" s="13"/>
      <c r="PDK3" s="13"/>
      <c r="PDL3" s="13"/>
      <c r="PDM3" s="13"/>
      <c r="PDN3" s="13"/>
      <c r="PDO3" s="13"/>
      <c r="PDP3" s="13"/>
      <c r="PDQ3" s="13"/>
      <c r="PDR3" s="13"/>
      <c r="PDS3" s="13"/>
      <c r="PDT3" s="13"/>
      <c r="PDU3" s="13"/>
      <c r="PDV3" s="13"/>
      <c r="PDW3" s="13"/>
      <c r="PDX3" s="13"/>
      <c r="PDY3" s="13"/>
      <c r="PDZ3" s="13"/>
      <c r="PEA3" s="13"/>
      <c r="PEB3" s="13"/>
      <c r="PEC3" s="13"/>
      <c r="PED3" s="13"/>
      <c r="PEE3" s="13"/>
      <c r="PEF3" s="13"/>
      <c r="PEG3" s="13"/>
      <c r="PEH3" s="13"/>
      <c r="PEI3" s="13"/>
      <c r="PEJ3" s="13"/>
      <c r="PEK3" s="13"/>
      <c r="PEL3" s="13"/>
      <c r="PEM3" s="13"/>
      <c r="PEN3" s="13"/>
      <c r="PEO3" s="13"/>
      <c r="PEP3" s="13"/>
      <c r="PEQ3" s="13"/>
      <c r="PER3" s="13"/>
      <c r="PES3" s="13"/>
      <c r="PET3" s="13"/>
      <c r="PEU3" s="13"/>
      <c r="PEV3" s="13"/>
      <c r="PEW3" s="13"/>
      <c r="PEX3" s="13"/>
      <c r="PEY3" s="13"/>
      <c r="PEZ3" s="13"/>
      <c r="PFA3" s="13"/>
      <c r="PFB3" s="13"/>
      <c r="PFC3" s="13"/>
      <c r="PFD3" s="13"/>
      <c r="PFE3" s="13"/>
      <c r="PFF3" s="13"/>
      <c r="PFG3" s="13"/>
      <c r="PFH3" s="13"/>
      <c r="PFI3" s="13"/>
      <c r="PFJ3" s="13"/>
      <c r="PFK3" s="13"/>
      <c r="PFL3" s="13"/>
      <c r="PFM3" s="13"/>
      <c r="PFN3" s="13"/>
      <c r="PFO3" s="13"/>
      <c r="PFP3" s="13"/>
      <c r="PFQ3" s="13"/>
      <c r="PFR3" s="13"/>
      <c r="PFS3" s="13"/>
      <c r="PFT3" s="13"/>
      <c r="PFU3" s="13"/>
      <c r="PFV3" s="13"/>
      <c r="PFW3" s="13"/>
      <c r="PFX3" s="13"/>
      <c r="PFY3" s="13"/>
      <c r="PFZ3" s="13"/>
      <c r="PGA3" s="13"/>
      <c r="PGB3" s="13"/>
      <c r="PGC3" s="13"/>
      <c r="PGD3" s="13"/>
      <c r="PGE3" s="13"/>
      <c r="PGF3" s="13"/>
      <c r="PGG3" s="13"/>
      <c r="PGH3" s="13"/>
      <c r="PGI3" s="13"/>
      <c r="PGJ3" s="13"/>
      <c r="PGK3" s="13"/>
      <c r="PGL3" s="13"/>
      <c r="PGM3" s="13"/>
      <c r="PGN3" s="13"/>
      <c r="PGO3" s="13"/>
      <c r="PGP3" s="13"/>
      <c r="PGQ3" s="13"/>
      <c r="PGR3" s="13"/>
      <c r="PGS3" s="13"/>
      <c r="PGT3" s="13"/>
      <c r="PGU3" s="13"/>
      <c r="PGV3" s="13"/>
      <c r="PGW3" s="13"/>
      <c r="PGX3" s="13"/>
      <c r="PGY3" s="13"/>
      <c r="PGZ3" s="13"/>
      <c r="PHA3" s="13"/>
      <c r="PHB3" s="13"/>
      <c r="PHC3" s="13"/>
      <c r="PHD3" s="13"/>
      <c r="PHE3" s="13"/>
      <c r="PHF3" s="13"/>
      <c r="PHG3" s="13"/>
      <c r="PHH3" s="13"/>
      <c r="PHI3" s="13"/>
      <c r="PHJ3" s="13"/>
      <c r="PHK3" s="13"/>
      <c r="PHL3" s="13"/>
      <c r="PHM3" s="13"/>
      <c r="PHN3" s="13"/>
      <c r="PHO3" s="13"/>
      <c r="PHP3" s="13"/>
      <c r="PHQ3" s="13"/>
      <c r="PHR3" s="13"/>
      <c r="PHS3" s="13"/>
      <c r="PHT3" s="13"/>
      <c r="PHU3" s="13"/>
      <c r="PHV3" s="13"/>
      <c r="PHW3" s="13"/>
      <c r="PHX3" s="13"/>
      <c r="PHY3" s="13"/>
      <c r="PHZ3" s="13"/>
      <c r="PIA3" s="13"/>
      <c r="PIB3" s="13"/>
      <c r="PIC3" s="13"/>
      <c r="PID3" s="13"/>
      <c r="PIE3" s="13"/>
      <c r="PIF3" s="13"/>
      <c r="PIG3" s="13"/>
      <c r="PIH3" s="13"/>
      <c r="PII3" s="13"/>
      <c r="PIJ3" s="13"/>
      <c r="PIK3" s="13"/>
      <c r="PIL3" s="13"/>
      <c r="PIM3" s="13"/>
      <c r="PIN3" s="13"/>
      <c r="PIO3" s="13"/>
      <c r="PIP3" s="13"/>
      <c r="PIQ3" s="13"/>
      <c r="PIR3" s="13"/>
      <c r="PIS3" s="13"/>
      <c r="PIT3" s="13"/>
      <c r="PIU3" s="13"/>
      <c r="PIV3" s="13"/>
      <c r="PIW3" s="13"/>
      <c r="PIX3" s="13"/>
      <c r="PIY3" s="13"/>
      <c r="PIZ3" s="13"/>
      <c r="PJA3" s="13"/>
      <c r="PJB3" s="13"/>
      <c r="PJC3" s="13"/>
      <c r="PJD3" s="13"/>
      <c r="PJE3" s="13"/>
      <c r="PJF3" s="13"/>
      <c r="PJG3" s="13"/>
      <c r="PJH3" s="13"/>
      <c r="PJI3" s="13"/>
      <c r="PJJ3" s="13"/>
      <c r="PJK3" s="13"/>
      <c r="PJL3" s="13"/>
      <c r="PJM3" s="13"/>
      <c r="PJN3" s="13"/>
      <c r="PJO3" s="13"/>
      <c r="PJP3" s="13"/>
      <c r="PJQ3" s="13"/>
      <c r="PJR3" s="13"/>
      <c r="PJS3" s="13"/>
      <c r="PJT3" s="13"/>
      <c r="PJU3" s="13"/>
      <c r="PJV3" s="13"/>
      <c r="PJW3" s="13"/>
      <c r="PJX3" s="13"/>
      <c r="PJY3" s="13"/>
      <c r="PJZ3" s="13"/>
      <c r="PKA3" s="13"/>
      <c r="PKB3" s="13"/>
      <c r="PKC3" s="13"/>
      <c r="PKD3" s="13"/>
      <c r="PKE3" s="13"/>
      <c r="PKF3" s="13"/>
      <c r="PKG3" s="13"/>
      <c r="PKH3" s="13"/>
      <c r="PKI3" s="13"/>
      <c r="PKJ3" s="13"/>
      <c r="PKK3" s="13"/>
      <c r="PKL3" s="13"/>
      <c r="PKM3" s="13"/>
      <c r="PKN3" s="13"/>
      <c r="PKO3" s="13"/>
      <c r="PKP3" s="13"/>
      <c r="PKQ3" s="13"/>
      <c r="PKR3" s="13"/>
      <c r="PKS3" s="13"/>
      <c r="PKT3" s="13"/>
      <c r="PKU3" s="13"/>
      <c r="PKV3" s="13"/>
      <c r="PKW3" s="13"/>
      <c r="PKX3" s="13"/>
      <c r="PKY3" s="13"/>
      <c r="PKZ3" s="13"/>
      <c r="PLA3" s="13"/>
      <c r="PLB3" s="13"/>
      <c r="PLC3" s="13"/>
      <c r="PLD3" s="13"/>
      <c r="PLE3" s="13"/>
      <c r="PLF3" s="13"/>
      <c r="PLG3" s="13"/>
      <c r="PLH3" s="13"/>
      <c r="PLI3" s="13"/>
      <c r="PLJ3" s="13"/>
      <c r="PLK3" s="13"/>
      <c r="PLL3" s="13"/>
      <c r="PLM3" s="13"/>
      <c r="PLN3" s="13"/>
      <c r="PLO3" s="13"/>
      <c r="PLP3" s="13"/>
      <c r="PLQ3" s="13"/>
      <c r="PLR3" s="13"/>
      <c r="PLS3" s="13"/>
      <c r="PLT3" s="13"/>
      <c r="PLU3" s="13"/>
      <c r="PLV3" s="13"/>
      <c r="PLW3" s="13"/>
      <c r="PLX3" s="13"/>
      <c r="PLY3" s="13"/>
      <c r="PLZ3" s="13"/>
      <c r="PMA3" s="13"/>
      <c r="PMB3" s="13"/>
      <c r="PMC3" s="13"/>
      <c r="PMD3" s="13"/>
      <c r="PME3" s="13"/>
      <c r="PMF3" s="13"/>
      <c r="PMG3" s="13"/>
      <c r="PMH3" s="13"/>
      <c r="PMI3" s="13"/>
      <c r="PMJ3" s="13"/>
      <c r="PMK3" s="13"/>
      <c r="PML3" s="13"/>
      <c r="PMM3" s="13"/>
      <c r="PMN3" s="13"/>
      <c r="PMO3" s="13"/>
      <c r="PMP3" s="13"/>
      <c r="PMQ3" s="13"/>
      <c r="PMR3" s="13"/>
      <c r="PMS3" s="13"/>
      <c r="PMT3" s="13"/>
      <c r="PMU3" s="13"/>
      <c r="PMV3" s="13"/>
      <c r="PMW3" s="13"/>
      <c r="PMX3" s="13"/>
      <c r="PMY3" s="13"/>
      <c r="PMZ3" s="13"/>
      <c r="PNA3" s="13"/>
      <c r="PNB3" s="13"/>
      <c r="PNC3" s="13"/>
      <c r="PND3" s="13"/>
      <c r="PNE3" s="13"/>
      <c r="PNF3" s="13"/>
      <c r="PNG3" s="13"/>
      <c r="PNH3" s="13"/>
      <c r="PNI3" s="13"/>
      <c r="PNJ3" s="13"/>
      <c r="PNK3" s="13"/>
      <c r="PNL3" s="13"/>
      <c r="PNM3" s="13"/>
      <c r="PNN3" s="13"/>
      <c r="PNO3" s="13"/>
      <c r="PNP3" s="13"/>
      <c r="PNQ3" s="13"/>
      <c r="PNR3" s="13"/>
      <c r="PNS3" s="13"/>
      <c r="PNT3" s="13"/>
      <c r="PNU3" s="13"/>
      <c r="PNV3" s="13"/>
      <c r="PNW3" s="13"/>
      <c r="PNX3" s="13"/>
      <c r="PNY3" s="13"/>
      <c r="PNZ3" s="13"/>
      <c r="POA3" s="13"/>
      <c r="POB3" s="13"/>
      <c r="POC3" s="13"/>
      <c r="POD3" s="13"/>
      <c r="POE3" s="13"/>
      <c r="POF3" s="13"/>
      <c r="POG3" s="13"/>
      <c r="POH3" s="13"/>
      <c r="POI3" s="13"/>
      <c r="POJ3" s="13"/>
      <c r="POK3" s="13"/>
      <c r="POL3" s="13"/>
      <c r="POM3" s="13"/>
      <c r="PON3" s="13"/>
      <c r="POO3" s="13"/>
      <c r="POP3" s="13"/>
      <c r="POQ3" s="13"/>
      <c r="POR3" s="13"/>
      <c r="POS3" s="13"/>
      <c r="POT3" s="13"/>
      <c r="POU3" s="13"/>
      <c r="POV3" s="13"/>
      <c r="POW3" s="13"/>
      <c r="POX3" s="13"/>
      <c r="POY3" s="13"/>
      <c r="POZ3" s="13"/>
      <c r="PPA3" s="13"/>
      <c r="PPB3" s="13"/>
      <c r="PPC3" s="13"/>
      <c r="PPD3" s="13"/>
      <c r="PPE3" s="13"/>
      <c r="PPF3" s="13"/>
      <c r="PPG3" s="13"/>
      <c r="PPH3" s="13"/>
      <c r="PPI3" s="13"/>
      <c r="PPJ3" s="13"/>
      <c r="PPK3" s="13"/>
      <c r="PPL3" s="13"/>
      <c r="PPM3" s="13"/>
      <c r="PPN3" s="13"/>
      <c r="PPO3" s="13"/>
      <c r="PPP3" s="13"/>
      <c r="PPQ3" s="13"/>
      <c r="PPR3" s="13"/>
      <c r="PPS3" s="13"/>
      <c r="PPT3" s="13"/>
      <c r="PPU3" s="13"/>
      <c r="PPV3" s="13"/>
      <c r="PPW3" s="13"/>
      <c r="PPX3" s="13"/>
      <c r="PPY3" s="13"/>
      <c r="PPZ3" s="13"/>
      <c r="PQA3" s="13"/>
      <c r="PQB3" s="13"/>
      <c r="PQC3" s="13"/>
      <c r="PQD3" s="13"/>
      <c r="PQE3" s="13"/>
      <c r="PQF3" s="13"/>
      <c r="PQG3" s="13"/>
      <c r="PQH3" s="13"/>
      <c r="PQI3" s="13"/>
      <c r="PQJ3" s="13"/>
      <c r="PQK3" s="13"/>
      <c r="PQL3" s="13"/>
      <c r="PQM3" s="13"/>
      <c r="PQN3" s="13"/>
      <c r="PQO3" s="13"/>
      <c r="PQP3" s="13"/>
      <c r="PQQ3" s="13"/>
      <c r="PQR3" s="13"/>
      <c r="PQS3" s="13"/>
      <c r="PQT3" s="13"/>
      <c r="PQU3" s="13"/>
      <c r="PQV3" s="13"/>
      <c r="PQW3" s="13"/>
      <c r="PQX3" s="13"/>
      <c r="PQY3" s="13"/>
      <c r="PQZ3" s="13"/>
      <c r="PRA3" s="13"/>
      <c r="PRB3" s="13"/>
      <c r="PRC3" s="13"/>
      <c r="PRD3" s="13"/>
      <c r="PRE3" s="13"/>
      <c r="PRF3" s="13"/>
      <c r="PRG3" s="13"/>
      <c r="PRH3" s="13"/>
      <c r="PRI3" s="13"/>
      <c r="PRJ3" s="13"/>
      <c r="PRK3" s="13"/>
      <c r="PRL3" s="13"/>
      <c r="PRM3" s="13"/>
      <c r="PRN3" s="13"/>
      <c r="PRO3" s="13"/>
      <c r="PRP3" s="13"/>
      <c r="PRQ3" s="13"/>
      <c r="PRR3" s="13"/>
      <c r="PRS3" s="13"/>
      <c r="PRT3" s="13"/>
      <c r="PRU3" s="13"/>
      <c r="PRV3" s="13"/>
      <c r="PRW3" s="13"/>
      <c r="PRX3" s="13"/>
      <c r="PRY3" s="13"/>
      <c r="PRZ3" s="13"/>
      <c r="PSA3" s="13"/>
      <c r="PSB3" s="13"/>
      <c r="PSC3" s="13"/>
      <c r="PSD3" s="13"/>
      <c r="PSE3" s="13"/>
      <c r="PSF3" s="13"/>
      <c r="PSG3" s="13"/>
      <c r="PSH3" s="13"/>
      <c r="PSI3" s="13"/>
      <c r="PSJ3" s="13"/>
      <c r="PSK3" s="13"/>
      <c r="PSL3" s="13"/>
      <c r="PSM3" s="13"/>
      <c r="PSN3" s="13"/>
      <c r="PSO3" s="13"/>
      <c r="PSP3" s="13"/>
      <c r="PSQ3" s="13"/>
      <c r="PSR3" s="13"/>
      <c r="PSS3" s="13"/>
      <c r="PST3" s="13"/>
      <c r="PSU3" s="13"/>
      <c r="PSV3" s="13"/>
      <c r="PSW3" s="13"/>
      <c r="PSX3" s="13"/>
      <c r="PSY3" s="13"/>
      <c r="PSZ3" s="13"/>
      <c r="PTA3" s="13"/>
      <c r="PTB3" s="13"/>
      <c r="PTC3" s="13"/>
      <c r="PTD3" s="13"/>
      <c r="PTE3" s="13"/>
      <c r="PTF3" s="13"/>
      <c r="PTG3" s="13"/>
      <c r="PTH3" s="13"/>
      <c r="PTI3" s="13"/>
      <c r="PTJ3" s="13"/>
      <c r="PTK3" s="13"/>
      <c r="PTL3" s="13"/>
      <c r="PTM3" s="13"/>
      <c r="PTN3" s="13"/>
      <c r="PTO3" s="13"/>
      <c r="PTP3" s="13"/>
      <c r="PTQ3" s="13"/>
      <c r="PTR3" s="13"/>
      <c r="PTS3" s="13"/>
      <c r="PTT3" s="13"/>
      <c r="PTU3" s="13"/>
      <c r="PTV3" s="13"/>
      <c r="PTW3" s="13"/>
      <c r="PTX3" s="13"/>
      <c r="PTY3" s="13"/>
      <c r="PTZ3" s="13"/>
      <c r="PUA3" s="13"/>
      <c r="PUB3" s="13"/>
      <c r="PUC3" s="13"/>
      <c r="PUD3" s="13"/>
      <c r="PUE3" s="13"/>
      <c r="PUF3" s="13"/>
      <c r="PUG3" s="13"/>
      <c r="PUH3" s="13"/>
      <c r="PUI3" s="13"/>
      <c r="PUJ3" s="13"/>
      <c r="PUK3" s="13"/>
      <c r="PUL3" s="13"/>
      <c r="PUM3" s="13"/>
      <c r="PUN3" s="13"/>
      <c r="PUO3" s="13"/>
      <c r="PUP3" s="13"/>
      <c r="PUQ3" s="13"/>
      <c r="PUR3" s="13"/>
      <c r="PUS3" s="13"/>
      <c r="PUT3" s="13"/>
      <c r="PUU3" s="13"/>
      <c r="PUV3" s="13"/>
      <c r="PUW3" s="13"/>
      <c r="PUX3" s="13"/>
      <c r="PUY3" s="13"/>
      <c r="PUZ3" s="13"/>
      <c r="PVA3" s="13"/>
      <c r="PVB3" s="13"/>
      <c r="PVC3" s="13"/>
      <c r="PVD3" s="13"/>
      <c r="PVE3" s="13"/>
      <c r="PVF3" s="13"/>
      <c r="PVG3" s="13"/>
      <c r="PVH3" s="13"/>
      <c r="PVI3" s="13"/>
      <c r="PVJ3" s="13"/>
      <c r="PVK3" s="13"/>
      <c r="PVL3" s="13"/>
      <c r="PVM3" s="13"/>
      <c r="PVN3" s="13"/>
      <c r="PVO3" s="13"/>
      <c r="PVP3" s="13"/>
      <c r="PVQ3" s="13"/>
      <c r="PVR3" s="13"/>
      <c r="PVS3" s="13"/>
      <c r="PVT3" s="13"/>
      <c r="PVU3" s="13"/>
      <c r="PVV3" s="13"/>
      <c r="PVW3" s="13"/>
      <c r="PVX3" s="13"/>
      <c r="PVY3" s="13"/>
      <c r="PVZ3" s="13"/>
      <c r="PWA3" s="13"/>
      <c r="PWB3" s="13"/>
      <c r="PWC3" s="13"/>
      <c r="PWD3" s="13"/>
      <c r="PWE3" s="13"/>
      <c r="PWF3" s="13"/>
      <c r="PWG3" s="13"/>
      <c r="PWH3" s="13"/>
      <c r="PWI3" s="13"/>
      <c r="PWJ3" s="13"/>
      <c r="PWK3" s="13"/>
      <c r="PWL3" s="13"/>
      <c r="PWM3" s="13"/>
      <c r="PWN3" s="13"/>
      <c r="PWO3" s="13"/>
      <c r="PWP3" s="13"/>
      <c r="PWQ3" s="13"/>
      <c r="PWR3" s="13"/>
      <c r="PWS3" s="13"/>
      <c r="PWT3" s="13"/>
      <c r="PWU3" s="13"/>
      <c r="PWV3" s="13"/>
      <c r="PWW3" s="13"/>
      <c r="PWX3" s="13"/>
      <c r="PWY3" s="13"/>
      <c r="PWZ3" s="13"/>
      <c r="PXA3" s="13"/>
      <c r="PXB3" s="13"/>
      <c r="PXC3" s="13"/>
      <c r="PXD3" s="13"/>
      <c r="PXE3" s="13"/>
      <c r="PXF3" s="13"/>
      <c r="PXG3" s="13"/>
      <c r="PXH3" s="13"/>
      <c r="PXI3" s="13"/>
      <c r="PXJ3" s="13"/>
      <c r="PXK3" s="13"/>
      <c r="PXL3" s="13"/>
      <c r="PXM3" s="13"/>
      <c r="PXN3" s="13"/>
      <c r="PXO3" s="13"/>
      <c r="PXP3" s="13"/>
      <c r="PXQ3" s="13"/>
      <c r="PXR3" s="13"/>
      <c r="PXS3" s="13"/>
      <c r="PXT3" s="13"/>
      <c r="PXU3" s="13"/>
      <c r="PXV3" s="13"/>
      <c r="PXW3" s="13"/>
      <c r="PXX3" s="13"/>
      <c r="PXY3" s="13"/>
      <c r="PXZ3" s="13"/>
      <c r="PYA3" s="13"/>
      <c r="PYB3" s="13"/>
      <c r="PYC3" s="13"/>
      <c r="PYD3" s="13"/>
      <c r="PYE3" s="13"/>
      <c r="PYF3" s="13"/>
      <c r="PYG3" s="13"/>
      <c r="PYH3" s="13"/>
      <c r="PYI3" s="13"/>
      <c r="PYJ3" s="13"/>
      <c r="PYK3" s="13"/>
      <c r="PYL3" s="13"/>
      <c r="PYM3" s="13"/>
      <c r="PYN3" s="13"/>
      <c r="PYO3" s="13"/>
      <c r="PYP3" s="13"/>
      <c r="PYQ3" s="13"/>
      <c r="PYR3" s="13"/>
      <c r="PYS3" s="13"/>
      <c r="PYT3" s="13"/>
      <c r="PYU3" s="13"/>
      <c r="PYV3" s="13"/>
      <c r="PYW3" s="13"/>
      <c r="PYX3" s="13"/>
      <c r="PYY3" s="13"/>
      <c r="PYZ3" s="13"/>
      <c r="PZA3" s="13"/>
      <c r="PZB3" s="13"/>
      <c r="PZC3" s="13"/>
      <c r="PZD3" s="13"/>
      <c r="PZE3" s="13"/>
      <c r="PZF3" s="13"/>
      <c r="PZG3" s="13"/>
      <c r="PZH3" s="13"/>
      <c r="PZI3" s="13"/>
      <c r="PZJ3" s="13"/>
      <c r="PZK3" s="13"/>
      <c r="PZL3" s="13"/>
      <c r="PZM3" s="13"/>
      <c r="PZN3" s="13"/>
      <c r="PZO3" s="13"/>
      <c r="PZP3" s="13"/>
      <c r="PZQ3" s="13"/>
      <c r="PZR3" s="13"/>
      <c r="PZS3" s="13"/>
      <c r="PZT3" s="13"/>
      <c r="PZU3" s="13"/>
      <c r="PZV3" s="13"/>
      <c r="PZW3" s="13"/>
      <c r="PZX3" s="13"/>
      <c r="PZY3" s="13"/>
      <c r="PZZ3" s="13"/>
      <c r="QAA3" s="13"/>
      <c r="QAB3" s="13"/>
      <c r="QAC3" s="13"/>
      <c r="QAD3" s="13"/>
      <c r="QAE3" s="13"/>
      <c r="QAF3" s="13"/>
      <c r="QAG3" s="13"/>
      <c r="QAH3" s="13"/>
      <c r="QAI3" s="13"/>
      <c r="QAJ3" s="13"/>
      <c r="QAK3" s="13"/>
      <c r="QAL3" s="13"/>
      <c r="QAM3" s="13"/>
      <c r="QAN3" s="13"/>
      <c r="QAO3" s="13"/>
      <c r="QAP3" s="13"/>
      <c r="QAQ3" s="13"/>
      <c r="QAR3" s="13"/>
      <c r="QAS3" s="13"/>
      <c r="QAT3" s="13"/>
      <c r="QAU3" s="13"/>
      <c r="QAV3" s="13"/>
      <c r="QAW3" s="13"/>
      <c r="QAX3" s="13"/>
      <c r="QAY3" s="13"/>
      <c r="QAZ3" s="13"/>
      <c r="QBA3" s="13"/>
      <c r="QBB3" s="13"/>
      <c r="QBC3" s="13"/>
      <c r="QBD3" s="13"/>
      <c r="QBE3" s="13"/>
      <c r="QBF3" s="13"/>
      <c r="QBG3" s="13"/>
      <c r="QBH3" s="13"/>
      <c r="QBI3" s="13"/>
      <c r="QBJ3" s="13"/>
      <c r="QBK3" s="13"/>
      <c r="QBL3" s="13"/>
      <c r="QBM3" s="13"/>
      <c r="QBN3" s="13"/>
      <c r="QBO3" s="13"/>
      <c r="QBP3" s="13"/>
      <c r="QBQ3" s="13"/>
      <c r="QBR3" s="13"/>
      <c r="QBS3" s="13"/>
      <c r="QBT3" s="13"/>
      <c r="QBU3" s="13"/>
      <c r="QBV3" s="13"/>
      <c r="QBW3" s="13"/>
      <c r="QBX3" s="13"/>
      <c r="QBY3" s="13"/>
      <c r="QBZ3" s="13"/>
      <c r="QCA3" s="13"/>
      <c r="QCB3" s="13"/>
      <c r="QCC3" s="13"/>
      <c r="QCD3" s="13"/>
      <c r="QCE3" s="13"/>
      <c r="QCF3" s="13"/>
      <c r="QCG3" s="13"/>
      <c r="QCH3" s="13"/>
      <c r="QCI3" s="13"/>
      <c r="QCJ3" s="13"/>
      <c r="QCK3" s="13"/>
      <c r="QCL3" s="13"/>
      <c r="QCM3" s="13"/>
      <c r="QCN3" s="13"/>
      <c r="QCO3" s="13"/>
      <c r="QCP3" s="13"/>
      <c r="QCQ3" s="13"/>
      <c r="QCR3" s="13"/>
      <c r="QCS3" s="13"/>
      <c r="QCT3" s="13"/>
      <c r="QCU3" s="13"/>
      <c r="QCV3" s="13"/>
      <c r="QCW3" s="13"/>
      <c r="QCX3" s="13"/>
      <c r="QCY3" s="13"/>
      <c r="QCZ3" s="13"/>
      <c r="QDA3" s="13"/>
      <c r="QDB3" s="13"/>
      <c r="QDC3" s="13"/>
      <c r="QDD3" s="13"/>
      <c r="QDE3" s="13"/>
      <c r="QDF3" s="13"/>
      <c r="QDG3" s="13"/>
      <c r="QDH3" s="13"/>
      <c r="QDI3" s="13"/>
      <c r="QDJ3" s="13"/>
      <c r="QDK3" s="13"/>
      <c r="QDL3" s="13"/>
      <c r="QDM3" s="13"/>
      <c r="QDN3" s="13"/>
      <c r="QDO3" s="13"/>
      <c r="QDP3" s="13"/>
      <c r="QDQ3" s="13"/>
      <c r="QDR3" s="13"/>
      <c r="QDS3" s="13"/>
      <c r="QDT3" s="13"/>
      <c r="QDU3" s="13"/>
      <c r="QDV3" s="13"/>
      <c r="QDW3" s="13"/>
      <c r="QDX3" s="13"/>
      <c r="QDY3" s="13"/>
      <c r="QDZ3" s="13"/>
      <c r="QEA3" s="13"/>
      <c r="QEB3" s="13"/>
      <c r="QEC3" s="13"/>
      <c r="QED3" s="13"/>
      <c r="QEE3" s="13"/>
      <c r="QEF3" s="13"/>
      <c r="QEG3" s="13"/>
      <c r="QEH3" s="13"/>
      <c r="QEI3" s="13"/>
      <c r="QEJ3" s="13"/>
      <c r="QEK3" s="13"/>
      <c r="QEL3" s="13"/>
      <c r="QEM3" s="13"/>
      <c r="QEN3" s="13"/>
      <c r="QEO3" s="13"/>
      <c r="QEP3" s="13"/>
      <c r="QEQ3" s="13"/>
      <c r="QER3" s="13"/>
      <c r="QES3" s="13"/>
      <c r="QET3" s="13"/>
      <c r="QEU3" s="13"/>
      <c r="QEV3" s="13"/>
      <c r="QEW3" s="13"/>
      <c r="QEX3" s="13"/>
      <c r="QEY3" s="13"/>
      <c r="QEZ3" s="13"/>
      <c r="QFA3" s="13"/>
      <c r="QFB3" s="13"/>
      <c r="QFC3" s="13"/>
      <c r="QFD3" s="13"/>
      <c r="QFE3" s="13"/>
      <c r="QFF3" s="13"/>
      <c r="QFG3" s="13"/>
      <c r="QFH3" s="13"/>
      <c r="QFI3" s="13"/>
      <c r="QFJ3" s="13"/>
      <c r="QFK3" s="13"/>
      <c r="QFL3" s="13"/>
      <c r="QFM3" s="13"/>
      <c r="QFN3" s="13"/>
      <c r="QFO3" s="13"/>
      <c r="QFP3" s="13"/>
      <c r="QFQ3" s="13"/>
      <c r="QFR3" s="13"/>
      <c r="QFS3" s="13"/>
      <c r="QFT3" s="13"/>
      <c r="QFU3" s="13"/>
      <c r="QFV3" s="13"/>
      <c r="QFW3" s="13"/>
      <c r="QFX3" s="13"/>
      <c r="QFY3" s="13"/>
      <c r="QFZ3" s="13"/>
      <c r="QGA3" s="13"/>
      <c r="QGB3" s="13"/>
      <c r="QGC3" s="13"/>
      <c r="QGD3" s="13"/>
      <c r="QGE3" s="13"/>
      <c r="QGF3" s="13"/>
      <c r="QGG3" s="13"/>
      <c r="QGH3" s="13"/>
      <c r="QGI3" s="13"/>
      <c r="QGJ3" s="13"/>
      <c r="QGK3" s="13"/>
      <c r="QGL3" s="13"/>
      <c r="QGM3" s="13"/>
      <c r="QGN3" s="13"/>
      <c r="QGO3" s="13"/>
      <c r="QGP3" s="13"/>
      <c r="QGQ3" s="13"/>
      <c r="QGR3" s="13"/>
      <c r="QGS3" s="13"/>
      <c r="QGT3" s="13"/>
      <c r="QGU3" s="13"/>
      <c r="QGV3" s="13"/>
      <c r="QGW3" s="13"/>
      <c r="QGX3" s="13"/>
      <c r="QGY3" s="13"/>
      <c r="QGZ3" s="13"/>
      <c r="QHA3" s="13"/>
      <c r="QHB3" s="13"/>
      <c r="QHC3" s="13"/>
      <c r="QHD3" s="13"/>
      <c r="QHE3" s="13"/>
      <c r="QHF3" s="13"/>
      <c r="QHG3" s="13"/>
      <c r="QHH3" s="13"/>
      <c r="QHI3" s="13"/>
      <c r="QHJ3" s="13"/>
      <c r="QHK3" s="13"/>
      <c r="QHL3" s="13"/>
      <c r="QHM3" s="13"/>
      <c r="QHN3" s="13"/>
      <c r="QHO3" s="13"/>
      <c r="QHP3" s="13"/>
      <c r="QHQ3" s="13"/>
      <c r="QHR3" s="13"/>
      <c r="QHS3" s="13"/>
      <c r="QHT3" s="13"/>
      <c r="QHU3" s="13"/>
      <c r="QHV3" s="13"/>
      <c r="QHW3" s="13"/>
      <c r="QHX3" s="13"/>
      <c r="QHY3" s="13"/>
      <c r="QHZ3" s="13"/>
      <c r="QIA3" s="13"/>
      <c r="QIB3" s="13"/>
      <c r="QIC3" s="13"/>
      <c r="QID3" s="13"/>
      <c r="QIE3" s="13"/>
      <c r="QIF3" s="13"/>
      <c r="QIG3" s="13"/>
      <c r="QIH3" s="13"/>
      <c r="QII3" s="13"/>
      <c r="QIJ3" s="13"/>
      <c r="QIK3" s="13"/>
      <c r="QIL3" s="13"/>
      <c r="QIM3" s="13"/>
      <c r="QIN3" s="13"/>
      <c r="QIO3" s="13"/>
      <c r="QIP3" s="13"/>
      <c r="QIQ3" s="13"/>
      <c r="QIR3" s="13"/>
      <c r="QIS3" s="13"/>
      <c r="QIT3" s="13"/>
      <c r="QIU3" s="13"/>
      <c r="QIV3" s="13"/>
      <c r="QIW3" s="13"/>
      <c r="QIX3" s="13"/>
      <c r="QIY3" s="13"/>
      <c r="QIZ3" s="13"/>
      <c r="QJA3" s="13"/>
      <c r="QJB3" s="13"/>
      <c r="QJC3" s="13"/>
      <c r="QJD3" s="13"/>
      <c r="QJE3" s="13"/>
      <c r="QJF3" s="13"/>
      <c r="QJG3" s="13"/>
      <c r="QJH3" s="13"/>
      <c r="QJI3" s="13"/>
      <c r="QJJ3" s="13"/>
      <c r="QJK3" s="13"/>
      <c r="QJL3" s="13"/>
      <c r="QJM3" s="13"/>
      <c r="QJN3" s="13"/>
      <c r="QJO3" s="13"/>
      <c r="QJP3" s="13"/>
      <c r="QJQ3" s="13"/>
      <c r="QJR3" s="13"/>
      <c r="QJS3" s="13"/>
      <c r="QJT3" s="13"/>
      <c r="QJU3" s="13"/>
      <c r="QJV3" s="13"/>
      <c r="QJW3" s="13"/>
      <c r="QJX3" s="13"/>
      <c r="QJY3" s="13"/>
      <c r="QJZ3" s="13"/>
      <c r="QKA3" s="13"/>
      <c r="QKB3" s="13"/>
      <c r="QKC3" s="13"/>
      <c r="QKD3" s="13"/>
      <c r="QKE3" s="13"/>
      <c r="QKF3" s="13"/>
      <c r="QKG3" s="13"/>
      <c r="QKH3" s="13"/>
      <c r="QKI3" s="13"/>
      <c r="QKJ3" s="13"/>
      <c r="QKK3" s="13"/>
      <c r="QKL3" s="13"/>
      <c r="QKM3" s="13"/>
      <c r="QKN3" s="13"/>
      <c r="QKO3" s="13"/>
      <c r="QKP3" s="13"/>
      <c r="QKQ3" s="13"/>
      <c r="QKR3" s="13"/>
      <c r="QKS3" s="13"/>
      <c r="QKT3" s="13"/>
      <c r="QKU3" s="13"/>
      <c r="QKV3" s="13"/>
      <c r="QKW3" s="13"/>
      <c r="QKX3" s="13"/>
      <c r="QKY3" s="13"/>
      <c r="QKZ3" s="13"/>
      <c r="QLA3" s="13"/>
      <c r="QLB3" s="13"/>
      <c r="QLC3" s="13"/>
      <c r="QLD3" s="13"/>
      <c r="QLE3" s="13"/>
      <c r="QLF3" s="13"/>
      <c r="QLG3" s="13"/>
      <c r="QLH3" s="13"/>
      <c r="QLI3" s="13"/>
      <c r="QLJ3" s="13"/>
      <c r="QLK3" s="13"/>
      <c r="QLL3" s="13"/>
      <c r="QLM3" s="13"/>
      <c r="QLN3" s="13"/>
      <c r="QLO3" s="13"/>
      <c r="QLP3" s="13"/>
      <c r="QLQ3" s="13"/>
      <c r="QLR3" s="13"/>
      <c r="QLS3" s="13"/>
      <c r="QLT3" s="13"/>
      <c r="QLU3" s="13"/>
      <c r="QLV3" s="13"/>
      <c r="QLW3" s="13"/>
      <c r="QLX3" s="13"/>
      <c r="QLY3" s="13"/>
      <c r="QLZ3" s="13"/>
      <c r="QMA3" s="13"/>
      <c r="QMB3" s="13"/>
      <c r="QMC3" s="13"/>
      <c r="QMD3" s="13"/>
      <c r="QME3" s="13"/>
      <c r="QMF3" s="13"/>
      <c r="QMG3" s="13"/>
      <c r="QMH3" s="13"/>
      <c r="QMI3" s="13"/>
      <c r="QMJ3" s="13"/>
      <c r="QMK3" s="13"/>
      <c r="QML3" s="13"/>
      <c r="QMM3" s="13"/>
      <c r="QMN3" s="13"/>
      <c r="QMO3" s="13"/>
      <c r="QMP3" s="13"/>
      <c r="QMQ3" s="13"/>
      <c r="QMR3" s="13"/>
      <c r="QMS3" s="13"/>
      <c r="QMT3" s="13"/>
      <c r="QMU3" s="13"/>
      <c r="QMV3" s="13"/>
      <c r="QMW3" s="13"/>
      <c r="QMX3" s="13"/>
      <c r="QMY3" s="13"/>
      <c r="QMZ3" s="13"/>
      <c r="QNA3" s="13"/>
      <c r="QNB3" s="13"/>
      <c r="QNC3" s="13"/>
      <c r="QND3" s="13"/>
      <c r="QNE3" s="13"/>
      <c r="QNF3" s="13"/>
      <c r="QNG3" s="13"/>
      <c r="QNH3" s="13"/>
      <c r="QNI3" s="13"/>
      <c r="QNJ3" s="13"/>
      <c r="QNK3" s="13"/>
      <c r="QNL3" s="13"/>
      <c r="QNM3" s="13"/>
      <c r="QNN3" s="13"/>
      <c r="QNO3" s="13"/>
      <c r="QNP3" s="13"/>
      <c r="QNQ3" s="13"/>
      <c r="QNR3" s="13"/>
      <c r="QNS3" s="13"/>
      <c r="QNT3" s="13"/>
      <c r="QNU3" s="13"/>
      <c r="QNV3" s="13"/>
      <c r="QNW3" s="13"/>
      <c r="QNX3" s="13"/>
      <c r="QNY3" s="13"/>
      <c r="QNZ3" s="13"/>
      <c r="QOA3" s="13"/>
      <c r="QOB3" s="13"/>
      <c r="QOC3" s="13"/>
      <c r="QOD3" s="13"/>
      <c r="QOE3" s="13"/>
      <c r="QOF3" s="13"/>
      <c r="QOG3" s="13"/>
      <c r="QOH3" s="13"/>
      <c r="QOI3" s="13"/>
      <c r="QOJ3" s="13"/>
      <c r="QOK3" s="13"/>
      <c r="QOL3" s="13"/>
      <c r="QOM3" s="13"/>
      <c r="QON3" s="13"/>
      <c r="QOO3" s="13"/>
      <c r="QOP3" s="13"/>
      <c r="QOQ3" s="13"/>
      <c r="QOR3" s="13"/>
      <c r="QOS3" s="13"/>
      <c r="QOT3" s="13"/>
      <c r="QOU3" s="13"/>
      <c r="QOV3" s="13"/>
      <c r="QOW3" s="13"/>
      <c r="QOX3" s="13"/>
      <c r="QOY3" s="13"/>
      <c r="QOZ3" s="13"/>
      <c r="QPA3" s="13"/>
      <c r="QPB3" s="13"/>
      <c r="QPC3" s="13"/>
      <c r="QPD3" s="13"/>
      <c r="QPE3" s="13"/>
      <c r="QPF3" s="13"/>
      <c r="QPG3" s="13"/>
      <c r="QPH3" s="13"/>
      <c r="QPI3" s="13"/>
      <c r="QPJ3" s="13"/>
      <c r="QPK3" s="13"/>
      <c r="QPL3" s="13"/>
      <c r="QPM3" s="13"/>
      <c r="QPN3" s="13"/>
      <c r="QPO3" s="13"/>
      <c r="QPP3" s="13"/>
      <c r="QPQ3" s="13"/>
      <c r="QPR3" s="13"/>
      <c r="QPS3" s="13"/>
      <c r="QPT3" s="13"/>
      <c r="QPU3" s="13"/>
      <c r="QPV3" s="13"/>
      <c r="QPW3" s="13"/>
      <c r="QPX3" s="13"/>
      <c r="QPY3" s="13"/>
      <c r="QPZ3" s="13"/>
      <c r="QQA3" s="13"/>
      <c r="QQB3" s="13"/>
      <c r="QQC3" s="13"/>
      <c r="QQD3" s="13"/>
      <c r="QQE3" s="13"/>
      <c r="QQF3" s="13"/>
      <c r="QQG3" s="13"/>
      <c r="QQH3" s="13"/>
      <c r="QQI3" s="13"/>
      <c r="QQJ3" s="13"/>
      <c r="QQK3" s="13"/>
      <c r="QQL3" s="13"/>
      <c r="QQM3" s="13"/>
      <c r="QQN3" s="13"/>
      <c r="QQO3" s="13"/>
      <c r="QQP3" s="13"/>
      <c r="QQQ3" s="13"/>
      <c r="QQR3" s="13"/>
      <c r="QQS3" s="13"/>
      <c r="QQT3" s="13"/>
      <c r="QQU3" s="13"/>
      <c r="QQV3" s="13"/>
      <c r="QQW3" s="13"/>
      <c r="QQX3" s="13"/>
      <c r="QQY3" s="13"/>
      <c r="QQZ3" s="13"/>
      <c r="QRA3" s="13"/>
      <c r="QRB3" s="13"/>
      <c r="QRC3" s="13"/>
      <c r="QRD3" s="13"/>
      <c r="QRE3" s="13"/>
      <c r="QRF3" s="13"/>
      <c r="QRG3" s="13"/>
      <c r="QRH3" s="13"/>
      <c r="QRI3" s="13"/>
      <c r="QRJ3" s="13"/>
      <c r="QRK3" s="13"/>
      <c r="QRL3" s="13"/>
      <c r="QRM3" s="13"/>
      <c r="QRN3" s="13"/>
      <c r="QRO3" s="13"/>
      <c r="QRP3" s="13"/>
      <c r="QRQ3" s="13"/>
      <c r="QRR3" s="13"/>
      <c r="QRS3" s="13"/>
      <c r="QRT3" s="13"/>
      <c r="QRU3" s="13"/>
      <c r="QRV3" s="13"/>
      <c r="QRW3" s="13"/>
      <c r="QRX3" s="13"/>
      <c r="QRY3" s="13"/>
      <c r="QRZ3" s="13"/>
      <c r="QSA3" s="13"/>
      <c r="QSB3" s="13"/>
      <c r="QSC3" s="13"/>
      <c r="QSD3" s="13"/>
      <c r="QSE3" s="13"/>
      <c r="QSF3" s="13"/>
      <c r="QSG3" s="13"/>
      <c r="QSH3" s="13"/>
      <c r="QSI3" s="13"/>
      <c r="QSJ3" s="13"/>
      <c r="QSK3" s="13"/>
      <c r="QSL3" s="13"/>
      <c r="QSM3" s="13"/>
      <c r="QSN3" s="13"/>
      <c r="QSO3" s="13"/>
      <c r="QSP3" s="13"/>
      <c r="QSQ3" s="13"/>
      <c r="QSR3" s="13"/>
      <c r="QSS3" s="13"/>
      <c r="QST3" s="13"/>
      <c r="QSU3" s="13"/>
      <c r="QSV3" s="13"/>
      <c r="QSW3" s="13"/>
      <c r="QSX3" s="13"/>
      <c r="QSY3" s="13"/>
      <c r="QSZ3" s="13"/>
      <c r="QTA3" s="13"/>
      <c r="QTB3" s="13"/>
      <c r="QTC3" s="13"/>
      <c r="QTD3" s="13"/>
      <c r="QTE3" s="13"/>
      <c r="QTF3" s="13"/>
      <c r="QTG3" s="13"/>
      <c r="QTH3" s="13"/>
      <c r="QTI3" s="13"/>
      <c r="QTJ3" s="13"/>
      <c r="QTK3" s="13"/>
      <c r="QTL3" s="13"/>
      <c r="QTM3" s="13"/>
      <c r="QTN3" s="13"/>
      <c r="QTO3" s="13"/>
      <c r="QTP3" s="13"/>
      <c r="QTQ3" s="13"/>
      <c r="QTR3" s="13"/>
      <c r="QTS3" s="13"/>
      <c r="QTT3" s="13"/>
      <c r="QTU3" s="13"/>
      <c r="QTV3" s="13"/>
      <c r="QTW3" s="13"/>
      <c r="QTX3" s="13"/>
      <c r="QTY3" s="13"/>
      <c r="QTZ3" s="13"/>
      <c r="QUA3" s="13"/>
      <c r="QUB3" s="13"/>
      <c r="QUC3" s="13"/>
      <c r="QUD3" s="13"/>
      <c r="QUE3" s="13"/>
      <c r="QUF3" s="13"/>
      <c r="QUG3" s="13"/>
      <c r="QUH3" s="13"/>
      <c r="QUI3" s="13"/>
      <c r="QUJ3" s="13"/>
      <c r="QUK3" s="13"/>
      <c r="QUL3" s="13"/>
      <c r="QUM3" s="13"/>
      <c r="QUN3" s="13"/>
      <c r="QUO3" s="13"/>
      <c r="QUP3" s="13"/>
      <c r="QUQ3" s="13"/>
      <c r="QUR3" s="13"/>
      <c r="QUS3" s="13"/>
      <c r="QUT3" s="13"/>
      <c r="QUU3" s="13"/>
      <c r="QUV3" s="13"/>
      <c r="QUW3" s="13"/>
      <c r="QUX3" s="13"/>
      <c r="QUY3" s="13"/>
      <c r="QUZ3" s="13"/>
      <c r="QVA3" s="13"/>
      <c r="QVB3" s="13"/>
      <c r="QVC3" s="13"/>
      <c r="QVD3" s="13"/>
      <c r="QVE3" s="13"/>
      <c r="QVF3" s="13"/>
      <c r="QVG3" s="13"/>
      <c r="QVH3" s="13"/>
      <c r="QVI3" s="13"/>
      <c r="QVJ3" s="13"/>
      <c r="QVK3" s="13"/>
      <c r="QVL3" s="13"/>
      <c r="QVM3" s="13"/>
      <c r="QVN3" s="13"/>
      <c r="QVO3" s="13"/>
      <c r="QVP3" s="13"/>
      <c r="QVQ3" s="13"/>
      <c r="QVR3" s="13"/>
      <c r="QVS3" s="13"/>
      <c r="QVT3" s="13"/>
      <c r="QVU3" s="13"/>
      <c r="QVV3" s="13"/>
      <c r="QVW3" s="13"/>
      <c r="QVX3" s="13"/>
      <c r="QVY3" s="13"/>
      <c r="QVZ3" s="13"/>
      <c r="QWA3" s="13"/>
      <c r="QWB3" s="13"/>
      <c r="QWC3" s="13"/>
      <c r="QWD3" s="13"/>
      <c r="QWE3" s="13"/>
      <c r="QWF3" s="13"/>
      <c r="QWG3" s="13"/>
      <c r="QWH3" s="13"/>
      <c r="QWI3" s="13"/>
      <c r="QWJ3" s="13"/>
      <c r="QWK3" s="13"/>
      <c r="QWL3" s="13"/>
      <c r="QWM3" s="13"/>
      <c r="QWN3" s="13"/>
      <c r="QWO3" s="13"/>
      <c r="QWP3" s="13"/>
      <c r="QWQ3" s="13"/>
      <c r="QWR3" s="13"/>
      <c r="QWS3" s="13"/>
      <c r="QWT3" s="13"/>
      <c r="QWU3" s="13"/>
      <c r="QWV3" s="13"/>
      <c r="QWW3" s="13"/>
      <c r="QWX3" s="13"/>
      <c r="QWY3" s="13"/>
      <c r="QWZ3" s="13"/>
      <c r="QXA3" s="13"/>
      <c r="QXB3" s="13"/>
      <c r="QXC3" s="13"/>
      <c r="QXD3" s="13"/>
      <c r="QXE3" s="13"/>
      <c r="QXF3" s="13"/>
      <c r="QXG3" s="13"/>
      <c r="QXH3" s="13"/>
      <c r="QXI3" s="13"/>
      <c r="QXJ3" s="13"/>
      <c r="QXK3" s="13"/>
      <c r="QXL3" s="13"/>
      <c r="QXM3" s="13"/>
      <c r="QXN3" s="13"/>
      <c r="QXO3" s="13"/>
      <c r="QXP3" s="13"/>
      <c r="QXQ3" s="13"/>
      <c r="QXR3" s="13"/>
      <c r="QXS3" s="13"/>
      <c r="QXT3" s="13"/>
      <c r="QXU3" s="13"/>
      <c r="QXV3" s="13"/>
      <c r="QXW3" s="13"/>
      <c r="QXX3" s="13"/>
      <c r="QXY3" s="13"/>
      <c r="QXZ3" s="13"/>
      <c r="QYA3" s="13"/>
      <c r="QYB3" s="13"/>
      <c r="QYC3" s="13"/>
      <c r="QYD3" s="13"/>
      <c r="QYE3" s="13"/>
      <c r="QYF3" s="13"/>
      <c r="QYG3" s="13"/>
      <c r="QYH3" s="13"/>
      <c r="QYI3" s="13"/>
      <c r="QYJ3" s="13"/>
      <c r="QYK3" s="13"/>
      <c r="QYL3" s="13"/>
      <c r="QYM3" s="13"/>
      <c r="QYN3" s="13"/>
      <c r="QYO3" s="13"/>
      <c r="QYP3" s="13"/>
      <c r="QYQ3" s="13"/>
      <c r="QYR3" s="13"/>
      <c r="QYS3" s="13"/>
      <c r="QYT3" s="13"/>
      <c r="QYU3" s="13"/>
      <c r="QYV3" s="13"/>
      <c r="QYW3" s="13"/>
      <c r="QYX3" s="13"/>
      <c r="QYY3" s="13"/>
      <c r="QYZ3" s="13"/>
      <c r="QZA3" s="13"/>
      <c r="QZB3" s="13"/>
      <c r="QZC3" s="13"/>
      <c r="QZD3" s="13"/>
      <c r="QZE3" s="13"/>
      <c r="QZF3" s="13"/>
      <c r="QZG3" s="13"/>
      <c r="QZH3" s="13"/>
      <c r="QZI3" s="13"/>
      <c r="QZJ3" s="13"/>
      <c r="QZK3" s="13"/>
      <c r="QZL3" s="13"/>
      <c r="QZM3" s="13"/>
      <c r="QZN3" s="13"/>
      <c r="QZO3" s="13"/>
      <c r="QZP3" s="13"/>
      <c r="QZQ3" s="13"/>
      <c r="QZR3" s="13"/>
      <c r="QZS3" s="13"/>
      <c r="QZT3" s="13"/>
      <c r="QZU3" s="13"/>
      <c r="QZV3" s="13"/>
      <c r="QZW3" s="13"/>
      <c r="QZX3" s="13"/>
      <c r="QZY3" s="13"/>
      <c r="QZZ3" s="13"/>
      <c r="RAA3" s="13"/>
      <c r="RAB3" s="13"/>
      <c r="RAC3" s="13"/>
      <c r="RAD3" s="13"/>
      <c r="RAE3" s="13"/>
      <c r="RAF3" s="13"/>
      <c r="RAG3" s="13"/>
      <c r="RAH3" s="13"/>
      <c r="RAI3" s="13"/>
      <c r="RAJ3" s="13"/>
      <c r="RAK3" s="13"/>
      <c r="RAL3" s="13"/>
      <c r="RAM3" s="13"/>
      <c r="RAN3" s="13"/>
      <c r="RAO3" s="13"/>
      <c r="RAP3" s="13"/>
      <c r="RAQ3" s="13"/>
      <c r="RAR3" s="13"/>
      <c r="RAS3" s="13"/>
      <c r="RAT3" s="13"/>
      <c r="RAU3" s="13"/>
      <c r="RAV3" s="13"/>
      <c r="RAW3" s="13"/>
      <c r="RAX3" s="13"/>
      <c r="RAY3" s="13"/>
      <c r="RAZ3" s="13"/>
      <c r="RBA3" s="13"/>
      <c r="RBB3" s="13"/>
      <c r="RBC3" s="13"/>
      <c r="RBD3" s="13"/>
      <c r="RBE3" s="13"/>
      <c r="RBF3" s="13"/>
      <c r="RBG3" s="13"/>
      <c r="RBH3" s="13"/>
      <c r="RBI3" s="13"/>
      <c r="RBJ3" s="13"/>
      <c r="RBK3" s="13"/>
      <c r="RBL3" s="13"/>
      <c r="RBM3" s="13"/>
      <c r="RBN3" s="13"/>
      <c r="RBO3" s="13"/>
      <c r="RBP3" s="13"/>
      <c r="RBQ3" s="13"/>
      <c r="RBR3" s="13"/>
      <c r="RBS3" s="13"/>
      <c r="RBT3" s="13"/>
      <c r="RBU3" s="13"/>
      <c r="RBV3" s="13"/>
      <c r="RBW3" s="13"/>
      <c r="RBX3" s="13"/>
      <c r="RBY3" s="13"/>
      <c r="RBZ3" s="13"/>
      <c r="RCA3" s="13"/>
      <c r="RCB3" s="13"/>
      <c r="RCC3" s="13"/>
      <c r="RCD3" s="13"/>
      <c r="RCE3" s="13"/>
      <c r="RCF3" s="13"/>
      <c r="RCG3" s="13"/>
      <c r="RCH3" s="13"/>
      <c r="RCI3" s="13"/>
      <c r="RCJ3" s="13"/>
      <c r="RCK3" s="13"/>
      <c r="RCL3" s="13"/>
      <c r="RCM3" s="13"/>
      <c r="RCN3" s="13"/>
      <c r="RCO3" s="13"/>
      <c r="RCP3" s="13"/>
      <c r="RCQ3" s="13"/>
      <c r="RCR3" s="13"/>
      <c r="RCS3" s="13"/>
      <c r="RCT3" s="13"/>
      <c r="RCU3" s="13"/>
      <c r="RCV3" s="13"/>
      <c r="RCW3" s="13"/>
      <c r="RCX3" s="13"/>
      <c r="RCY3" s="13"/>
      <c r="RCZ3" s="13"/>
      <c r="RDA3" s="13"/>
      <c r="RDB3" s="13"/>
      <c r="RDC3" s="13"/>
      <c r="RDD3" s="13"/>
      <c r="RDE3" s="13"/>
      <c r="RDF3" s="13"/>
      <c r="RDG3" s="13"/>
      <c r="RDH3" s="13"/>
      <c r="RDI3" s="13"/>
      <c r="RDJ3" s="13"/>
      <c r="RDK3" s="13"/>
      <c r="RDL3" s="13"/>
      <c r="RDM3" s="13"/>
      <c r="RDN3" s="13"/>
      <c r="RDO3" s="13"/>
      <c r="RDP3" s="13"/>
      <c r="RDQ3" s="13"/>
      <c r="RDR3" s="13"/>
      <c r="RDS3" s="13"/>
      <c r="RDT3" s="13"/>
      <c r="RDU3" s="13"/>
      <c r="RDV3" s="13"/>
      <c r="RDW3" s="13"/>
      <c r="RDX3" s="13"/>
      <c r="RDY3" s="13"/>
      <c r="RDZ3" s="13"/>
      <c r="REA3" s="13"/>
      <c r="REB3" s="13"/>
      <c r="REC3" s="13"/>
      <c r="RED3" s="13"/>
      <c r="REE3" s="13"/>
      <c r="REF3" s="13"/>
      <c r="REG3" s="13"/>
      <c r="REH3" s="13"/>
      <c r="REI3" s="13"/>
      <c r="REJ3" s="13"/>
      <c r="REK3" s="13"/>
      <c r="REL3" s="13"/>
      <c r="REM3" s="13"/>
      <c r="REN3" s="13"/>
      <c r="REO3" s="13"/>
      <c r="REP3" s="13"/>
      <c r="REQ3" s="13"/>
      <c r="RER3" s="13"/>
      <c r="RES3" s="13"/>
      <c r="RET3" s="13"/>
      <c r="REU3" s="13"/>
      <c r="REV3" s="13"/>
      <c r="REW3" s="13"/>
      <c r="REX3" s="13"/>
      <c r="REY3" s="13"/>
      <c r="REZ3" s="13"/>
      <c r="RFA3" s="13"/>
      <c r="RFB3" s="13"/>
      <c r="RFC3" s="13"/>
      <c r="RFD3" s="13"/>
      <c r="RFE3" s="13"/>
      <c r="RFF3" s="13"/>
      <c r="RFG3" s="13"/>
      <c r="RFH3" s="13"/>
      <c r="RFI3" s="13"/>
      <c r="RFJ3" s="13"/>
      <c r="RFK3" s="13"/>
      <c r="RFL3" s="13"/>
      <c r="RFM3" s="13"/>
      <c r="RFN3" s="13"/>
      <c r="RFO3" s="13"/>
      <c r="RFP3" s="13"/>
      <c r="RFQ3" s="13"/>
      <c r="RFR3" s="13"/>
      <c r="RFS3" s="13"/>
      <c r="RFT3" s="13"/>
      <c r="RFU3" s="13"/>
      <c r="RFV3" s="13"/>
      <c r="RFW3" s="13"/>
      <c r="RFX3" s="13"/>
      <c r="RFY3" s="13"/>
      <c r="RFZ3" s="13"/>
      <c r="RGA3" s="13"/>
      <c r="RGB3" s="13"/>
      <c r="RGC3" s="13"/>
      <c r="RGD3" s="13"/>
      <c r="RGE3" s="13"/>
      <c r="RGF3" s="13"/>
      <c r="RGG3" s="13"/>
      <c r="RGH3" s="13"/>
      <c r="RGI3" s="13"/>
      <c r="RGJ3" s="13"/>
      <c r="RGK3" s="13"/>
      <c r="RGL3" s="13"/>
      <c r="RGM3" s="13"/>
      <c r="RGN3" s="13"/>
      <c r="RGO3" s="13"/>
      <c r="RGP3" s="13"/>
      <c r="RGQ3" s="13"/>
      <c r="RGR3" s="13"/>
      <c r="RGS3" s="13"/>
      <c r="RGT3" s="13"/>
      <c r="RGU3" s="13"/>
      <c r="RGV3" s="13"/>
      <c r="RGW3" s="13"/>
      <c r="RGX3" s="13"/>
      <c r="RGY3" s="13"/>
      <c r="RGZ3" s="13"/>
      <c r="RHA3" s="13"/>
      <c r="RHB3" s="13"/>
      <c r="RHC3" s="13"/>
      <c r="RHD3" s="13"/>
      <c r="RHE3" s="13"/>
      <c r="RHF3" s="13"/>
      <c r="RHG3" s="13"/>
      <c r="RHH3" s="13"/>
      <c r="RHI3" s="13"/>
      <c r="RHJ3" s="13"/>
      <c r="RHK3" s="13"/>
      <c r="RHL3" s="13"/>
      <c r="RHM3" s="13"/>
      <c r="RHN3" s="13"/>
      <c r="RHO3" s="13"/>
      <c r="RHP3" s="13"/>
      <c r="RHQ3" s="13"/>
      <c r="RHR3" s="13"/>
      <c r="RHS3" s="13"/>
      <c r="RHT3" s="13"/>
      <c r="RHU3" s="13"/>
      <c r="RHV3" s="13"/>
      <c r="RHW3" s="13"/>
      <c r="RHX3" s="13"/>
      <c r="RHY3" s="13"/>
      <c r="RHZ3" s="13"/>
      <c r="RIA3" s="13"/>
      <c r="RIB3" s="13"/>
      <c r="RIC3" s="13"/>
      <c r="RID3" s="13"/>
      <c r="RIE3" s="13"/>
      <c r="RIF3" s="13"/>
      <c r="RIG3" s="13"/>
      <c r="RIH3" s="13"/>
      <c r="RII3" s="13"/>
      <c r="RIJ3" s="13"/>
      <c r="RIK3" s="13"/>
      <c r="RIL3" s="13"/>
      <c r="RIM3" s="13"/>
      <c r="RIN3" s="13"/>
      <c r="RIO3" s="13"/>
      <c r="RIP3" s="13"/>
      <c r="RIQ3" s="13"/>
      <c r="RIR3" s="13"/>
      <c r="RIS3" s="13"/>
      <c r="RIT3" s="13"/>
      <c r="RIU3" s="13"/>
      <c r="RIV3" s="13"/>
      <c r="RIW3" s="13"/>
      <c r="RIX3" s="13"/>
      <c r="RIY3" s="13"/>
      <c r="RIZ3" s="13"/>
      <c r="RJA3" s="13"/>
      <c r="RJB3" s="13"/>
      <c r="RJC3" s="13"/>
      <c r="RJD3" s="13"/>
      <c r="RJE3" s="13"/>
      <c r="RJF3" s="13"/>
      <c r="RJG3" s="13"/>
      <c r="RJH3" s="13"/>
      <c r="RJI3" s="13"/>
      <c r="RJJ3" s="13"/>
      <c r="RJK3" s="13"/>
      <c r="RJL3" s="13"/>
      <c r="RJM3" s="13"/>
      <c r="RJN3" s="13"/>
      <c r="RJO3" s="13"/>
      <c r="RJP3" s="13"/>
      <c r="RJQ3" s="13"/>
      <c r="RJR3" s="13"/>
      <c r="RJS3" s="13"/>
      <c r="RJT3" s="13"/>
      <c r="RJU3" s="13"/>
      <c r="RJV3" s="13"/>
      <c r="RJW3" s="13"/>
      <c r="RJX3" s="13"/>
      <c r="RJY3" s="13"/>
      <c r="RJZ3" s="13"/>
      <c r="RKA3" s="13"/>
      <c r="RKB3" s="13"/>
      <c r="RKC3" s="13"/>
      <c r="RKD3" s="13"/>
      <c r="RKE3" s="13"/>
      <c r="RKF3" s="13"/>
      <c r="RKG3" s="13"/>
      <c r="RKH3" s="13"/>
      <c r="RKI3" s="13"/>
      <c r="RKJ3" s="13"/>
      <c r="RKK3" s="13"/>
      <c r="RKL3" s="13"/>
      <c r="RKM3" s="13"/>
      <c r="RKN3" s="13"/>
      <c r="RKO3" s="13"/>
      <c r="RKP3" s="13"/>
      <c r="RKQ3" s="13"/>
      <c r="RKR3" s="13"/>
      <c r="RKS3" s="13"/>
      <c r="RKT3" s="13"/>
      <c r="RKU3" s="13"/>
      <c r="RKV3" s="13"/>
      <c r="RKW3" s="13"/>
      <c r="RKX3" s="13"/>
      <c r="RKY3" s="13"/>
      <c r="RKZ3" s="13"/>
      <c r="RLA3" s="13"/>
      <c r="RLB3" s="13"/>
      <c r="RLC3" s="13"/>
      <c r="RLD3" s="13"/>
      <c r="RLE3" s="13"/>
      <c r="RLF3" s="13"/>
      <c r="RLG3" s="13"/>
      <c r="RLH3" s="13"/>
      <c r="RLI3" s="13"/>
      <c r="RLJ3" s="13"/>
      <c r="RLK3" s="13"/>
      <c r="RLL3" s="13"/>
      <c r="RLM3" s="13"/>
      <c r="RLN3" s="13"/>
      <c r="RLO3" s="13"/>
      <c r="RLP3" s="13"/>
      <c r="RLQ3" s="13"/>
      <c r="RLR3" s="13"/>
      <c r="RLS3" s="13"/>
      <c r="RLT3" s="13"/>
      <c r="RLU3" s="13"/>
      <c r="RLV3" s="13"/>
      <c r="RLW3" s="13"/>
      <c r="RLX3" s="13"/>
      <c r="RLY3" s="13"/>
      <c r="RLZ3" s="13"/>
      <c r="RMA3" s="13"/>
      <c r="RMB3" s="13"/>
      <c r="RMC3" s="13"/>
      <c r="RMD3" s="13"/>
      <c r="RME3" s="13"/>
      <c r="RMF3" s="13"/>
      <c r="RMG3" s="13"/>
      <c r="RMH3" s="13"/>
      <c r="RMI3" s="13"/>
      <c r="RMJ3" s="13"/>
      <c r="RMK3" s="13"/>
      <c r="RML3" s="13"/>
      <c r="RMM3" s="13"/>
      <c r="RMN3" s="13"/>
      <c r="RMO3" s="13"/>
      <c r="RMP3" s="13"/>
      <c r="RMQ3" s="13"/>
      <c r="RMR3" s="13"/>
      <c r="RMS3" s="13"/>
      <c r="RMT3" s="13"/>
      <c r="RMU3" s="13"/>
      <c r="RMV3" s="13"/>
      <c r="RMW3" s="13"/>
      <c r="RMX3" s="13"/>
      <c r="RMY3" s="13"/>
      <c r="RMZ3" s="13"/>
      <c r="RNA3" s="13"/>
      <c r="RNB3" s="13"/>
      <c r="RNC3" s="13"/>
      <c r="RND3" s="13"/>
      <c r="RNE3" s="13"/>
      <c r="RNF3" s="13"/>
      <c r="RNG3" s="13"/>
      <c r="RNH3" s="13"/>
      <c r="RNI3" s="13"/>
      <c r="RNJ3" s="13"/>
      <c r="RNK3" s="13"/>
      <c r="RNL3" s="13"/>
      <c r="RNM3" s="13"/>
      <c r="RNN3" s="13"/>
      <c r="RNO3" s="13"/>
      <c r="RNP3" s="13"/>
      <c r="RNQ3" s="13"/>
      <c r="RNR3" s="13"/>
      <c r="RNS3" s="13"/>
      <c r="RNT3" s="13"/>
      <c r="RNU3" s="13"/>
      <c r="RNV3" s="13"/>
      <c r="RNW3" s="13"/>
      <c r="RNX3" s="13"/>
      <c r="RNY3" s="13"/>
      <c r="RNZ3" s="13"/>
      <c r="ROA3" s="13"/>
      <c r="ROB3" s="13"/>
      <c r="ROC3" s="13"/>
      <c r="ROD3" s="13"/>
      <c r="ROE3" s="13"/>
      <c r="ROF3" s="13"/>
      <c r="ROG3" s="13"/>
      <c r="ROH3" s="13"/>
      <c r="ROI3" s="13"/>
      <c r="ROJ3" s="13"/>
      <c r="ROK3" s="13"/>
      <c r="ROL3" s="13"/>
      <c r="ROM3" s="13"/>
      <c r="RON3" s="13"/>
      <c r="ROO3" s="13"/>
      <c r="ROP3" s="13"/>
      <c r="ROQ3" s="13"/>
      <c r="ROR3" s="13"/>
      <c r="ROS3" s="13"/>
      <c r="ROT3" s="13"/>
      <c r="ROU3" s="13"/>
      <c r="ROV3" s="13"/>
      <c r="ROW3" s="13"/>
      <c r="ROX3" s="13"/>
      <c r="ROY3" s="13"/>
      <c r="ROZ3" s="13"/>
      <c r="RPA3" s="13"/>
      <c r="RPB3" s="13"/>
      <c r="RPC3" s="13"/>
      <c r="RPD3" s="13"/>
      <c r="RPE3" s="13"/>
      <c r="RPF3" s="13"/>
      <c r="RPG3" s="13"/>
      <c r="RPH3" s="13"/>
      <c r="RPI3" s="13"/>
      <c r="RPJ3" s="13"/>
      <c r="RPK3" s="13"/>
      <c r="RPL3" s="13"/>
      <c r="RPM3" s="13"/>
      <c r="RPN3" s="13"/>
      <c r="RPO3" s="13"/>
      <c r="RPP3" s="13"/>
      <c r="RPQ3" s="13"/>
      <c r="RPR3" s="13"/>
      <c r="RPS3" s="13"/>
      <c r="RPT3" s="13"/>
      <c r="RPU3" s="13"/>
      <c r="RPV3" s="13"/>
      <c r="RPW3" s="13"/>
      <c r="RPX3" s="13"/>
      <c r="RPY3" s="13"/>
      <c r="RPZ3" s="13"/>
      <c r="RQA3" s="13"/>
      <c r="RQB3" s="13"/>
      <c r="RQC3" s="13"/>
      <c r="RQD3" s="13"/>
      <c r="RQE3" s="13"/>
      <c r="RQF3" s="13"/>
      <c r="RQG3" s="13"/>
      <c r="RQH3" s="13"/>
      <c r="RQI3" s="13"/>
      <c r="RQJ3" s="13"/>
      <c r="RQK3" s="13"/>
      <c r="RQL3" s="13"/>
      <c r="RQM3" s="13"/>
      <c r="RQN3" s="13"/>
      <c r="RQO3" s="13"/>
      <c r="RQP3" s="13"/>
      <c r="RQQ3" s="13"/>
      <c r="RQR3" s="13"/>
      <c r="RQS3" s="13"/>
      <c r="RQT3" s="13"/>
      <c r="RQU3" s="13"/>
      <c r="RQV3" s="13"/>
      <c r="RQW3" s="13"/>
      <c r="RQX3" s="13"/>
      <c r="RQY3" s="13"/>
      <c r="RQZ3" s="13"/>
      <c r="RRA3" s="13"/>
      <c r="RRB3" s="13"/>
      <c r="RRC3" s="13"/>
      <c r="RRD3" s="13"/>
      <c r="RRE3" s="13"/>
      <c r="RRF3" s="13"/>
      <c r="RRG3" s="13"/>
      <c r="RRH3" s="13"/>
      <c r="RRI3" s="13"/>
      <c r="RRJ3" s="13"/>
      <c r="RRK3" s="13"/>
      <c r="RRL3" s="13"/>
      <c r="RRM3" s="13"/>
      <c r="RRN3" s="13"/>
      <c r="RRO3" s="13"/>
      <c r="RRP3" s="13"/>
      <c r="RRQ3" s="13"/>
      <c r="RRR3" s="13"/>
      <c r="RRS3" s="13"/>
      <c r="RRT3" s="13"/>
      <c r="RRU3" s="13"/>
      <c r="RRV3" s="13"/>
      <c r="RRW3" s="13"/>
      <c r="RRX3" s="13"/>
      <c r="RRY3" s="13"/>
      <c r="RRZ3" s="13"/>
      <c r="RSA3" s="13"/>
      <c r="RSB3" s="13"/>
      <c r="RSC3" s="13"/>
      <c r="RSD3" s="13"/>
      <c r="RSE3" s="13"/>
      <c r="RSF3" s="13"/>
      <c r="RSG3" s="13"/>
      <c r="RSH3" s="13"/>
      <c r="RSI3" s="13"/>
      <c r="RSJ3" s="13"/>
      <c r="RSK3" s="13"/>
      <c r="RSL3" s="13"/>
      <c r="RSM3" s="13"/>
      <c r="RSN3" s="13"/>
      <c r="RSO3" s="13"/>
      <c r="RSP3" s="13"/>
      <c r="RSQ3" s="13"/>
      <c r="RSR3" s="13"/>
      <c r="RSS3" s="13"/>
      <c r="RST3" s="13"/>
      <c r="RSU3" s="13"/>
      <c r="RSV3" s="13"/>
      <c r="RSW3" s="13"/>
      <c r="RSX3" s="13"/>
      <c r="RSY3" s="13"/>
      <c r="RSZ3" s="13"/>
      <c r="RTA3" s="13"/>
      <c r="RTB3" s="13"/>
      <c r="RTC3" s="13"/>
      <c r="RTD3" s="13"/>
      <c r="RTE3" s="13"/>
      <c r="RTF3" s="13"/>
      <c r="RTG3" s="13"/>
      <c r="RTH3" s="13"/>
      <c r="RTI3" s="13"/>
      <c r="RTJ3" s="13"/>
      <c r="RTK3" s="13"/>
      <c r="RTL3" s="13"/>
      <c r="RTM3" s="13"/>
      <c r="RTN3" s="13"/>
      <c r="RTO3" s="13"/>
      <c r="RTP3" s="13"/>
      <c r="RTQ3" s="13"/>
      <c r="RTR3" s="13"/>
      <c r="RTS3" s="13"/>
      <c r="RTT3" s="13"/>
      <c r="RTU3" s="13"/>
      <c r="RTV3" s="13"/>
      <c r="RTW3" s="13"/>
      <c r="RTX3" s="13"/>
      <c r="RTY3" s="13"/>
      <c r="RTZ3" s="13"/>
      <c r="RUA3" s="13"/>
      <c r="RUB3" s="13"/>
      <c r="RUC3" s="13"/>
      <c r="RUD3" s="13"/>
      <c r="RUE3" s="13"/>
      <c r="RUF3" s="13"/>
      <c r="RUG3" s="13"/>
      <c r="RUH3" s="13"/>
      <c r="RUI3" s="13"/>
      <c r="RUJ3" s="13"/>
      <c r="RUK3" s="13"/>
      <c r="RUL3" s="13"/>
      <c r="RUM3" s="13"/>
      <c r="RUN3" s="13"/>
      <c r="RUO3" s="13"/>
      <c r="RUP3" s="13"/>
      <c r="RUQ3" s="13"/>
      <c r="RUR3" s="13"/>
      <c r="RUS3" s="13"/>
      <c r="RUT3" s="13"/>
      <c r="RUU3" s="13"/>
      <c r="RUV3" s="13"/>
      <c r="RUW3" s="13"/>
      <c r="RUX3" s="13"/>
      <c r="RUY3" s="13"/>
      <c r="RUZ3" s="13"/>
      <c r="RVA3" s="13"/>
      <c r="RVB3" s="13"/>
      <c r="RVC3" s="13"/>
      <c r="RVD3" s="13"/>
      <c r="RVE3" s="13"/>
      <c r="RVF3" s="13"/>
      <c r="RVG3" s="13"/>
      <c r="RVH3" s="13"/>
      <c r="RVI3" s="13"/>
      <c r="RVJ3" s="13"/>
      <c r="RVK3" s="13"/>
      <c r="RVL3" s="13"/>
      <c r="RVM3" s="13"/>
      <c r="RVN3" s="13"/>
      <c r="RVO3" s="13"/>
      <c r="RVP3" s="13"/>
      <c r="RVQ3" s="13"/>
      <c r="RVR3" s="13"/>
      <c r="RVS3" s="13"/>
      <c r="RVT3" s="13"/>
      <c r="RVU3" s="13"/>
      <c r="RVV3" s="13"/>
      <c r="RVW3" s="13"/>
      <c r="RVX3" s="13"/>
      <c r="RVY3" s="13"/>
      <c r="RVZ3" s="13"/>
      <c r="RWA3" s="13"/>
      <c r="RWB3" s="13"/>
      <c r="RWC3" s="13"/>
      <c r="RWD3" s="13"/>
      <c r="RWE3" s="13"/>
      <c r="RWF3" s="13"/>
      <c r="RWG3" s="13"/>
      <c r="RWH3" s="13"/>
      <c r="RWI3" s="13"/>
      <c r="RWJ3" s="13"/>
      <c r="RWK3" s="13"/>
      <c r="RWL3" s="13"/>
      <c r="RWM3" s="13"/>
      <c r="RWN3" s="13"/>
      <c r="RWO3" s="13"/>
      <c r="RWP3" s="13"/>
      <c r="RWQ3" s="13"/>
      <c r="RWR3" s="13"/>
      <c r="RWS3" s="13"/>
      <c r="RWT3" s="13"/>
      <c r="RWU3" s="13"/>
      <c r="RWV3" s="13"/>
      <c r="RWW3" s="13"/>
      <c r="RWX3" s="13"/>
      <c r="RWY3" s="13"/>
      <c r="RWZ3" s="13"/>
      <c r="RXA3" s="13"/>
      <c r="RXB3" s="13"/>
      <c r="RXC3" s="13"/>
      <c r="RXD3" s="13"/>
      <c r="RXE3" s="13"/>
      <c r="RXF3" s="13"/>
      <c r="RXG3" s="13"/>
      <c r="RXH3" s="13"/>
      <c r="RXI3" s="13"/>
      <c r="RXJ3" s="13"/>
      <c r="RXK3" s="13"/>
      <c r="RXL3" s="13"/>
      <c r="RXM3" s="13"/>
      <c r="RXN3" s="13"/>
      <c r="RXO3" s="13"/>
      <c r="RXP3" s="13"/>
      <c r="RXQ3" s="13"/>
      <c r="RXR3" s="13"/>
      <c r="RXS3" s="13"/>
      <c r="RXT3" s="13"/>
      <c r="RXU3" s="13"/>
      <c r="RXV3" s="13"/>
      <c r="RXW3" s="13"/>
      <c r="RXX3" s="13"/>
      <c r="RXY3" s="13"/>
      <c r="RXZ3" s="13"/>
      <c r="RYA3" s="13"/>
      <c r="RYB3" s="13"/>
      <c r="RYC3" s="13"/>
      <c r="RYD3" s="13"/>
      <c r="RYE3" s="13"/>
      <c r="RYF3" s="13"/>
      <c r="RYG3" s="13"/>
      <c r="RYH3" s="13"/>
      <c r="RYI3" s="13"/>
      <c r="RYJ3" s="13"/>
      <c r="RYK3" s="13"/>
      <c r="RYL3" s="13"/>
      <c r="RYM3" s="13"/>
      <c r="RYN3" s="13"/>
      <c r="RYO3" s="13"/>
      <c r="RYP3" s="13"/>
      <c r="RYQ3" s="13"/>
      <c r="RYR3" s="13"/>
      <c r="RYS3" s="13"/>
      <c r="RYT3" s="13"/>
      <c r="RYU3" s="13"/>
      <c r="RYV3" s="13"/>
      <c r="RYW3" s="13"/>
      <c r="RYX3" s="13"/>
      <c r="RYY3" s="13"/>
      <c r="RYZ3" s="13"/>
      <c r="RZA3" s="13"/>
      <c r="RZB3" s="13"/>
      <c r="RZC3" s="13"/>
      <c r="RZD3" s="13"/>
      <c r="RZE3" s="13"/>
      <c r="RZF3" s="13"/>
      <c r="RZG3" s="13"/>
      <c r="RZH3" s="13"/>
      <c r="RZI3" s="13"/>
      <c r="RZJ3" s="13"/>
      <c r="RZK3" s="13"/>
      <c r="RZL3" s="13"/>
      <c r="RZM3" s="13"/>
      <c r="RZN3" s="13"/>
      <c r="RZO3" s="13"/>
      <c r="RZP3" s="13"/>
      <c r="RZQ3" s="13"/>
      <c r="RZR3" s="13"/>
      <c r="RZS3" s="13"/>
      <c r="RZT3" s="13"/>
      <c r="RZU3" s="13"/>
      <c r="RZV3" s="13"/>
      <c r="RZW3" s="13"/>
      <c r="RZX3" s="13"/>
      <c r="RZY3" s="13"/>
      <c r="RZZ3" s="13"/>
      <c r="SAA3" s="13"/>
      <c r="SAB3" s="13"/>
      <c r="SAC3" s="13"/>
      <c r="SAD3" s="13"/>
      <c r="SAE3" s="13"/>
      <c r="SAF3" s="13"/>
      <c r="SAG3" s="13"/>
      <c r="SAH3" s="13"/>
      <c r="SAI3" s="13"/>
      <c r="SAJ3" s="13"/>
      <c r="SAK3" s="13"/>
      <c r="SAL3" s="13"/>
      <c r="SAM3" s="13"/>
      <c r="SAN3" s="13"/>
      <c r="SAO3" s="13"/>
      <c r="SAP3" s="13"/>
      <c r="SAQ3" s="13"/>
      <c r="SAR3" s="13"/>
      <c r="SAS3" s="13"/>
      <c r="SAT3" s="13"/>
      <c r="SAU3" s="13"/>
      <c r="SAV3" s="13"/>
      <c r="SAW3" s="13"/>
      <c r="SAX3" s="13"/>
      <c r="SAY3" s="13"/>
      <c r="SAZ3" s="13"/>
      <c r="SBA3" s="13"/>
      <c r="SBB3" s="13"/>
      <c r="SBC3" s="13"/>
      <c r="SBD3" s="13"/>
      <c r="SBE3" s="13"/>
      <c r="SBF3" s="13"/>
      <c r="SBG3" s="13"/>
      <c r="SBH3" s="13"/>
      <c r="SBI3" s="13"/>
      <c r="SBJ3" s="13"/>
      <c r="SBK3" s="13"/>
      <c r="SBL3" s="13"/>
      <c r="SBM3" s="13"/>
      <c r="SBN3" s="13"/>
      <c r="SBO3" s="13"/>
      <c r="SBP3" s="13"/>
      <c r="SBQ3" s="13"/>
      <c r="SBR3" s="13"/>
      <c r="SBS3" s="13"/>
      <c r="SBT3" s="13"/>
      <c r="SBU3" s="13"/>
      <c r="SBV3" s="13"/>
      <c r="SBW3" s="13"/>
      <c r="SBX3" s="13"/>
      <c r="SBY3" s="13"/>
      <c r="SBZ3" s="13"/>
      <c r="SCA3" s="13"/>
      <c r="SCB3" s="13"/>
      <c r="SCC3" s="13"/>
      <c r="SCD3" s="13"/>
      <c r="SCE3" s="13"/>
      <c r="SCF3" s="13"/>
      <c r="SCG3" s="13"/>
      <c r="SCH3" s="13"/>
      <c r="SCI3" s="13"/>
      <c r="SCJ3" s="13"/>
      <c r="SCK3" s="13"/>
      <c r="SCL3" s="13"/>
      <c r="SCM3" s="13"/>
      <c r="SCN3" s="13"/>
      <c r="SCO3" s="13"/>
      <c r="SCP3" s="13"/>
      <c r="SCQ3" s="13"/>
      <c r="SCR3" s="13"/>
      <c r="SCS3" s="13"/>
      <c r="SCT3" s="13"/>
      <c r="SCU3" s="13"/>
      <c r="SCV3" s="13"/>
      <c r="SCW3" s="13"/>
      <c r="SCX3" s="13"/>
      <c r="SCY3" s="13"/>
      <c r="SCZ3" s="13"/>
      <c r="SDA3" s="13"/>
      <c r="SDB3" s="13"/>
      <c r="SDC3" s="13"/>
      <c r="SDD3" s="13"/>
      <c r="SDE3" s="13"/>
      <c r="SDF3" s="13"/>
      <c r="SDG3" s="13"/>
      <c r="SDH3" s="13"/>
      <c r="SDI3" s="13"/>
      <c r="SDJ3" s="13"/>
      <c r="SDK3" s="13"/>
      <c r="SDL3" s="13"/>
      <c r="SDM3" s="13"/>
      <c r="SDN3" s="13"/>
      <c r="SDO3" s="13"/>
      <c r="SDP3" s="13"/>
      <c r="SDQ3" s="13"/>
      <c r="SDR3" s="13"/>
      <c r="SDS3" s="13"/>
      <c r="SDT3" s="13"/>
      <c r="SDU3" s="13"/>
      <c r="SDV3" s="13"/>
      <c r="SDW3" s="13"/>
      <c r="SDX3" s="13"/>
      <c r="SDY3" s="13"/>
      <c r="SDZ3" s="13"/>
      <c r="SEA3" s="13"/>
      <c r="SEB3" s="13"/>
      <c r="SEC3" s="13"/>
      <c r="SED3" s="13"/>
      <c r="SEE3" s="13"/>
      <c r="SEF3" s="13"/>
      <c r="SEG3" s="13"/>
      <c r="SEH3" s="13"/>
      <c r="SEI3" s="13"/>
      <c r="SEJ3" s="13"/>
      <c r="SEK3" s="13"/>
      <c r="SEL3" s="13"/>
      <c r="SEM3" s="13"/>
      <c r="SEN3" s="13"/>
      <c r="SEO3" s="13"/>
      <c r="SEP3" s="13"/>
      <c r="SEQ3" s="13"/>
      <c r="SER3" s="13"/>
      <c r="SES3" s="13"/>
      <c r="SET3" s="13"/>
      <c r="SEU3" s="13"/>
      <c r="SEV3" s="13"/>
      <c r="SEW3" s="13"/>
      <c r="SEX3" s="13"/>
      <c r="SEY3" s="13"/>
      <c r="SEZ3" s="13"/>
      <c r="SFA3" s="13"/>
      <c r="SFB3" s="13"/>
      <c r="SFC3" s="13"/>
      <c r="SFD3" s="13"/>
      <c r="SFE3" s="13"/>
      <c r="SFF3" s="13"/>
      <c r="SFG3" s="13"/>
      <c r="SFH3" s="13"/>
      <c r="SFI3" s="13"/>
      <c r="SFJ3" s="13"/>
      <c r="SFK3" s="13"/>
      <c r="SFL3" s="13"/>
      <c r="SFM3" s="13"/>
      <c r="SFN3" s="13"/>
      <c r="SFO3" s="13"/>
      <c r="SFP3" s="13"/>
      <c r="SFQ3" s="13"/>
      <c r="SFR3" s="13"/>
      <c r="SFS3" s="13"/>
      <c r="SFT3" s="13"/>
      <c r="SFU3" s="13"/>
      <c r="SFV3" s="13"/>
      <c r="SFW3" s="13"/>
      <c r="SFX3" s="13"/>
      <c r="SFY3" s="13"/>
      <c r="SFZ3" s="13"/>
      <c r="SGA3" s="13"/>
      <c r="SGB3" s="13"/>
      <c r="SGC3" s="13"/>
      <c r="SGD3" s="13"/>
      <c r="SGE3" s="13"/>
      <c r="SGF3" s="13"/>
      <c r="SGG3" s="13"/>
      <c r="SGH3" s="13"/>
      <c r="SGI3" s="13"/>
      <c r="SGJ3" s="13"/>
      <c r="SGK3" s="13"/>
      <c r="SGL3" s="13"/>
      <c r="SGM3" s="13"/>
      <c r="SGN3" s="13"/>
      <c r="SGO3" s="13"/>
      <c r="SGP3" s="13"/>
      <c r="SGQ3" s="13"/>
      <c r="SGR3" s="13"/>
      <c r="SGS3" s="13"/>
      <c r="SGT3" s="13"/>
      <c r="SGU3" s="13"/>
      <c r="SGV3" s="13"/>
      <c r="SGW3" s="13"/>
      <c r="SGX3" s="13"/>
      <c r="SGY3" s="13"/>
      <c r="SGZ3" s="13"/>
      <c r="SHA3" s="13"/>
      <c r="SHB3" s="13"/>
      <c r="SHC3" s="13"/>
      <c r="SHD3" s="13"/>
      <c r="SHE3" s="13"/>
      <c r="SHF3" s="13"/>
      <c r="SHG3" s="13"/>
      <c r="SHH3" s="13"/>
      <c r="SHI3" s="13"/>
      <c r="SHJ3" s="13"/>
      <c r="SHK3" s="13"/>
      <c r="SHL3" s="13"/>
      <c r="SHM3" s="13"/>
      <c r="SHN3" s="13"/>
      <c r="SHO3" s="13"/>
      <c r="SHP3" s="13"/>
      <c r="SHQ3" s="13"/>
      <c r="SHR3" s="13"/>
      <c r="SHS3" s="13"/>
      <c r="SHT3" s="13"/>
      <c r="SHU3" s="13"/>
      <c r="SHV3" s="13"/>
      <c r="SHW3" s="13"/>
      <c r="SHX3" s="13"/>
      <c r="SHY3" s="13"/>
      <c r="SHZ3" s="13"/>
      <c r="SIA3" s="13"/>
      <c r="SIB3" s="13"/>
      <c r="SIC3" s="13"/>
      <c r="SID3" s="13"/>
      <c r="SIE3" s="13"/>
      <c r="SIF3" s="13"/>
      <c r="SIG3" s="13"/>
      <c r="SIH3" s="13"/>
      <c r="SII3" s="13"/>
      <c r="SIJ3" s="13"/>
      <c r="SIK3" s="13"/>
      <c r="SIL3" s="13"/>
      <c r="SIM3" s="13"/>
      <c r="SIN3" s="13"/>
      <c r="SIO3" s="13"/>
      <c r="SIP3" s="13"/>
      <c r="SIQ3" s="13"/>
      <c r="SIR3" s="13"/>
      <c r="SIS3" s="13"/>
      <c r="SIT3" s="13"/>
      <c r="SIU3" s="13"/>
      <c r="SIV3" s="13"/>
      <c r="SIW3" s="13"/>
      <c r="SIX3" s="13"/>
      <c r="SIY3" s="13"/>
      <c r="SIZ3" s="13"/>
      <c r="SJA3" s="13"/>
      <c r="SJB3" s="13"/>
      <c r="SJC3" s="13"/>
      <c r="SJD3" s="13"/>
      <c r="SJE3" s="13"/>
      <c r="SJF3" s="13"/>
      <c r="SJG3" s="13"/>
      <c r="SJH3" s="13"/>
      <c r="SJI3" s="13"/>
      <c r="SJJ3" s="13"/>
      <c r="SJK3" s="13"/>
      <c r="SJL3" s="13"/>
      <c r="SJM3" s="13"/>
      <c r="SJN3" s="13"/>
      <c r="SJO3" s="13"/>
      <c r="SJP3" s="13"/>
      <c r="SJQ3" s="13"/>
      <c r="SJR3" s="13"/>
      <c r="SJS3" s="13"/>
      <c r="SJT3" s="13"/>
      <c r="SJU3" s="13"/>
      <c r="SJV3" s="13"/>
      <c r="SJW3" s="13"/>
      <c r="SJX3" s="13"/>
      <c r="SJY3" s="13"/>
      <c r="SJZ3" s="13"/>
      <c r="SKA3" s="13"/>
      <c r="SKB3" s="13"/>
      <c r="SKC3" s="13"/>
      <c r="SKD3" s="13"/>
      <c r="SKE3" s="13"/>
      <c r="SKF3" s="13"/>
      <c r="SKG3" s="13"/>
      <c r="SKH3" s="13"/>
      <c r="SKI3" s="13"/>
      <c r="SKJ3" s="13"/>
      <c r="SKK3" s="13"/>
      <c r="SKL3" s="13"/>
      <c r="SKM3" s="13"/>
      <c r="SKN3" s="13"/>
      <c r="SKO3" s="13"/>
      <c r="SKP3" s="13"/>
      <c r="SKQ3" s="13"/>
      <c r="SKR3" s="13"/>
      <c r="SKS3" s="13"/>
      <c r="SKT3" s="13"/>
      <c r="SKU3" s="13"/>
      <c r="SKV3" s="13"/>
      <c r="SKW3" s="13"/>
      <c r="SKX3" s="13"/>
      <c r="SKY3" s="13"/>
      <c r="SKZ3" s="13"/>
      <c r="SLA3" s="13"/>
      <c r="SLB3" s="13"/>
      <c r="SLC3" s="13"/>
      <c r="SLD3" s="13"/>
      <c r="SLE3" s="13"/>
      <c r="SLF3" s="13"/>
      <c r="SLG3" s="13"/>
      <c r="SLH3" s="13"/>
      <c r="SLI3" s="13"/>
      <c r="SLJ3" s="13"/>
      <c r="SLK3" s="13"/>
      <c r="SLL3" s="13"/>
      <c r="SLM3" s="13"/>
      <c r="SLN3" s="13"/>
      <c r="SLO3" s="13"/>
      <c r="SLP3" s="13"/>
      <c r="SLQ3" s="13"/>
      <c r="SLR3" s="13"/>
      <c r="SLS3" s="13"/>
      <c r="SLT3" s="13"/>
      <c r="SLU3" s="13"/>
      <c r="SLV3" s="13"/>
      <c r="SLW3" s="13"/>
      <c r="SLX3" s="13"/>
      <c r="SLY3" s="13"/>
      <c r="SLZ3" s="13"/>
      <c r="SMA3" s="13"/>
      <c r="SMB3" s="13"/>
      <c r="SMC3" s="13"/>
      <c r="SMD3" s="13"/>
      <c r="SME3" s="13"/>
      <c r="SMF3" s="13"/>
      <c r="SMG3" s="13"/>
      <c r="SMH3" s="13"/>
      <c r="SMI3" s="13"/>
      <c r="SMJ3" s="13"/>
      <c r="SMK3" s="13"/>
      <c r="SML3" s="13"/>
      <c r="SMM3" s="13"/>
      <c r="SMN3" s="13"/>
      <c r="SMO3" s="13"/>
      <c r="SMP3" s="13"/>
      <c r="SMQ3" s="13"/>
      <c r="SMR3" s="13"/>
      <c r="SMS3" s="13"/>
      <c r="SMT3" s="13"/>
      <c r="SMU3" s="13"/>
      <c r="SMV3" s="13"/>
      <c r="SMW3" s="13"/>
      <c r="SMX3" s="13"/>
      <c r="SMY3" s="13"/>
      <c r="SMZ3" s="13"/>
      <c r="SNA3" s="13"/>
      <c r="SNB3" s="13"/>
      <c r="SNC3" s="13"/>
      <c r="SND3" s="13"/>
      <c r="SNE3" s="13"/>
      <c r="SNF3" s="13"/>
      <c r="SNG3" s="13"/>
      <c r="SNH3" s="13"/>
      <c r="SNI3" s="13"/>
      <c r="SNJ3" s="13"/>
      <c r="SNK3" s="13"/>
      <c r="SNL3" s="13"/>
      <c r="SNM3" s="13"/>
      <c r="SNN3" s="13"/>
      <c r="SNO3" s="13"/>
      <c r="SNP3" s="13"/>
      <c r="SNQ3" s="13"/>
      <c r="SNR3" s="13"/>
      <c r="SNS3" s="13"/>
      <c r="SNT3" s="13"/>
      <c r="SNU3" s="13"/>
      <c r="SNV3" s="13"/>
      <c r="SNW3" s="13"/>
      <c r="SNX3" s="13"/>
      <c r="SNY3" s="13"/>
      <c r="SNZ3" s="13"/>
      <c r="SOA3" s="13"/>
      <c r="SOB3" s="13"/>
      <c r="SOC3" s="13"/>
      <c r="SOD3" s="13"/>
      <c r="SOE3" s="13"/>
      <c r="SOF3" s="13"/>
      <c r="SOG3" s="13"/>
      <c r="SOH3" s="13"/>
      <c r="SOI3" s="13"/>
      <c r="SOJ3" s="13"/>
      <c r="SOK3" s="13"/>
      <c r="SOL3" s="13"/>
      <c r="SOM3" s="13"/>
      <c r="SON3" s="13"/>
      <c r="SOO3" s="13"/>
      <c r="SOP3" s="13"/>
      <c r="SOQ3" s="13"/>
      <c r="SOR3" s="13"/>
      <c r="SOS3" s="13"/>
      <c r="SOT3" s="13"/>
      <c r="SOU3" s="13"/>
      <c r="SOV3" s="13"/>
      <c r="SOW3" s="13"/>
      <c r="SOX3" s="13"/>
      <c r="SOY3" s="13"/>
      <c r="SOZ3" s="13"/>
      <c r="SPA3" s="13"/>
      <c r="SPB3" s="13"/>
      <c r="SPC3" s="13"/>
      <c r="SPD3" s="13"/>
      <c r="SPE3" s="13"/>
      <c r="SPF3" s="13"/>
      <c r="SPG3" s="13"/>
      <c r="SPH3" s="13"/>
      <c r="SPI3" s="13"/>
      <c r="SPJ3" s="13"/>
      <c r="SPK3" s="13"/>
      <c r="SPL3" s="13"/>
      <c r="SPM3" s="13"/>
      <c r="SPN3" s="13"/>
      <c r="SPO3" s="13"/>
      <c r="SPP3" s="13"/>
      <c r="SPQ3" s="13"/>
      <c r="SPR3" s="13"/>
      <c r="SPS3" s="13"/>
      <c r="SPT3" s="13"/>
      <c r="SPU3" s="13"/>
      <c r="SPV3" s="13"/>
      <c r="SPW3" s="13"/>
      <c r="SPX3" s="13"/>
      <c r="SPY3" s="13"/>
      <c r="SPZ3" s="13"/>
      <c r="SQA3" s="13"/>
      <c r="SQB3" s="13"/>
      <c r="SQC3" s="13"/>
      <c r="SQD3" s="13"/>
      <c r="SQE3" s="13"/>
      <c r="SQF3" s="13"/>
      <c r="SQG3" s="13"/>
      <c r="SQH3" s="13"/>
      <c r="SQI3" s="13"/>
      <c r="SQJ3" s="13"/>
      <c r="SQK3" s="13"/>
      <c r="SQL3" s="13"/>
      <c r="SQM3" s="13"/>
      <c r="SQN3" s="13"/>
      <c r="SQO3" s="13"/>
      <c r="SQP3" s="13"/>
      <c r="SQQ3" s="13"/>
      <c r="SQR3" s="13"/>
      <c r="SQS3" s="13"/>
      <c r="SQT3" s="13"/>
      <c r="SQU3" s="13"/>
      <c r="SQV3" s="13"/>
      <c r="SQW3" s="13"/>
      <c r="SQX3" s="13"/>
      <c r="SQY3" s="13"/>
      <c r="SQZ3" s="13"/>
      <c r="SRA3" s="13"/>
      <c r="SRB3" s="13"/>
      <c r="SRC3" s="13"/>
      <c r="SRD3" s="13"/>
      <c r="SRE3" s="13"/>
      <c r="SRF3" s="13"/>
      <c r="SRG3" s="13"/>
      <c r="SRH3" s="13"/>
      <c r="SRI3" s="13"/>
      <c r="SRJ3" s="13"/>
      <c r="SRK3" s="13"/>
      <c r="SRL3" s="13"/>
      <c r="SRM3" s="13"/>
      <c r="SRN3" s="13"/>
      <c r="SRO3" s="13"/>
      <c r="SRP3" s="13"/>
      <c r="SRQ3" s="13"/>
      <c r="SRR3" s="13"/>
      <c r="SRS3" s="13"/>
      <c r="SRT3" s="13"/>
      <c r="SRU3" s="13"/>
      <c r="SRV3" s="13"/>
      <c r="SRW3" s="13"/>
      <c r="SRX3" s="13"/>
      <c r="SRY3" s="13"/>
      <c r="SRZ3" s="13"/>
      <c r="SSA3" s="13"/>
      <c r="SSB3" s="13"/>
      <c r="SSC3" s="13"/>
      <c r="SSD3" s="13"/>
      <c r="SSE3" s="13"/>
      <c r="SSF3" s="13"/>
      <c r="SSG3" s="13"/>
      <c r="SSH3" s="13"/>
      <c r="SSI3" s="13"/>
      <c r="SSJ3" s="13"/>
      <c r="SSK3" s="13"/>
      <c r="SSL3" s="13"/>
      <c r="SSM3" s="13"/>
      <c r="SSN3" s="13"/>
      <c r="SSO3" s="13"/>
      <c r="SSP3" s="13"/>
      <c r="SSQ3" s="13"/>
      <c r="SSR3" s="13"/>
      <c r="SSS3" s="13"/>
      <c r="SST3" s="13"/>
      <c r="SSU3" s="13"/>
      <c r="SSV3" s="13"/>
      <c r="SSW3" s="13"/>
      <c r="SSX3" s="13"/>
      <c r="SSY3" s="13"/>
      <c r="SSZ3" s="13"/>
      <c r="STA3" s="13"/>
      <c r="STB3" s="13"/>
      <c r="STC3" s="13"/>
      <c r="STD3" s="13"/>
      <c r="STE3" s="13"/>
      <c r="STF3" s="13"/>
      <c r="STG3" s="13"/>
      <c r="STH3" s="13"/>
      <c r="STI3" s="13"/>
      <c r="STJ3" s="13"/>
      <c r="STK3" s="13"/>
      <c r="STL3" s="13"/>
      <c r="STM3" s="13"/>
      <c r="STN3" s="13"/>
      <c r="STO3" s="13"/>
      <c r="STP3" s="13"/>
      <c r="STQ3" s="13"/>
      <c r="STR3" s="13"/>
      <c r="STS3" s="13"/>
      <c r="STT3" s="13"/>
      <c r="STU3" s="13"/>
      <c r="STV3" s="13"/>
      <c r="STW3" s="13"/>
      <c r="STX3" s="13"/>
      <c r="STY3" s="13"/>
      <c r="STZ3" s="13"/>
      <c r="SUA3" s="13"/>
      <c r="SUB3" s="13"/>
      <c r="SUC3" s="13"/>
      <c r="SUD3" s="13"/>
      <c r="SUE3" s="13"/>
      <c r="SUF3" s="13"/>
      <c r="SUG3" s="13"/>
      <c r="SUH3" s="13"/>
      <c r="SUI3" s="13"/>
      <c r="SUJ3" s="13"/>
      <c r="SUK3" s="13"/>
      <c r="SUL3" s="13"/>
      <c r="SUM3" s="13"/>
      <c r="SUN3" s="13"/>
      <c r="SUO3" s="13"/>
      <c r="SUP3" s="13"/>
      <c r="SUQ3" s="13"/>
      <c r="SUR3" s="13"/>
      <c r="SUS3" s="13"/>
      <c r="SUT3" s="13"/>
      <c r="SUU3" s="13"/>
      <c r="SUV3" s="13"/>
      <c r="SUW3" s="13"/>
      <c r="SUX3" s="13"/>
      <c r="SUY3" s="13"/>
      <c r="SUZ3" s="13"/>
      <c r="SVA3" s="13"/>
      <c r="SVB3" s="13"/>
      <c r="SVC3" s="13"/>
      <c r="SVD3" s="13"/>
      <c r="SVE3" s="13"/>
      <c r="SVF3" s="13"/>
      <c r="SVG3" s="13"/>
      <c r="SVH3" s="13"/>
      <c r="SVI3" s="13"/>
      <c r="SVJ3" s="13"/>
      <c r="SVK3" s="13"/>
      <c r="SVL3" s="13"/>
      <c r="SVM3" s="13"/>
      <c r="SVN3" s="13"/>
      <c r="SVO3" s="13"/>
      <c r="SVP3" s="13"/>
      <c r="SVQ3" s="13"/>
      <c r="SVR3" s="13"/>
      <c r="SVS3" s="13"/>
      <c r="SVT3" s="13"/>
      <c r="SVU3" s="13"/>
      <c r="SVV3" s="13"/>
      <c r="SVW3" s="13"/>
      <c r="SVX3" s="13"/>
      <c r="SVY3" s="13"/>
      <c r="SVZ3" s="13"/>
      <c r="SWA3" s="13"/>
      <c r="SWB3" s="13"/>
      <c r="SWC3" s="13"/>
      <c r="SWD3" s="13"/>
      <c r="SWE3" s="13"/>
      <c r="SWF3" s="13"/>
      <c r="SWG3" s="13"/>
      <c r="SWH3" s="13"/>
      <c r="SWI3" s="13"/>
      <c r="SWJ3" s="13"/>
      <c r="SWK3" s="13"/>
      <c r="SWL3" s="13"/>
      <c r="SWM3" s="13"/>
      <c r="SWN3" s="13"/>
      <c r="SWO3" s="13"/>
      <c r="SWP3" s="13"/>
      <c r="SWQ3" s="13"/>
      <c r="SWR3" s="13"/>
      <c r="SWS3" s="13"/>
      <c r="SWT3" s="13"/>
      <c r="SWU3" s="13"/>
      <c r="SWV3" s="13"/>
      <c r="SWW3" s="13"/>
      <c r="SWX3" s="13"/>
      <c r="SWY3" s="13"/>
      <c r="SWZ3" s="13"/>
      <c r="SXA3" s="13"/>
      <c r="SXB3" s="13"/>
      <c r="SXC3" s="13"/>
      <c r="SXD3" s="13"/>
      <c r="SXE3" s="13"/>
      <c r="SXF3" s="13"/>
      <c r="SXG3" s="13"/>
      <c r="SXH3" s="13"/>
      <c r="SXI3" s="13"/>
      <c r="SXJ3" s="13"/>
      <c r="SXK3" s="13"/>
      <c r="SXL3" s="13"/>
      <c r="SXM3" s="13"/>
      <c r="SXN3" s="13"/>
      <c r="SXO3" s="13"/>
      <c r="SXP3" s="13"/>
      <c r="SXQ3" s="13"/>
      <c r="SXR3" s="13"/>
      <c r="SXS3" s="13"/>
      <c r="SXT3" s="13"/>
      <c r="SXU3" s="13"/>
      <c r="SXV3" s="13"/>
      <c r="SXW3" s="13"/>
      <c r="SXX3" s="13"/>
      <c r="SXY3" s="13"/>
      <c r="SXZ3" s="13"/>
      <c r="SYA3" s="13"/>
      <c r="SYB3" s="13"/>
      <c r="SYC3" s="13"/>
      <c r="SYD3" s="13"/>
      <c r="SYE3" s="13"/>
      <c r="SYF3" s="13"/>
      <c r="SYG3" s="13"/>
      <c r="SYH3" s="13"/>
      <c r="SYI3" s="13"/>
      <c r="SYJ3" s="13"/>
      <c r="SYK3" s="13"/>
      <c r="SYL3" s="13"/>
      <c r="SYM3" s="13"/>
      <c r="SYN3" s="13"/>
      <c r="SYO3" s="13"/>
      <c r="SYP3" s="13"/>
      <c r="SYQ3" s="13"/>
      <c r="SYR3" s="13"/>
      <c r="SYS3" s="13"/>
      <c r="SYT3" s="13"/>
      <c r="SYU3" s="13"/>
      <c r="SYV3" s="13"/>
      <c r="SYW3" s="13"/>
      <c r="SYX3" s="13"/>
      <c r="SYY3" s="13"/>
      <c r="SYZ3" s="13"/>
      <c r="SZA3" s="13"/>
      <c r="SZB3" s="13"/>
      <c r="SZC3" s="13"/>
      <c r="SZD3" s="13"/>
      <c r="SZE3" s="13"/>
      <c r="SZF3" s="13"/>
      <c r="SZG3" s="13"/>
      <c r="SZH3" s="13"/>
      <c r="SZI3" s="13"/>
      <c r="SZJ3" s="13"/>
      <c r="SZK3" s="13"/>
      <c r="SZL3" s="13"/>
      <c r="SZM3" s="13"/>
      <c r="SZN3" s="13"/>
      <c r="SZO3" s="13"/>
      <c r="SZP3" s="13"/>
      <c r="SZQ3" s="13"/>
      <c r="SZR3" s="13"/>
      <c r="SZS3" s="13"/>
      <c r="SZT3" s="13"/>
      <c r="SZU3" s="13"/>
      <c r="SZV3" s="13"/>
      <c r="SZW3" s="13"/>
      <c r="SZX3" s="13"/>
      <c r="SZY3" s="13"/>
      <c r="SZZ3" s="13"/>
      <c r="TAA3" s="13"/>
      <c r="TAB3" s="13"/>
      <c r="TAC3" s="13"/>
      <c r="TAD3" s="13"/>
      <c r="TAE3" s="13"/>
      <c r="TAF3" s="13"/>
      <c r="TAG3" s="13"/>
      <c r="TAH3" s="13"/>
      <c r="TAI3" s="13"/>
      <c r="TAJ3" s="13"/>
      <c r="TAK3" s="13"/>
      <c r="TAL3" s="13"/>
      <c r="TAM3" s="13"/>
      <c r="TAN3" s="13"/>
      <c r="TAO3" s="13"/>
      <c r="TAP3" s="13"/>
      <c r="TAQ3" s="13"/>
      <c r="TAR3" s="13"/>
      <c r="TAS3" s="13"/>
      <c r="TAT3" s="13"/>
      <c r="TAU3" s="13"/>
      <c r="TAV3" s="13"/>
      <c r="TAW3" s="13"/>
      <c r="TAX3" s="13"/>
      <c r="TAY3" s="13"/>
      <c r="TAZ3" s="13"/>
      <c r="TBA3" s="13"/>
      <c r="TBB3" s="13"/>
      <c r="TBC3" s="13"/>
      <c r="TBD3" s="13"/>
      <c r="TBE3" s="13"/>
      <c r="TBF3" s="13"/>
      <c r="TBG3" s="13"/>
      <c r="TBH3" s="13"/>
      <c r="TBI3" s="13"/>
      <c r="TBJ3" s="13"/>
      <c r="TBK3" s="13"/>
      <c r="TBL3" s="13"/>
      <c r="TBM3" s="13"/>
      <c r="TBN3" s="13"/>
      <c r="TBO3" s="13"/>
      <c r="TBP3" s="13"/>
      <c r="TBQ3" s="13"/>
      <c r="TBR3" s="13"/>
      <c r="TBS3" s="13"/>
      <c r="TBT3" s="13"/>
      <c r="TBU3" s="13"/>
      <c r="TBV3" s="13"/>
      <c r="TBW3" s="13"/>
      <c r="TBX3" s="13"/>
      <c r="TBY3" s="13"/>
      <c r="TBZ3" s="13"/>
      <c r="TCA3" s="13"/>
      <c r="TCB3" s="13"/>
      <c r="TCC3" s="13"/>
      <c r="TCD3" s="13"/>
      <c r="TCE3" s="13"/>
      <c r="TCF3" s="13"/>
      <c r="TCG3" s="13"/>
      <c r="TCH3" s="13"/>
      <c r="TCI3" s="13"/>
      <c r="TCJ3" s="13"/>
      <c r="TCK3" s="13"/>
      <c r="TCL3" s="13"/>
      <c r="TCM3" s="13"/>
      <c r="TCN3" s="13"/>
      <c r="TCO3" s="13"/>
      <c r="TCP3" s="13"/>
      <c r="TCQ3" s="13"/>
      <c r="TCR3" s="13"/>
      <c r="TCS3" s="13"/>
      <c r="TCT3" s="13"/>
      <c r="TCU3" s="13"/>
      <c r="TCV3" s="13"/>
      <c r="TCW3" s="13"/>
      <c r="TCX3" s="13"/>
      <c r="TCY3" s="13"/>
      <c r="TCZ3" s="13"/>
      <c r="TDA3" s="13"/>
      <c r="TDB3" s="13"/>
      <c r="TDC3" s="13"/>
      <c r="TDD3" s="13"/>
      <c r="TDE3" s="13"/>
      <c r="TDF3" s="13"/>
      <c r="TDG3" s="13"/>
      <c r="TDH3" s="13"/>
      <c r="TDI3" s="13"/>
      <c r="TDJ3" s="13"/>
      <c r="TDK3" s="13"/>
      <c r="TDL3" s="13"/>
      <c r="TDM3" s="13"/>
      <c r="TDN3" s="13"/>
      <c r="TDO3" s="13"/>
      <c r="TDP3" s="13"/>
      <c r="TDQ3" s="13"/>
      <c r="TDR3" s="13"/>
      <c r="TDS3" s="13"/>
      <c r="TDT3" s="13"/>
      <c r="TDU3" s="13"/>
      <c r="TDV3" s="13"/>
      <c r="TDW3" s="13"/>
      <c r="TDX3" s="13"/>
      <c r="TDY3" s="13"/>
      <c r="TDZ3" s="13"/>
      <c r="TEA3" s="13"/>
      <c r="TEB3" s="13"/>
      <c r="TEC3" s="13"/>
      <c r="TED3" s="13"/>
      <c r="TEE3" s="13"/>
      <c r="TEF3" s="13"/>
      <c r="TEG3" s="13"/>
      <c r="TEH3" s="13"/>
      <c r="TEI3" s="13"/>
      <c r="TEJ3" s="13"/>
      <c r="TEK3" s="13"/>
      <c r="TEL3" s="13"/>
      <c r="TEM3" s="13"/>
      <c r="TEN3" s="13"/>
      <c r="TEO3" s="13"/>
      <c r="TEP3" s="13"/>
      <c r="TEQ3" s="13"/>
      <c r="TER3" s="13"/>
      <c r="TES3" s="13"/>
      <c r="TET3" s="13"/>
      <c r="TEU3" s="13"/>
      <c r="TEV3" s="13"/>
      <c r="TEW3" s="13"/>
      <c r="TEX3" s="13"/>
      <c r="TEY3" s="13"/>
      <c r="TEZ3" s="13"/>
      <c r="TFA3" s="13"/>
      <c r="TFB3" s="13"/>
      <c r="TFC3" s="13"/>
      <c r="TFD3" s="13"/>
      <c r="TFE3" s="13"/>
      <c r="TFF3" s="13"/>
      <c r="TFG3" s="13"/>
      <c r="TFH3" s="13"/>
      <c r="TFI3" s="13"/>
      <c r="TFJ3" s="13"/>
      <c r="TFK3" s="13"/>
      <c r="TFL3" s="13"/>
      <c r="TFM3" s="13"/>
      <c r="TFN3" s="13"/>
      <c r="TFO3" s="13"/>
      <c r="TFP3" s="13"/>
      <c r="TFQ3" s="13"/>
      <c r="TFR3" s="13"/>
      <c r="TFS3" s="13"/>
      <c r="TFT3" s="13"/>
      <c r="TFU3" s="13"/>
      <c r="TFV3" s="13"/>
      <c r="TFW3" s="13"/>
      <c r="TFX3" s="13"/>
      <c r="TFY3" s="13"/>
      <c r="TFZ3" s="13"/>
      <c r="TGA3" s="13"/>
      <c r="TGB3" s="13"/>
      <c r="TGC3" s="13"/>
      <c r="TGD3" s="13"/>
      <c r="TGE3" s="13"/>
      <c r="TGF3" s="13"/>
      <c r="TGG3" s="13"/>
      <c r="TGH3" s="13"/>
      <c r="TGI3" s="13"/>
      <c r="TGJ3" s="13"/>
      <c r="TGK3" s="13"/>
      <c r="TGL3" s="13"/>
      <c r="TGM3" s="13"/>
      <c r="TGN3" s="13"/>
      <c r="TGO3" s="13"/>
      <c r="TGP3" s="13"/>
      <c r="TGQ3" s="13"/>
      <c r="TGR3" s="13"/>
      <c r="TGS3" s="13"/>
      <c r="TGT3" s="13"/>
      <c r="TGU3" s="13"/>
      <c r="TGV3" s="13"/>
      <c r="TGW3" s="13"/>
      <c r="TGX3" s="13"/>
      <c r="TGY3" s="13"/>
      <c r="TGZ3" s="13"/>
      <c r="THA3" s="13"/>
      <c r="THB3" s="13"/>
      <c r="THC3" s="13"/>
      <c r="THD3" s="13"/>
      <c r="THE3" s="13"/>
      <c r="THF3" s="13"/>
      <c r="THG3" s="13"/>
      <c r="THH3" s="13"/>
      <c r="THI3" s="13"/>
      <c r="THJ3" s="13"/>
      <c r="THK3" s="13"/>
      <c r="THL3" s="13"/>
      <c r="THM3" s="13"/>
      <c r="THN3" s="13"/>
      <c r="THO3" s="13"/>
      <c r="THP3" s="13"/>
      <c r="THQ3" s="13"/>
      <c r="THR3" s="13"/>
      <c r="THS3" s="13"/>
      <c r="THT3" s="13"/>
      <c r="THU3" s="13"/>
      <c r="THV3" s="13"/>
      <c r="THW3" s="13"/>
      <c r="THX3" s="13"/>
      <c r="THY3" s="13"/>
      <c r="THZ3" s="13"/>
      <c r="TIA3" s="13"/>
      <c r="TIB3" s="13"/>
      <c r="TIC3" s="13"/>
      <c r="TID3" s="13"/>
      <c r="TIE3" s="13"/>
      <c r="TIF3" s="13"/>
      <c r="TIG3" s="13"/>
      <c r="TIH3" s="13"/>
      <c r="TII3" s="13"/>
      <c r="TIJ3" s="13"/>
      <c r="TIK3" s="13"/>
      <c r="TIL3" s="13"/>
      <c r="TIM3" s="13"/>
      <c r="TIN3" s="13"/>
      <c r="TIO3" s="13"/>
      <c r="TIP3" s="13"/>
      <c r="TIQ3" s="13"/>
      <c r="TIR3" s="13"/>
      <c r="TIS3" s="13"/>
      <c r="TIT3" s="13"/>
      <c r="TIU3" s="13"/>
      <c r="TIV3" s="13"/>
      <c r="TIW3" s="13"/>
      <c r="TIX3" s="13"/>
      <c r="TIY3" s="13"/>
      <c r="TIZ3" s="13"/>
      <c r="TJA3" s="13"/>
      <c r="TJB3" s="13"/>
      <c r="TJC3" s="13"/>
      <c r="TJD3" s="13"/>
      <c r="TJE3" s="13"/>
      <c r="TJF3" s="13"/>
      <c r="TJG3" s="13"/>
      <c r="TJH3" s="13"/>
      <c r="TJI3" s="13"/>
      <c r="TJJ3" s="13"/>
      <c r="TJK3" s="13"/>
      <c r="TJL3" s="13"/>
      <c r="TJM3" s="13"/>
      <c r="TJN3" s="13"/>
      <c r="TJO3" s="13"/>
      <c r="TJP3" s="13"/>
      <c r="TJQ3" s="13"/>
      <c r="TJR3" s="13"/>
      <c r="TJS3" s="13"/>
      <c r="TJT3" s="13"/>
      <c r="TJU3" s="13"/>
      <c r="TJV3" s="13"/>
      <c r="TJW3" s="13"/>
      <c r="TJX3" s="13"/>
      <c r="TJY3" s="13"/>
      <c r="TJZ3" s="13"/>
      <c r="TKA3" s="13"/>
      <c r="TKB3" s="13"/>
      <c r="TKC3" s="13"/>
      <c r="TKD3" s="13"/>
      <c r="TKE3" s="13"/>
      <c r="TKF3" s="13"/>
      <c r="TKG3" s="13"/>
      <c r="TKH3" s="13"/>
      <c r="TKI3" s="13"/>
      <c r="TKJ3" s="13"/>
      <c r="TKK3" s="13"/>
      <c r="TKL3" s="13"/>
      <c r="TKM3" s="13"/>
      <c r="TKN3" s="13"/>
      <c r="TKO3" s="13"/>
      <c r="TKP3" s="13"/>
      <c r="TKQ3" s="13"/>
      <c r="TKR3" s="13"/>
      <c r="TKS3" s="13"/>
      <c r="TKT3" s="13"/>
      <c r="TKU3" s="13"/>
      <c r="TKV3" s="13"/>
      <c r="TKW3" s="13"/>
      <c r="TKX3" s="13"/>
      <c r="TKY3" s="13"/>
      <c r="TKZ3" s="13"/>
      <c r="TLA3" s="13"/>
      <c r="TLB3" s="13"/>
      <c r="TLC3" s="13"/>
      <c r="TLD3" s="13"/>
      <c r="TLE3" s="13"/>
      <c r="TLF3" s="13"/>
      <c r="TLG3" s="13"/>
      <c r="TLH3" s="13"/>
      <c r="TLI3" s="13"/>
      <c r="TLJ3" s="13"/>
      <c r="TLK3" s="13"/>
      <c r="TLL3" s="13"/>
      <c r="TLM3" s="13"/>
      <c r="TLN3" s="13"/>
      <c r="TLO3" s="13"/>
      <c r="TLP3" s="13"/>
      <c r="TLQ3" s="13"/>
      <c r="TLR3" s="13"/>
      <c r="TLS3" s="13"/>
      <c r="TLT3" s="13"/>
      <c r="TLU3" s="13"/>
      <c r="TLV3" s="13"/>
      <c r="TLW3" s="13"/>
      <c r="TLX3" s="13"/>
      <c r="TLY3" s="13"/>
      <c r="TLZ3" s="13"/>
      <c r="TMA3" s="13"/>
      <c r="TMB3" s="13"/>
      <c r="TMC3" s="13"/>
      <c r="TMD3" s="13"/>
      <c r="TME3" s="13"/>
      <c r="TMF3" s="13"/>
      <c r="TMG3" s="13"/>
      <c r="TMH3" s="13"/>
      <c r="TMI3" s="13"/>
      <c r="TMJ3" s="13"/>
      <c r="TMK3" s="13"/>
      <c r="TML3" s="13"/>
      <c r="TMM3" s="13"/>
      <c r="TMN3" s="13"/>
      <c r="TMO3" s="13"/>
      <c r="TMP3" s="13"/>
      <c r="TMQ3" s="13"/>
      <c r="TMR3" s="13"/>
      <c r="TMS3" s="13"/>
      <c r="TMT3" s="13"/>
      <c r="TMU3" s="13"/>
      <c r="TMV3" s="13"/>
      <c r="TMW3" s="13"/>
      <c r="TMX3" s="13"/>
      <c r="TMY3" s="13"/>
      <c r="TMZ3" s="13"/>
      <c r="TNA3" s="13"/>
      <c r="TNB3" s="13"/>
      <c r="TNC3" s="13"/>
      <c r="TND3" s="13"/>
      <c r="TNE3" s="13"/>
      <c r="TNF3" s="13"/>
      <c r="TNG3" s="13"/>
      <c r="TNH3" s="13"/>
      <c r="TNI3" s="13"/>
      <c r="TNJ3" s="13"/>
      <c r="TNK3" s="13"/>
      <c r="TNL3" s="13"/>
      <c r="TNM3" s="13"/>
      <c r="TNN3" s="13"/>
      <c r="TNO3" s="13"/>
      <c r="TNP3" s="13"/>
      <c r="TNQ3" s="13"/>
      <c r="TNR3" s="13"/>
      <c r="TNS3" s="13"/>
      <c r="TNT3" s="13"/>
      <c r="TNU3" s="13"/>
      <c r="TNV3" s="13"/>
      <c r="TNW3" s="13"/>
      <c r="TNX3" s="13"/>
      <c r="TNY3" s="13"/>
      <c r="TNZ3" s="13"/>
      <c r="TOA3" s="13"/>
      <c r="TOB3" s="13"/>
      <c r="TOC3" s="13"/>
      <c r="TOD3" s="13"/>
      <c r="TOE3" s="13"/>
      <c r="TOF3" s="13"/>
      <c r="TOG3" s="13"/>
      <c r="TOH3" s="13"/>
      <c r="TOI3" s="13"/>
      <c r="TOJ3" s="13"/>
      <c r="TOK3" s="13"/>
      <c r="TOL3" s="13"/>
      <c r="TOM3" s="13"/>
      <c r="TON3" s="13"/>
      <c r="TOO3" s="13"/>
      <c r="TOP3" s="13"/>
      <c r="TOQ3" s="13"/>
      <c r="TOR3" s="13"/>
      <c r="TOS3" s="13"/>
      <c r="TOT3" s="13"/>
      <c r="TOU3" s="13"/>
      <c r="TOV3" s="13"/>
      <c r="TOW3" s="13"/>
      <c r="TOX3" s="13"/>
      <c r="TOY3" s="13"/>
      <c r="TOZ3" s="13"/>
      <c r="TPA3" s="13"/>
      <c r="TPB3" s="13"/>
      <c r="TPC3" s="13"/>
      <c r="TPD3" s="13"/>
      <c r="TPE3" s="13"/>
      <c r="TPF3" s="13"/>
      <c r="TPG3" s="13"/>
      <c r="TPH3" s="13"/>
      <c r="TPI3" s="13"/>
      <c r="TPJ3" s="13"/>
      <c r="TPK3" s="13"/>
      <c r="TPL3" s="13"/>
      <c r="TPM3" s="13"/>
      <c r="TPN3" s="13"/>
      <c r="TPO3" s="13"/>
      <c r="TPP3" s="13"/>
      <c r="TPQ3" s="13"/>
      <c r="TPR3" s="13"/>
      <c r="TPS3" s="13"/>
      <c r="TPT3" s="13"/>
      <c r="TPU3" s="13"/>
      <c r="TPV3" s="13"/>
      <c r="TPW3" s="13"/>
      <c r="TPX3" s="13"/>
      <c r="TPY3" s="13"/>
      <c r="TPZ3" s="13"/>
      <c r="TQA3" s="13"/>
      <c r="TQB3" s="13"/>
      <c r="TQC3" s="13"/>
      <c r="TQD3" s="13"/>
      <c r="TQE3" s="13"/>
      <c r="TQF3" s="13"/>
      <c r="TQG3" s="13"/>
      <c r="TQH3" s="13"/>
      <c r="TQI3" s="13"/>
      <c r="TQJ3" s="13"/>
      <c r="TQK3" s="13"/>
      <c r="TQL3" s="13"/>
      <c r="TQM3" s="13"/>
      <c r="TQN3" s="13"/>
      <c r="TQO3" s="13"/>
      <c r="TQP3" s="13"/>
      <c r="TQQ3" s="13"/>
      <c r="TQR3" s="13"/>
      <c r="TQS3" s="13"/>
      <c r="TQT3" s="13"/>
      <c r="TQU3" s="13"/>
      <c r="TQV3" s="13"/>
      <c r="TQW3" s="13"/>
      <c r="TQX3" s="13"/>
      <c r="TQY3" s="13"/>
      <c r="TQZ3" s="13"/>
      <c r="TRA3" s="13"/>
      <c r="TRB3" s="13"/>
      <c r="TRC3" s="13"/>
      <c r="TRD3" s="13"/>
      <c r="TRE3" s="13"/>
      <c r="TRF3" s="13"/>
      <c r="TRG3" s="13"/>
      <c r="TRH3" s="13"/>
      <c r="TRI3" s="13"/>
      <c r="TRJ3" s="13"/>
      <c r="TRK3" s="13"/>
      <c r="TRL3" s="13"/>
      <c r="TRM3" s="13"/>
      <c r="TRN3" s="13"/>
      <c r="TRO3" s="13"/>
      <c r="TRP3" s="13"/>
      <c r="TRQ3" s="13"/>
      <c r="TRR3" s="13"/>
      <c r="TRS3" s="13"/>
      <c r="TRT3" s="13"/>
      <c r="TRU3" s="13"/>
      <c r="TRV3" s="13"/>
      <c r="TRW3" s="13"/>
      <c r="TRX3" s="13"/>
      <c r="TRY3" s="13"/>
      <c r="TRZ3" s="13"/>
      <c r="TSA3" s="13"/>
      <c r="TSB3" s="13"/>
      <c r="TSC3" s="13"/>
      <c r="TSD3" s="13"/>
      <c r="TSE3" s="13"/>
      <c r="TSF3" s="13"/>
      <c r="TSG3" s="13"/>
      <c r="TSH3" s="13"/>
      <c r="TSI3" s="13"/>
      <c r="TSJ3" s="13"/>
      <c r="TSK3" s="13"/>
      <c r="TSL3" s="13"/>
      <c r="TSM3" s="13"/>
      <c r="TSN3" s="13"/>
      <c r="TSO3" s="13"/>
      <c r="TSP3" s="13"/>
      <c r="TSQ3" s="13"/>
      <c r="TSR3" s="13"/>
      <c r="TSS3" s="13"/>
      <c r="TST3" s="13"/>
      <c r="TSU3" s="13"/>
      <c r="TSV3" s="13"/>
      <c r="TSW3" s="13"/>
      <c r="TSX3" s="13"/>
      <c r="TSY3" s="13"/>
      <c r="TSZ3" s="13"/>
      <c r="TTA3" s="13"/>
      <c r="TTB3" s="13"/>
      <c r="TTC3" s="13"/>
      <c r="TTD3" s="13"/>
      <c r="TTE3" s="13"/>
      <c r="TTF3" s="13"/>
      <c r="TTG3" s="13"/>
      <c r="TTH3" s="13"/>
      <c r="TTI3" s="13"/>
      <c r="TTJ3" s="13"/>
      <c r="TTK3" s="13"/>
      <c r="TTL3" s="13"/>
      <c r="TTM3" s="13"/>
      <c r="TTN3" s="13"/>
      <c r="TTO3" s="13"/>
      <c r="TTP3" s="13"/>
      <c r="TTQ3" s="13"/>
      <c r="TTR3" s="13"/>
      <c r="TTS3" s="13"/>
      <c r="TTT3" s="13"/>
      <c r="TTU3" s="13"/>
      <c r="TTV3" s="13"/>
      <c r="TTW3" s="13"/>
      <c r="TTX3" s="13"/>
      <c r="TTY3" s="13"/>
      <c r="TTZ3" s="13"/>
      <c r="TUA3" s="13"/>
      <c r="TUB3" s="13"/>
      <c r="TUC3" s="13"/>
      <c r="TUD3" s="13"/>
      <c r="TUE3" s="13"/>
      <c r="TUF3" s="13"/>
      <c r="TUG3" s="13"/>
      <c r="TUH3" s="13"/>
      <c r="TUI3" s="13"/>
      <c r="TUJ3" s="13"/>
      <c r="TUK3" s="13"/>
      <c r="TUL3" s="13"/>
      <c r="TUM3" s="13"/>
      <c r="TUN3" s="13"/>
      <c r="TUO3" s="13"/>
      <c r="TUP3" s="13"/>
      <c r="TUQ3" s="13"/>
      <c r="TUR3" s="13"/>
      <c r="TUS3" s="13"/>
      <c r="TUT3" s="13"/>
      <c r="TUU3" s="13"/>
      <c r="TUV3" s="13"/>
      <c r="TUW3" s="13"/>
      <c r="TUX3" s="13"/>
      <c r="TUY3" s="13"/>
      <c r="TUZ3" s="13"/>
      <c r="TVA3" s="13"/>
      <c r="TVB3" s="13"/>
      <c r="TVC3" s="13"/>
      <c r="TVD3" s="13"/>
      <c r="TVE3" s="13"/>
      <c r="TVF3" s="13"/>
      <c r="TVG3" s="13"/>
      <c r="TVH3" s="13"/>
      <c r="TVI3" s="13"/>
      <c r="TVJ3" s="13"/>
      <c r="TVK3" s="13"/>
      <c r="TVL3" s="13"/>
      <c r="TVM3" s="13"/>
      <c r="TVN3" s="13"/>
      <c r="TVO3" s="13"/>
      <c r="TVP3" s="13"/>
      <c r="TVQ3" s="13"/>
      <c r="TVR3" s="13"/>
      <c r="TVS3" s="13"/>
      <c r="TVT3" s="13"/>
      <c r="TVU3" s="13"/>
      <c r="TVV3" s="13"/>
      <c r="TVW3" s="13"/>
      <c r="TVX3" s="13"/>
      <c r="TVY3" s="13"/>
      <c r="TVZ3" s="13"/>
      <c r="TWA3" s="13"/>
      <c r="TWB3" s="13"/>
      <c r="TWC3" s="13"/>
      <c r="TWD3" s="13"/>
      <c r="TWE3" s="13"/>
      <c r="TWF3" s="13"/>
      <c r="TWG3" s="13"/>
      <c r="TWH3" s="13"/>
      <c r="TWI3" s="13"/>
      <c r="TWJ3" s="13"/>
      <c r="TWK3" s="13"/>
      <c r="TWL3" s="13"/>
      <c r="TWM3" s="13"/>
      <c r="TWN3" s="13"/>
      <c r="TWO3" s="13"/>
      <c r="TWP3" s="13"/>
      <c r="TWQ3" s="13"/>
      <c r="TWR3" s="13"/>
      <c r="TWS3" s="13"/>
      <c r="TWT3" s="13"/>
      <c r="TWU3" s="13"/>
      <c r="TWV3" s="13"/>
      <c r="TWW3" s="13"/>
      <c r="TWX3" s="13"/>
      <c r="TWY3" s="13"/>
      <c r="TWZ3" s="13"/>
      <c r="TXA3" s="13"/>
      <c r="TXB3" s="13"/>
      <c r="TXC3" s="13"/>
      <c r="TXD3" s="13"/>
      <c r="TXE3" s="13"/>
      <c r="TXF3" s="13"/>
      <c r="TXG3" s="13"/>
      <c r="TXH3" s="13"/>
      <c r="TXI3" s="13"/>
      <c r="TXJ3" s="13"/>
      <c r="TXK3" s="13"/>
      <c r="TXL3" s="13"/>
      <c r="TXM3" s="13"/>
      <c r="TXN3" s="13"/>
      <c r="TXO3" s="13"/>
      <c r="TXP3" s="13"/>
      <c r="TXQ3" s="13"/>
      <c r="TXR3" s="13"/>
      <c r="TXS3" s="13"/>
      <c r="TXT3" s="13"/>
      <c r="TXU3" s="13"/>
      <c r="TXV3" s="13"/>
      <c r="TXW3" s="13"/>
      <c r="TXX3" s="13"/>
      <c r="TXY3" s="13"/>
      <c r="TXZ3" s="13"/>
      <c r="TYA3" s="13"/>
      <c r="TYB3" s="13"/>
      <c r="TYC3" s="13"/>
      <c r="TYD3" s="13"/>
      <c r="TYE3" s="13"/>
      <c r="TYF3" s="13"/>
      <c r="TYG3" s="13"/>
      <c r="TYH3" s="13"/>
      <c r="TYI3" s="13"/>
      <c r="TYJ3" s="13"/>
      <c r="TYK3" s="13"/>
      <c r="TYL3" s="13"/>
      <c r="TYM3" s="13"/>
      <c r="TYN3" s="13"/>
      <c r="TYO3" s="13"/>
      <c r="TYP3" s="13"/>
      <c r="TYQ3" s="13"/>
      <c r="TYR3" s="13"/>
      <c r="TYS3" s="13"/>
      <c r="TYT3" s="13"/>
      <c r="TYU3" s="13"/>
      <c r="TYV3" s="13"/>
      <c r="TYW3" s="13"/>
      <c r="TYX3" s="13"/>
      <c r="TYY3" s="13"/>
      <c r="TYZ3" s="13"/>
      <c r="TZA3" s="13"/>
      <c r="TZB3" s="13"/>
      <c r="TZC3" s="13"/>
      <c r="TZD3" s="13"/>
      <c r="TZE3" s="13"/>
      <c r="TZF3" s="13"/>
      <c r="TZG3" s="13"/>
      <c r="TZH3" s="13"/>
      <c r="TZI3" s="13"/>
      <c r="TZJ3" s="13"/>
      <c r="TZK3" s="13"/>
      <c r="TZL3" s="13"/>
      <c r="TZM3" s="13"/>
      <c r="TZN3" s="13"/>
      <c r="TZO3" s="13"/>
      <c r="TZP3" s="13"/>
      <c r="TZQ3" s="13"/>
      <c r="TZR3" s="13"/>
      <c r="TZS3" s="13"/>
      <c r="TZT3" s="13"/>
      <c r="TZU3" s="13"/>
      <c r="TZV3" s="13"/>
      <c r="TZW3" s="13"/>
      <c r="TZX3" s="13"/>
      <c r="TZY3" s="13"/>
      <c r="TZZ3" s="13"/>
      <c r="UAA3" s="13"/>
      <c r="UAB3" s="13"/>
      <c r="UAC3" s="13"/>
      <c r="UAD3" s="13"/>
      <c r="UAE3" s="13"/>
      <c r="UAF3" s="13"/>
      <c r="UAG3" s="13"/>
      <c r="UAH3" s="13"/>
      <c r="UAI3" s="13"/>
      <c r="UAJ3" s="13"/>
      <c r="UAK3" s="13"/>
      <c r="UAL3" s="13"/>
      <c r="UAM3" s="13"/>
      <c r="UAN3" s="13"/>
      <c r="UAO3" s="13"/>
      <c r="UAP3" s="13"/>
      <c r="UAQ3" s="13"/>
      <c r="UAR3" s="13"/>
      <c r="UAS3" s="13"/>
      <c r="UAT3" s="13"/>
      <c r="UAU3" s="13"/>
      <c r="UAV3" s="13"/>
      <c r="UAW3" s="13"/>
      <c r="UAX3" s="13"/>
      <c r="UAY3" s="13"/>
      <c r="UAZ3" s="13"/>
      <c r="UBA3" s="13"/>
      <c r="UBB3" s="13"/>
      <c r="UBC3" s="13"/>
      <c r="UBD3" s="13"/>
      <c r="UBE3" s="13"/>
      <c r="UBF3" s="13"/>
      <c r="UBG3" s="13"/>
      <c r="UBH3" s="13"/>
      <c r="UBI3" s="13"/>
      <c r="UBJ3" s="13"/>
      <c r="UBK3" s="13"/>
      <c r="UBL3" s="13"/>
      <c r="UBM3" s="13"/>
      <c r="UBN3" s="13"/>
      <c r="UBO3" s="13"/>
      <c r="UBP3" s="13"/>
      <c r="UBQ3" s="13"/>
      <c r="UBR3" s="13"/>
      <c r="UBS3" s="13"/>
      <c r="UBT3" s="13"/>
      <c r="UBU3" s="13"/>
      <c r="UBV3" s="13"/>
      <c r="UBW3" s="13"/>
      <c r="UBX3" s="13"/>
      <c r="UBY3" s="13"/>
      <c r="UBZ3" s="13"/>
      <c r="UCA3" s="13"/>
      <c r="UCB3" s="13"/>
      <c r="UCC3" s="13"/>
      <c r="UCD3" s="13"/>
      <c r="UCE3" s="13"/>
      <c r="UCF3" s="13"/>
      <c r="UCG3" s="13"/>
      <c r="UCH3" s="13"/>
      <c r="UCI3" s="13"/>
      <c r="UCJ3" s="13"/>
      <c r="UCK3" s="13"/>
      <c r="UCL3" s="13"/>
      <c r="UCM3" s="13"/>
      <c r="UCN3" s="13"/>
      <c r="UCO3" s="13"/>
      <c r="UCP3" s="13"/>
      <c r="UCQ3" s="13"/>
      <c r="UCR3" s="13"/>
      <c r="UCS3" s="13"/>
      <c r="UCT3" s="13"/>
      <c r="UCU3" s="13"/>
      <c r="UCV3" s="13"/>
      <c r="UCW3" s="13"/>
      <c r="UCX3" s="13"/>
      <c r="UCY3" s="13"/>
      <c r="UCZ3" s="13"/>
      <c r="UDA3" s="13"/>
      <c r="UDB3" s="13"/>
      <c r="UDC3" s="13"/>
      <c r="UDD3" s="13"/>
      <c r="UDE3" s="13"/>
      <c r="UDF3" s="13"/>
      <c r="UDG3" s="13"/>
      <c r="UDH3" s="13"/>
      <c r="UDI3" s="13"/>
      <c r="UDJ3" s="13"/>
      <c r="UDK3" s="13"/>
      <c r="UDL3" s="13"/>
      <c r="UDM3" s="13"/>
      <c r="UDN3" s="13"/>
      <c r="UDO3" s="13"/>
      <c r="UDP3" s="13"/>
      <c r="UDQ3" s="13"/>
      <c r="UDR3" s="13"/>
      <c r="UDS3" s="13"/>
      <c r="UDT3" s="13"/>
      <c r="UDU3" s="13"/>
      <c r="UDV3" s="13"/>
      <c r="UDW3" s="13"/>
      <c r="UDX3" s="13"/>
      <c r="UDY3" s="13"/>
      <c r="UDZ3" s="13"/>
      <c r="UEA3" s="13"/>
      <c r="UEB3" s="13"/>
      <c r="UEC3" s="13"/>
      <c r="UED3" s="13"/>
      <c r="UEE3" s="13"/>
      <c r="UEF3" s="13"/>
      <c r="UEG3" s="13"/>
      <c r="UEH3" s="13"/>
      <c r="UEI3" s="13"/>
      <c r="UEJ3" s="13"/>
      <c r="UEK3" s="13"/>
      <c r="UEL3" s="13"/>
      <c r="UEM3" s="13"/>
      <c r="UEN3" s="13"/>
      <c r="UEO3" s="13"/>
      <c r="UEP3" s="13"/>
      <c r="UEQ3" s="13"/>
      <c r="UER3" s="13"/>
      <c r="UES3" s="13"/>
      <c r="UET3" s="13"/>
      <c r="UEU3" s="13"/>
      <c r="UEV3" s="13"/>
      <c r="UEW3" s="13"/>
      <c r="UEX3" s="13"/>
      <c r="UEY3" s="13"/>
      <c r="UEZ3" s="13"/>
      <c r="UFA3" s="13"/>
      <c r="UFB3" s="13"/>
      <c r="UFC3" s="13"/>
      <c r="UFD3" s="13"/>
      <c r="UFE3" s="13"/>
      <c r="UFF3" s="13"/>
      <c r="UFG3" s="13"/>
      <c r="UFH3" s="13"/>
      <c r="UFI3" s="13"/>
      <c r="UFJ3" s="13"/>
      <c r="UFK3" s="13"/>
      <c r="UFL3" s="13"/>
      <c r="UFM3" s="13"/>
      <c r="UFN3" s="13"/>
      <c r="UFO3" s="13"/>
      <c r="UFP3" s="13"/>
      <c r="UFQ3" s="13"/>
      <c r="UFR3" s="13"/>
      <c r="UFS3" s="13"/>
      <c r="UFT3" s="13"/>
      <c r="UFU3" s="13"/>
      <c r="UFV3" s="13"/>
      <c r="UFW3" s="13"/>
      <c r="UFX3" s="13"/>
      <c r="UFY3" s="13"/>
      <c r="UFZ3" s="13"/>
      <c r="UGA3" s="13"/>
      <c r="UGB3" s="13"/>
      <c r="UGC3" s="13"/>
      <c r="UGD3" s="13"/>
      <c r="UGE3" s="13"/>
      <c r="UGF3" s="13"/>
      <c r="UGG3" s="13"/>
      <c r="UGH3" s="13"/>
      <c r="UGI3" s="13"/>
      <c r="UGJ3" s="13"/>
      <c r="UGK3" s="13"/>
      <c r="UGL3" s="13"/>
      <c r="UGM3" s="13"/>
      <c r="UGN3" s="13"/>
      <c r="UGO3" s="13"/>
      <c r="UGP3" s="13"/>
      <c r="UGQ3" s="13"/>
      <c r="UGR3" s="13"/>
      <c r="UGS3" s="13"/>
      <c r="UGT3" s="13"/>
      <c r="UGU3" s="13"/>
      <c r="UGV3" s="13"/>
      <c r="UGW3" s="13"/>
      <c r="UGX3" s="13"/>
      <c r="UGY3" s="13"/>
      <c r="UGZ3" s="13"/>
      <c r="UHA3" s="13"/>
      <c r="UHB3" s="13"/>
      <c r="UHC3" s="13"/>
      <c r="UHD3" s="13"/>
      <c r="UHE3" s="13"/>
      <c r="UHF3" s="13"/>
      <c r="UHG3" s="13"/>
      <c r="UHH3" s="13"/>
      <c r="UHI3" s="13"/>
      <c r="UHJ3" s="13"/>
      <c r="UHK3" s="13"/>
      <c r="UHL3" s="13"/>
      <c r="UHM3" s="13"/>
      <c r="UHN3" s="13"/>
      <c r="UHO3" s="13"/>
      <c r="UHP3" s="13"/>
      <c r="UHQ3" s="13"/>
      <c r="UHR3" s="13"/>
      <c r="UHS3" s="13"/>
      <c r="UHT3" s="13"/>
      <c r="UHU3" s="13"/>
      <c r="UHV3" s="13"/>
      <c r="UHW3" s="13"/>
      <c r="UHX3" s="13"/>
      <c r="UHY3" s="13"/>
      <c r="UHZ3" s="13"/>
      <c r="UIA3" s="13"/>
      <c r="UIB3" s="13"/>
      <c r="UIC3" s="13"/>
      <c r="UID3" s="13"/>
      <c r="UIE3" s="13"/>
      <c r="UIF3" s="13"/>
      <c r="UIG3" s="13"/>
      <c r="UIH3" s="13"/>
      <c r="UII3" s="13"/>
      <c r="UIJ3" s="13"/>
      <c r="UIK3" s="13"/>
      <c r="UIL3" s="13"/>
      <c r="UIM3" s="13"/>
      <c r="UIN3" s="13"/>
      <c r="UIO3" s="13"/>
      <c r="UIP3" s="13"/>
      <c r="UIQ3" s="13"/>
      <c r="UIR3" s="13"/>
      <c r="UIS3" s="13"/>
      <c r="UIT3" s="13"/>
      <c r="UIU3" s="13"/>
      <c r="UIV3" s="13"/>
      <c r="UIW3" s="13"/>
      <c r="UIX3" s="13"/>
      <c r="UIY3" s="13"/>
      <c r="UIZ3" s="13"/>
      <c r="UJA3" s="13"/>
      <c r="UJB3" s="13"/>
      <c r="UJC3" s="13"/>
      <c r="UJD3" s="13"/>
      <c r="UJE3" s="13"/>
      <c r="UJF3" s="13"/>
      <c r="UJG3" s="13"/>
      <c r="UJH3" s="13"/>
      <c r="UJI3" s="13"/>
      <c r="UJJ3" s="13"/>
      <c r="UJK3" s="13"/>
      <c r="UJL3" s="13"/>
      <c r="UJM3" s="13"/>
      <c r="UJN3" s="13"/>
      <c r="UJO3" s="13"/>
      <c r="UJP3" s="13"/>
      <c r="UJQ3" s="13"/>
      <c r="UJR3" s="13"/>
      <c r="UJS3" s="13"/>
      <c r="UJT3" s="13"/>
      <c r="UJU3" s="13"/>
      <c r="UJV3" s="13"/>
      <c r="UJW3" s="13"/>
      <c r="UJX3" s="13"/>
      <c r="UJY3" s="13"/>
      <c r="UJZ3" s="13"/>
      <c r="UKA3" s="13"/>
      <c r="UKB3" s="13"/>
      <c r="UKC3" s="13"/>
      <c r="UKD3" s="13"/>
      <c r="UKE3" s="13"/>
      <c r="UKF3" s="13"/>
      <c r="UKG3" s="13"/>
      <c r="UKH3" s="13"/>
      <c r="UKI3" s="13"/>
      <c r="UKJ3" s="13"/>
      <c r="UKK3" s="13"/>
      <c r="UKL3" s="13"/>
      <c r="UKM3" s="13"/>
      <c r="UKN3" s="13"/>
      <c r="UKO3" s="13"/>
      <c r="UKP3" s="13"/>
      <c r="UKQ3" s="13"/>
      <c r="UKR3" s="13"/>
      <c r="UKS3" s="13"/>
      <c r="UKT3" s="13"/>
      <c r="UKU3" s="13"/>
      <c r="UKV3" s="13"/>
      <c r="UKW3" s="13"/>
      <c r="UKX3" s="13"/>
      <c r="UKY3" s="13"/>
      <c r="UKZ3" s="13"/>
      <c r="ULA3" s="13"/>
      <c r="ULB3" s="13"/>
      <c r="ULC3" s="13"/>
      <c r="ULD3" s="13"/>
      <c r="ULE3" s="13"/>
      <c r="ULF3" s="13"/>
      <c r="ULG3" s="13"/>
      <c r="ULH3" s="13"/>
      <c r="ULI3" s="13"/>
      <c r="ULJ3" s="13"/>
      <c r="ULK3" s="13"/>
      <c r="ULL3" s="13"/>
      <c r="ULM3" s="13"/>
      <c r="ULN3" s="13"/>
      <c r="ULO3" s="13"/>
      <c r="ULP3" s="13"/>
      <c r="ULQ3" s="13"/>
      <c r="ULR3" s="13"/>
      <c r="ULS3" s="13"/>
      <c r="ULT3" s="13"/>
      <c r="ULU3" s="13"/>
      <c r="ULV3" s="13"/>
      <c r="ULW3" s="13"/>
      <c r="ULX3" s="13"/>
      <c r="ULY3" s="13"/>
      <c r="ULZ3" s="13"/>
      <c r="UMA3" s="13"/>
      <c r="UMB3" s="13"/>
      <c r="UMC3" s="13"/>
      <c r="UMD3" s="13"/>
      <c r="UME3" s="13"/>
      <c r="UMF3" s="13"/>
      <c r="UMG3" s="13"/>
      <c r="UMH3" s="13"/>
      <c r="UMI3" s="13"/>
      <c r="UMJ3" s="13"/>
      <c r="UMK3" s="13"/>
      <c r="UML3" s="13"/>
      <c r="UMM3" s="13"/>
      <c r="UMN3" s="13"/>
      <c r="UMO3" s="13"/>
      <c r="UMP3" s="13"/>
      <c r="UMQ3" s="13"/>
      <c r="UMR3" s="13"/>
      <c r="UMS3" s="13"/>
      <c r="UMT3" s="13"/>
      <c r="UMU3" s="13"/>
      <c r="UMV3" s="13"/>
      <c r="UMW3" s="13"/>
      <c r="UMX3" s="13"/>
      <c r="UMY3" s="13"/>
      <c r="UMZ3" s="13"/>
      <c r="UNA3" s="13"/>
      <c r="UNB3" s="13"/>
      <c r="UNC3" s="13"/>
      <c r="UND3" s="13"/>
      <c r="UNE3" s="13"/>
      <c r="UNF3" s="13"/>
      <c r="UNG3" s="13"/>
      <c r="UNH3" s="13"/>
      <c r="UNI3" s="13"/>
      <c r="UNJ3" s="13"/>
      <c r="UNK3" s="13"/>
      <c r="UNL3" s="13"/>
      <c r="UNM3" s="13"/>
      <c r="UNN3" s="13"/>
      <c r="UNO3" s="13"/>
      <c r="UNP3" s="13"/>
      <c r="UNQ3" s="13"/>
      <c r="UNR3" s="13"/>
      <c r="UNS3" s="13"/>
      <c r="UNT3" s="13"/>
      <c r="UNU3" s="13"/>
      <c r="UNV3" s="13"/>
      <c r="UNW3" s="13"/>
      <c r="UNX3" s="13"/>
      <c r="UNY3" s="13"/>
      <c r="UNZ3" s="13"/>
      <c r="UOA3" s="13"/>
      <c r="UOB3" s="13"/>
      <c r="UOC3" s="13"/>
      <c r="UOD3" s="13"/>
      <c r="UOE3" s="13"/>
      <c r="UOF3" s="13"/>
      <c r="UOG3" s="13"/>
      <c r="UOH3" s="13"/>
      <c r="UOI3" s="13"/>
      <c r="UOJ3" s="13"/>
      <c r="UOK3" s="13"/>
      <c r="UOL3" s="13"/>
      <c r="UOM3" s="13"/>
      <c r="UON3" s="13"/>
      <c r="UOO3" s="13"/>
      <c r="UOP3" s="13"/>
      <c r="UOQ3" s="13"/>
      <c r="UOR3" s="13"/>
      <c r="UOS3" s="13"/>
      <c r="UOT3" s="13"/>
      <c r="UOU3" s="13"/>
      <c r="UOV3" s="13"/>
      <c r="UOW3" s="13"/>
      <c r="UOX3" s="13"/>
      <c r="UOY3" s="13"/>
      <c r="UOZ3" s="13"/>
      <c r="UPA3" s="13"/>
      <c r="UPB3" s="13"/>
      <c r="UPC3" s="13"/>
      <c r="UPD3" s="13"/>
      <c r="UPE3" s="13"/>
      <c r="UPF3" s="13"/>
      <c r="UPG3" s="13"/>
      <c r="UPH3" s="13"/>
      <c r="UPI3" s="13"/>
      <c r="UPJ3" s="13"/>
      <c r="UPK3" s="13"/>
      <c r="UPL3" s="13"/>
      <c r="UPM3" s="13"/>
      <c r="UPN3" s="13"/>
      <c r="UPO3" s="13"/>
      <c r="UPP3" s="13"/>
      <c r="UPQ3" s="13"/>
      <c r="UPR3" s="13"/>
      <c r="UPS3" s="13"/>
      <c r="UPT3" s="13"/>
      <c r="UPU3" s="13"/>
      <c r="UPV3" s="13"/>
      <c r="UPW3" s="13"/>
      <c r="UPX3" s="13"/>
      <c r="UPY3" s="13"/>
      <c r="UPZ3" s="13"/>
      <c r="UQA3" s="13"/>
      <c r="UQB3" s="13"/>
      <c r="UQC3" s="13"/>
      <c r="UQD3" s="13"/>
      <c r="UQE3" s="13"/>
      <c r="UQF3" s="13"/>
      <c r="UQG3" s="13"/>
      <c r="UQH3" s="13"/>
      <c r="UQI3" s="13"/>
      <c r="UQJ3" s="13"/>
      <c r="UQK3" s="13"/>
      <c r="UQL3" s="13"/>
      <c r="UQM3" s="13"/>
      <c r="UQN3" s="13"/>
      <c r="UQO3" s="13"/>
      <c r="UQP3" s="13"/>
      <c r="UQQ3" s="13"/>
      <c r="UQR3" s="13"/>
      <c r="UQS3" s="13"/>
      <c r="UQT3" s="13"/>
      <c r="UQU3" s="13"/>
      <c r="UQV3" s="13"/>
      <c r="UQW3" s="13"/>
      <c r="UQX3" s="13"/>
      <c r="UQY3" s="13"/>
      <c r="UQZ3" s="13"/>
      <c r="URA3" s="13"/>
      <c r="URB3" s="13"/>
      <c r="URC3" s="13"/>
      <c r="URD3" s="13"/>
      <c r="URE3" s="13"/>
      <c r="URF3" s="13"/>
      <c r="URG3" s="13"/>
      <c r="URH3" s="13"/>
      <c r="URI3" s="13"/>
      <c r="URJ3" s="13"/>
      <c r="URK3" s="13"/>
      <c r="URL3" s="13"/>
      <c r="URM3" s="13"/>
      <c r="URN3" s="13"/>
      <c r="URO3" s="13"/>
      <c r="URP3" s="13"/>
      <c r="URQ3" s="13"/>
      <c r="URR3" s="13"/>
      <c r="URS3" s="13"/>
      <c r="URT3" s="13"/>
      <c r="URU3" s="13"/>
      <c r="URV3" s="13"/>
      <c r="URW3" s="13"/>
      <c r="URX3" s="13"/>
      <c r="URY3" s="13"/>
      <c r="URZ3" s="13"/>
      <c r="USA3" s="13"/>
      <c r="USB3" s="13"/>
      <c r="USC3" s="13"/>
      <c r="USD3" s="13"/>
      <c r="USE3" s="13"/>
      <c r="USF3" s="13"/>
      <c r="USG3" s="13"/>
      <c r="USH3" s="13"/>
      <c r="USI3" s="13"/>
      <c r="USJ3" s="13"/>
      <c r="USK3" s="13"/>
      <c r="USL3" s="13"/>
      <c r="USM3" s="13"/>
      <c r="USN3" s="13"/>
      <c r="USO3" s="13"/>
      <c r="USP3" s="13"/>
      <c r="USQ3" s="13"/>
      <c r="USR3" s="13"/>
      <c r="USS3" s="13"/>
      <c r="UST3" s="13"/>
      <c r="USU3" s="13"/>
      <c r="USV3" s="13"/>
      <c r="USW3" s="13"/>
      <c r="USX3" s="13"/>
      <c r="USY3" s="13"/>
      <c r="USZ3" s="13"/>
      <c r="UTA3" s="13"/>
      <c r="UTB3" s="13"/>
      <c r="UTC3" s="13"/>
      <c r="UTD3" s="13"/>
      <c r="UTE3" s="13"/>
      <c r="UTF3" s="13"/>
      <c r="UTG3" s="13"/>
      <c r="UTH3" s="13"/>
      <c r="UTI3" s="13"/>
      <c r="UTJ3" s="13"/>
      <c r="UTK3" s="13"/>
      <c r="UTL3" s="13"/>
      <c r="UTM3" s="13"/>
      <c r="UTN3" s="13"/>
      <c r="UTO3" s="13"/>
      <c r="UTP3" s="13"/>
      <c r="UTQ3" s="13"/>
      <c r="UTR3" s="13"/>
      <c r="UTS3" s="13"/>
      <c r="UTT3" s="13"/>
      <c r="UTU3" s="13"/>
      <c r="UTV3" s="13"/>
      <c r="UTW3" s="13"/>
      <c r="UTX3" s="13"/>
      <c r="UTY3" s="13"/>
      <c r="UTZ3" s="13"/>
      <c r="UUA3" s="13"/>
      <c r="UUB3" s="13"/>
      <c r="UUC3" s="13"/>
      <c r="UUD3" s="13"/>
      <c r="UUE3" s="13"/>
      <c r="UUF3" s="13"/>
      <c r="UUG3" s="13"/>
      <c r="UUH3" s="13"/>
      <c r="UUI3" s="13"/>
      <c r="UUJ3" s="13"/>
      <c r="UUK3" s="13"/>
      <c r="UUL3" s="13"/>
      <c r="UUM3" s="13"/>
      <c r="UUN3" s="13"/>
      <c r="UUO3" s="13"/>
      <c r="UUP3" s="13"/>
      <c r="UUQ3" s="13"/>
      <c r="UUR3" s="13"/>
      <c r="UUS3" s="13"/>
      <c r="UUT3" s="13"/>
      <c r="UUU3" s="13"/>
      <c r="UUV3" s="13"/>
      <c r="UUW3" s="13"/>
      <c r="UUX3" s="13"/>
      <c r="UUY3" s="13"/>
      <c r="UUZ3" s="13"/>
      <c r="UVA3" s="13"/>
      <c r="UVB3" s="13"/>
      <c r="UVC3" s="13"/>
      <c r="UVD3" s="13"/>
      <c r="UVE3" s="13"/>
      <c r="UVF3" s="13"/>
      <c r="UVG3" s="13"/>
      <c r="UVH3" s="13"/>
      <c r="UVI3" s="13"/>
      <c r="UVJ3" s="13"/>
      <c r="UVK3" s="13"/>
      <c r="UVL3" s="13"/>
      <c r="UVM3" s="13"/>
      <c r="UVN3" s="13"/>
      <c r="UVO3" s="13"/>
      <c r="UVP3" s="13"/>
      <c r="UVQ3" s="13"/>
      <c r="UVR3" s="13"/>
      <c r="UVS3" s="13"/>
      <c r="UVT3" s="13"/>
      <c r="UVU3" s="13"/>
      <c r="UVV3" s="13"/>
      <c r="UVW3" s="13"/>
      <c r="UVX3" s="13"/>
      <c r="UVY3" s="13"/>
      <c r="UVZ3" s="13"/>
      <c r="UWA3" s="13"/>
      <c r="UWB3" s="13"/>
      <c r="UWC3" s="13"/>
      <c r="UWD3" s="13"/>
      <c r="UWE3" s="13"/>
      <c r="UWF3" s="13"/>
      <c r="UWG3" s="13"/>
      <c r="UWH3" s="13"/>
      <c r="UWI3" s="13"/>
      <c r="UWJ3" s="13"/>
      <c r="UWK3" s="13"/>
      <c r="UWL3" s="13"/>
      <c r="UWM3" s="13"/>
      <c r="UWN3" s="13"/>
      <c r="UWO3" s="13"/>
      <c r="UWP3" s="13"/>
      <c r="UWQ3" s="13"/>
      <c r="UWR3" s="13"/>
      <c r="UWS3" s="13"/>
      <c r="UWT3" s="13"/>
      <c r="UWU3" s="13"/>
      <c r="UWV3" s="13"/>
      <c r="UWW3" s="13"/>
      <c r="UWX3" s="13"/>
      <c r="UWY3" s="13"/>
      <c r="UWZ3" s="13"/>
      <c r="UXA3" s="13"/>
      <c r="UXB3" s="13"/>
      <c r="UXC3" s="13"/>
      <c r="UXD3" s="13"/>
      <c r="UXE3" s="13"/>
      <c r="UXF3" s="13"/>
      <c r="UXG3" s="13"/>
      <c r="UXH3" s="13"/>
      <c r="UXI3" s="13"/>
      <c r="UXJ3" s="13"/>
      <c r="UXK3" s="13"/>
      <c r="UXL3" s="13"/>
      <c r="UXM3" s="13"/>
      <c r="UXN3" s="13"/>
      <c r="UXO3" s="13"/>
      <c r="UXP3" s="13"/>
      <c r="UXQ3" s="13"/>
      <c r="UXR3" s="13"/>
      <c r="UXS3" s="13"/>
      <c r="UXT3" s="13"/>
      <c r="UXU3" s="13"/>
      <c r="UXV3" s="13"/>
      <c r="UXW3" s="13"/>
      <c r="UXX3" s="13"/>
      <c r="UXY3" s="13"/>
      <c r="UXZ3" s="13"/>
      <c r="UYA3" s="13"/>
      <c r="UYB3" s="13"/>
      <c r="UYC3" s="13"/>
      <c r="UYD3" s="13"/>
      <c r="UYE3" s="13"/>
      <c r="UYF3" s="13"/>
      <c r="UYG3" s="13"/>
      <c r="UYH3" s="13"/>
      <c r="UYI3" s="13"/>
      <c r="UYJ3" s="13"/>
      <c r="UYK3" s="13"/>
      <c r="UYL3" s="13"/>
      <c r="UYM3" s="13"/>
      <c r="UYN3" s="13"/>
      <c r="UYO3" s="13"/>
      <c r="UYP3" s="13"/>
      <c r="UYQ3" s="13"/>
      <c r="UYR3" s="13"/>
      <c r="UYS3" s="13"/>
      <c r="UYT3" s="13"/>
      <c r="UYU3" s="13"/>
      <c r="UYV3" s="13"/>
      <c r="UYW3" s="13"/>
      <c r="UYX3" s="13"/>
      <c r="UYY3" s="13"/>
      <c r="UYZ3" s="13"/>
      <c r="UZA3" s="13"/>
      <c r="UZB3" s="13"/>
      <c r="UZC3" s="13"/>
      <c r="UZD3" s="13"/>
      <c r="UZE3" s="13"/>
      <c r="UZF3" s="13"/>
      <c r="UZG3" s="13"/>
      <c r="UZH3" s="13"/>
      <c r="UZI3" s="13"/>
      <c r="UZJ3" s="13"/>
      <c r="UZK3" s="13"/>
      <c r="UZL3" s="13"/>
      <c r="UZM3" s="13"/>
      <c r="UZN3" s="13"/>
      <c r="UZO3" s="13"/>
      <c r="UZP3" s="13"/>
      <c r="UZQ3" s="13"/>
      <c r="UZR3" s="13"/>
      <c r="UZS3" s="13"/>
      <c r="UZT3" s="13"/>
      <c r="UZU3" s="13"/>
      <c r="UZV3" s="13"/>
      <c r="UZW3" s="13"/>
      <c r="UZX3" s="13"/>
      <c r="UZY3" s="13"/>
      <c r="UZZ3" s="13"/>
      <c r="VAA3" s="13"/>
      <c r="VAB3" s="13"/>
      <c r="VAC3" s="13"/>
      <c r="VAD3" s="13"/>
      <c r="VAE3" s="13"/>
      <c r="VAF3" s="13"/>
      <c r="VAG3" s="13"/>
      <c r="VAH3" s="13"/>
      <c r="VAI3" s="13"/>
      <c r="VAJ3" s="13"/>
      <c r="VAK3" s="13"/>
      <c r="VAL3" s="13"/>
      <c r="VAM3" s="13"/>
      <c r="VAN3" s="13"/>
      <c r="VAO3" s="13"/>
      <c r="VAP3" s="13"/>
      <c r="VAQ3" s="13"/>
      <c r="VAR3" s="13"/>
      <c r="VAS3" s="13"/>
      <c r="VAT3" s="13"/>
      <c r="VAU3" s="13"/>
      <c r="VAV3" s="13"/>
      <c r="VAW3" s="13"/>
      <c r="VAX3" s="13"/>
      <c r="VAY3" s="13"/>
      <c r="VAZ3" s="13"/>
      <c r="VBA3" s="13"/>
      <c r="VBB3" s="13"/>
      <c r="VBC3" s="13"/>
      <c r="VBD3" s="13"/>
      <c r="VBE3" s="13"/>
      <c r="VBF3" s="13"/>
      <c r="VBG3" s="13"/>
      <c r="VBH3" s="13"/>
      <c r="VBI3" s="13"/>
      <c r="VBJ3" s="13"/>
      <c r="VBK3" s="13"/>
      <c r="VBL3" s="13"/>
      <c r="VBM3" s="13"/>
      <c r="VBN3" s="13"/>
      <c r="VBO3" s="13"/>
      <c r="VBP3" s="13"/>
      <c r="VBQ3" s="13"/>
      <c r="VBR3" s="13"/>
      <c r="VBS3" s="13"/>
      <c r="VBT3" s="13"/>
      <c r="VBU3" s="13"/>
      <c r="VBV3" s="13"/>
      <c r="VBW3" s="13"/>
      <c r="VBX3" s="13"/>
      <c r="VBY3" s="13"/>
      <c r="VBZ3" s="13"/>
      <c r="VCA3" s="13"/>
      <c r="VCB3" s="13"/>
      <c r="VCC3" s="13"/>
      <c r="VCD3" s="13"/>
      <c r="VCE3" s="13"/>
      <c r="VCF3" s="13"/>
      <c r="VCG3" s="13"/>
      <c r="VCH3" s="13"/>
      <c r="VCI3" s="13"/>
      <c r="VCJ3" s="13"/>
      <c r="VCK3" s="13"/>
      <c r="VCL3" s="13"/>
      <c r="VCM3" s="13"/>
      <c r="VCN3" s="13"/>
      <c r="VCO3" s="13"/>
      <c r="VCP3" s="13"/>
      <c r="VCQ3" s="13"/>
      <c r="VCR3" s="13"/>
      <c r="VCS3" s="13"/>
      <c r="VCT3" s="13"/>
      <c r="VCU3" s="13"/>
      <c r="VCV3" s="13"/>
      <c r="VCW3" s="13"/>
      <c r="VCX3" s="13"/>
      <c r="VCY3" s="13"/>
      <c r="VCZ3" s="13"/>
      <c r="VDA3" s="13"/>
      <c r="VDB3" s="13"/>
      <c r="VDC3" s="13"/>
      <c r="VDD3" s="13"/>
      <c r="VDE3" s="13"/>
      <c r="VDF3" s="13"/>
      <c r="VDG3" s="13"/>
      <c r="VDH3" s="13"/>
      <c r="VDI3" s="13"/>
      <c r="VDJ3" s="13"/>
      <c r="VDK3" s="13"/>
      <c r="VDL3" s="13"/>
      <c r="VDM3" s="13"/>
      <c r="VDN3" s="13"/>
      <c r="VDO3" s="13"/>
      <c r="VDP3" s="13"/>
      <c r="VDQ3" s="13"/>
      <c r="VDR3" s="13"/>
      <c r="VDS3" s="13"/>
      <c r="VDT3" s="13"/>
      <c r="VDU3" s="13"/>
      <c r="VDV3" s="13"/>
      <c r="VDW3" s="13"/>
      <c r="VDX3" s="13"/>
      <c r="VDY3" s="13"/>
      <c r="VDZ3" s="13"/>
      <c r="VEA3" s="13"/>
      <c r="VEB3" s="13"/>
      <c r="VEC3" s="13"/>
      <c r="VED3" s="13"/>
      <c r="VEE3" s="13"/>
      <c r="VEF3" s="13"/>
      <c r="VEG3" s="13"/>
      <c r="VEH3" s="13"/>
      <c r="VEI3" s="13"/>
      <c r="VEJ3" s="13"/>
      <c r="VEK3" s="13"/>
      <c r="VEL3" s="13"/>
      <c r="VEM3" s="13"/>
      <c r="VEN3" s="13"/>
      <c r="VEO3" s="13"/>
      <c r="VEP3" s="13"/>
      <c r="VEQ3" s="13"/>
      <c r="VER3" s="13"/>
      <c r="VES3" s="13"/>
      <c r="VET3" s="13"/>
      <c r="VEU3" s="13"/>
      <c r="VEV3" s="13"/>
      <c r="VEW3" s="13"/>
      <c r="VEX3" s="13"/>
      <c r="VEY3" s="13"/>
      <c r="VEZ3" s="13"/>
      <c r="VFA3" s="13"/>
      <c r="VFB3" s="13"/>
      <c r="VFC3" s="13"/>
      <c r="VFD3" s="13"/>
      <c r="VFE3" s="13"/>
      <c r="VFF3" s="13"/>
      <c r="VFG3" s="13"/>
      <c r="VFH3" s="13"/>
      <c r="VFI3" s="13"/>
      <c r="VFJ3" s="13"/>
      <c r="VFK3" s="13"/>
      <c r="VFL3" s="13"/>
      <c r="VFM3" s="13"/>
      <c r="VFN3" s="13"/>
      <c r="VFO3" s="13"/>
      <c r="VFP3" s="13"/>
      <c r="VFQ3" s="13"/>
      <c r="VFR3" s="13"/>
      <c r="VFS3" s="13"/>
      <c r="VFT3" s="13"/>
      <c r="VFU3" s="13"/>
      <c r="VFV3" s="13"/>
      <c r="VFW3" s="13"/>
      <c r="VFX3" s="13"/>
      <c r="VFY3" s="13"/>
      <c r="VFZ3" s="13"/>
      <c r="VGA3" s="13"/>
      <c r="VGB3" s="13"/>
      <c r="VGC3" s="13"/>
      <c r="VGD3" s="13"/>
      <c r="VGE3" s="13"/>
      <c r="VGF3" s="13"/>
      <c r="VGG3" s="13"/>
      <c r="VGH3" s="13"/>
      <c r="VGI3" s="13"/>
      <c r="VGJ3" s="13"/>
      <c r="VGK3" s="13"/>
      <c r="VGL3" s="13"/>
      <c r="VGM3" s="13"/>
      <c r="VGN3" s="13"/>
      <c r="VGO3" s="13"/>
      <c r="VGP3" s="13"/>
      <c r="VGQ3" s="13"/>
      <c r="VGR3" s="13"/>
      <c r="VGS3" s="13"/>
      <c r="VGT3" s="13"/>
      <c r="VGU3" s="13"/>
      <c r="VGV3" s="13"/>
      <c r="VGW3" s="13"/>
      <c r="VGX3" s="13"/>
      <c r="VGY3" s="13"/>
      <c r="VGZ3" s="13"/>
      <c r="VHA3" s="13"/>
      <c r="VHB3" s="13"/>
      <c r="VHC3" s="13"/>
      <c r="VHD3" s="13"/>
      <c r="VHE3" s="13"/>
      <c r="VHF3" s="13"/>
      <c r="VHG3" s="13"/>
      <c r="VHH3" s="13"/>
      <c r="VHI3" s="13"/>
      <c r="VHJ3" s="13"/>
      <c r="VHK3" s="13"/>
      <c r="VHL3" s="13"/>
      <c r="VHM3" s="13"/>
      <c r="VHN3" s="13"/>
      <c r="VHO3" s="13"/>
      <c r="VHP3" s="13"/>
      <c r="VHQ3" s="13"/>
      <c r="VHR3" s="13"/>
      <c r="VHS3" s="13"/>
      <c r="VHT3" s="13"/>
      <c r="VHU3" s="13"/>
      <c r="VHV3" s="13"/>
      <c r="VHW3" s="13"/>
      <c r="VHX3" s="13"/>
      <c r="VHY3" s="13"/>
      <c r="VHZ3" s="13"/>
      <c r="VIA3" s="13"/>
      <c r="VIB3" s="13"/>
      <c r="VIC3" s="13"/>
      <c r="VID3" s="13"/>
      <c r="VIE3" s="13"/>
      <c r="VIF3" s="13"/>
      <c r="VIG3" s="13"/>
      <c r="VIH3" s="13"/>
      <c r="VII3" s="13"/>
      <c r="VIJ3" s="13"/>
      <c r="VIK3" s="13"/>
      <c r="VIL3" s="13"/>
      <c r="VIM3" s="13"/>
      <c r="VIN3" s="13"/>
      <c r="VIO3" s="13"/>
      <c r="VIP3" s="13"/>
      <c r="VIQ3" s="13"/>
      <c r="VIR3" s="13"/>
      <c r="VIS3" s="13"/>
      <c r="VIT3" s="13"/>
      <c r="VIU3" s="13"/>
      <c r="VIV3" s="13"/>
      <c r="VIW3" s="13"/>
      <c r="VIX3" s="13"/>
      <c r="VIY3" s="13"/>
      <c r="VIZ3" s="13"/>
      <c r="VJA3" s="13"/>
      <c r="VJB3" s="13"/>
      <c r="VJC3" s="13"/>
      <c r="VJD3" s="13"/>
      <c r="VJE3" s="13"/>
      <c r="VJF3" s="13"/>
      <c r="VJG3" s="13"/>
      <c r="VJH3" s="13"/>
      <c r="VJI3" s="13"/>
      <c r="VJJ3" s="13"/>
      <c r="VJK3" s="13"/>
      <c r="VJL3" s="13"/>
      <c r="VJM3" s="13"/>
      <c r="VJN3" s="13"/>
      <c r="VJO3" s="13"/>
      <c r="VJP3" s="13"/>
      <c r="VJQ3" s="13"/>
      <c r="VJR3" s="13"/>
      <c r="VJS3" s="13"/>
      <c r="VJT3" s="13"/>
      <c r="VJU3" s="13"/>
      <c r="VJV3" s="13"/>
      <c r="VJW3" s="13"/>
      <c r="VJX3" s="13"/>
      <c r="VJY3" s="13"/>
      <c r="VJZ3" s="13"/>
      <c r="VKA3" s="13"/>
      <c r="VKB3" s="13"/>
      <c r="VKC3" s="13"/>
      <c r="VKD3" s="13"/>
      <c r="VKE3" s="13"/>
      <c r="VKF3" s="13"/>
      <c r="VKG3" s="13"/>
      <c r="VKH3" s="13"/>
      <c r="VKI3" s="13"/>
      <c r="VKJ3" s="13"/>
      <c r="VKK3" s="13"/>
      <c r="VKL3" s="13"/>
      <c r="VKM3" s="13"/>
      <c r="VKN3" s="13"/>
      <c r="VKO3" s="13"/>
      <c r="VKP3" s="13"/>
      <c r="VKQ3" s="13"/>
      <c r="VKR3" s="13"/>
      <c r="VKS3" s="13"/>
      <c r="VKT3" s="13"/>
      <c r="VKU3" s="13"/>
      <c r="VKV3" s="13"/>
      <c r="VKW3" s="13"/>
      <c r="VKX3" s="13"/>
      <c r="VKY3" s="13"/>
      <c r="VKZ3" s="13"/>
      <c r="VLA3" s="13"/>
      <c r="VLB3" s="13"/>
      <c r="VLC3" s="13"/>
      <c r="VLD3" s="13"/>
      <c r="VLE3" s="13"/>
      <c r="VLF3" s="13"/>
      <c r="VLG3" s="13"/>
      <c r="VLH3" s="13"/>
      <c r="VLI3" s="13"/>
      <c r="VLJ3" s="13"/>
      <c r="VLK3" s="13"/>
      <c r="VLL3" s="13"/>
      <c r="VLM3" s="13"/>
      <c r="VLN3" s="13"/>
      <c r="VLO3" s="13"/>
      <c r="VLP3" s="13"/>
      <c r="VLQ3" s="13"/>
      <c r="VLR3" s="13"/>
      <c r="VLS3" s="13"/>
      <c r="VLT3" s="13"/>
      <c r="VLU3" s="13"/>
      <c r="VLV3" s="13"/>
      <c r="VLW3" s="13"/>
      <c r="VLX3" s="13"/>
      <c r="VLY3" s="13"/>
      <c r="VLZ3" s="13"/>
      <c r="VMA3" s="13"/>
      <c r="VMB3" s="13"/>
      <c r="VMC3" s="13"/>
      <c r="VMD3" s="13"/>
      <c r="VME3" s="13"/>
      <c r="VMF3" s="13"/>
      <c r="VMG3" s="13"/>
      <c r="VMH3" s="13"/>
      <c r="VMI3" s="13"/>
      <c r="VMJ3" s="13"/>
      <c r="VMK3" s="13"/>
      <c r="VML3" s="13"/>
      <c r="VMM3" s="13"/>
      <c r="VMN3" s="13"/>
      <c r="VMO3" s="13"/>
      <c r="VMP3" s="13"/>
      <c r="VMQ3" s="13"/>
      <c r="VMR3" s="13"/>
      <c r="VMS3" s="13"/>
      <c r="VMT3" s="13"/>
      <c r="VMU3" s="13"/>
      <c r="VMV3" s="13"/>
      <c r="VMW3" s="13"/>
      <c r="VMX3" s="13"/>
      <c r="VMY3" s="13"/>
      <c r="VMZ3" s="13"/>
      <c r="VNA3" s="13"/>
      <c r="VNB3" s="13"/>
      <c r="VNC3" s="13"/>
      <c r="VND3" s="13"/>
      <c r="VNE3" s="13"/>
      <c r="VNF3" s="13"/>
      <c r="VNG3" s="13"/>
      <c r="VNH3" s="13"/>
      <c r="VNI3" s="13"/>
      <c r="VNJ3" s="13"/>
      <c r="VNK3" s="13"/>
      <c r="VNL3" s="13"/>
      <c r="VNM3" s="13"/>
      <c r="VNN3" s="13"/>
      <c r="VNO3" s="13"/>
      <c r="VNP3" s="13"/>
      <c r="VNQ3" s="13"/>
      <c r="VNR3" s="13"/>
      <c r="VNS3" s="13"/>
      <c r="VNT3" s="13"/>
      <c r="VNU3" s="13"/>
      <c r="VNV3" s="13"/>
      <c r="VNW3" s="13"/>
      <c r="VNX3" s="13"/>
      <c r="VNY3" s="13"/>
      <c r="VNZ3" s="13"/>
      <c r="VOA3" s="13"/>
      <c r="VOB3" s="13"/>
      <c r="VOC3" s="13"/>
      <c r="VOD3" s="13"/>
      <c r="VOE3" s="13"/>
      <c r="VOF3" s="13"/>
      <c r="VOG3" s="13"/>
      <c r="VOH3" s="13"/>
      <c r="VOI3" s="13"/>
      <c r="VOJ3" s="13"/>
      <c r="VOK3" s="13"/>
      <c r="VOL3" s="13"/>
      <c r="VOM3" s="13"/>
      <c r="VON3" s="13"/>
      <c r="VOO3" s="13"/>
      <c r="VOP3" s="13"/>
      <c r="VOQ3" s="13"/>
      <c r="VOR3" s="13"/>
      <c r="VOS3" s="13"/>
      <c r="VOT3" s="13"/>
      <c r="VOU3" s="13"/>
      <c r="VOV3" s="13"/>
      <c r="VOW3" s="13"/>
      <c r="VOX3" s="13"/>
      <c r="VOY3" s="13"/>
      <c r="VOZ3" s="13"/>
      <c r="VPA3" s="13"/>
      <c r="VPB3" s="13"/>
      <c r="VPC3" s="13"/>
      <c r="VPD3" s="13"/>
      <c r="VPE3" s="13"/>
      <c r="VPF3" s="13"/>
      <c r="VPG3" s="13"/>
      <c r="VPH3" s="13"/>
      <c r="VPI3" s="13"/>
      <c r="VPJ3" s="13"/>
      <c r="VPK3" s="13"/>
      <c r="VPL3" s="13"/>
      <c r="VPM3" s="13"/>
      <c r="VPN3" s="13"/>
      <c r="VPO3" s="13"/>
      <c r="VPP3" s="13"/>
      <c r="VPQ3" s="13"/>
      <c r="VPR3" s="13"/>
      <c r="VPS3" s="13"/>
      <c r="VPT3" s="13"/>
      <c r="VPU3" s="13"/>
      <c r="VPV3" s="13"/>
      <c r="VPW3" s="13"/>
      <c r="VPX3" s="13"/>
      <c r="VPY3" s="13"/>
      <c r="VPZ3" s="13"/>
      <c r="VQA3" s="13"/>
      <c r="VQB3" s="13"/>
      <c r="VQC3" s="13"/>
      <c r="VQD3" s="13"/>
      <c r="VQE3" s="13"/>
      <c r="VQF3" s="13"/>
      <c r="VQG3" s="13"/>
      <c r="VQH3" s="13"/>
      <c r="VQI3" s="13"/>
      <c r="VQJ3" s="13"/>
      <c r="VQK3" s="13"/>
      <c r="VQL3" s="13"/>
      <c r="VQM3" s="13"/>
      <c r="VQN3" s="13"/>
      <c r="VQO3" s="13"/>
      <c r="VQP3" s="13"/>
      <c r="VQQ3" s="13"/>
      <c r="VQR3" s="13"/>
      <c r="VQS3" s="13"/>
      <c r="VQT3" s="13"/>
      <c r="VQU3" s="13"/>
      <c r="VQV3" s="13"/>
      <c r="VQW3" s="13"/>
      <c r="VQX3" s="13"/>
      <c r="VQY3" s="13"/>
      <c r="VQZ3" s="13"/>
      <c r="VRA3" s="13"/>
      <c r="VRB3" s="13"/>
      <c r="VRC3" s="13"/>
      <c r="VRD3" s="13"/>
      <c r="VRE3" s="13"/>
      <c r="VRF3" s="13"/>
      <c r="VRG3" s="13"/>
      <c r="VRH3" s="13"/>
      <c r="VRI3" s="13"/>
      <c r="VRJ3" s="13"/>
      <c r="VRK3" s="13"/>
      <c r="VRL3" s="13"/>
      <c r="VRM3" s="13"/>
      <c r="VRN3" s="13"/>
      <c r="VRO3" s="13"/>
      <c r="VRP3" s="13"/>
      <c r="VRQ3" s="13"/>
      <c r="VRR3" s="13"/>
      <c r="VRS3" s="13"/>
      <c r="VRT3" s="13"/>
      <c r="VRU3" s="13"/>
      <c r="VRV3" s="13"/>
      <c r="VRW3" s="13"/>
      <c r="VRX3" s="13"/>
      <c r="VRY3" s="13"/>
      <c r="VRZ3" s="13"/>
      <c r="VSA3" s="13"/>
      <c r="VSB3" s="13"/>
      <c r="VSC3" s="13"/>
      <c r="VSD3" s="13"/>
      <c r="VSE3" s="13"/>
      <c r="VSF3" s="13"/>
      <c r="VSG3" s="13"/>
      <c r="VSH3" s="13"/>
      <c r="VSI3" s="13"/>
      <c r="VSJ3" s="13"/>
      <c r="VSK3" s="13"/>
      <c r="VSL3" s="13"/>
      <c r="VSM3" s="13"/>
      <c r="VSN3" s="13"/>
      <c r="VSO3" s="13"/>
      <c r="VSP3" s="13"/>
      <c r="VSQ3" s="13"/>
      <c r="VSR3" s="13"/>
      <c r="VSS3" s="13"/>
      <c r="VST3" s="13"/>
      <c r="VSU3" s="13"/>
      <c r="VSV3" s="13"/>
      <c r="VSW3" s="13"/>
      <c r="VSX3" s="13"/>
      <c r="VSY3" s="13"/>
      <c r="VSZ3" s="13"/>
      <c r="VTA3" s="13"/>
      <c r="VTB3" s="13"/>
      <c r="VTC3" s="13"/>
      <c r="VTD3" s="13"/>
      <c r="VTE3" s="13"/>
      <c r="VTF3" s="13"/>
      <c r="VTG3" s="13"/>
      <c r="VTH3" s="13"/>
      <c r="VTI3" s="13"/>
      <c r="VTJ3" s="13"/>
      <c r="VTK3" s="13"/>
      <c r="VTL3" s="13"/>
      <c r="VTM3" s="13"/>
      <c r="VTN3" s="13"/>
      <c r="VTO3" s="13"/>
      <c r="VTP3" s="13"/>
      <c r="VTQ3" s="13"/>
      <c r="VTR3" s="13"/>
      <c r="VTS3" s="13"/>
      <c r="VTT3" s="13"/>
      <c r="VTU3" s="13"/>
      <c r="VTV3" s="13"/>
      <c r="VTW3" s="13"/>
      <c r="VTX3" s="13"/>
      <c r="VTY3" s="13"/>
      <c r="VTZ3" s="13"/>
      <c r="VUA3" s="13"/>
      <c r="VUB3" s="13"/>
      <c r="VUC3" s="13"/>
      <c r="VUD3" s="13"/>
      <c r="VUE3" s="13"/>
      <c r="VUF3" s="13"/>
      <c r="VUG3" s="13"/>
      <c r="VUH3" s="13"/>
      <c r="VUI3" s="13"/>
      <c r="VUJ3" s="13"/>
      <c r="VUK3" s="13"/>
      <c r="VUL3" s="13"/>
      <c r="VUM3" s="13"/>
      <c r="VUN3" s="13"/>
      <c r="VUO3" s="13"/>
      <c r="VUP3" s="13"/>
      <c r="VUQ3" s="13"/>
      <c r="VUR3" s="13"/>
      <c r="VUS3" s="13"/>
      <c r="VUT3" s="13"/>
      <c r="VUU3" s="13"/>
      <c r="VUV3" s="13"/>
      <c r="VUW3" s="13"/>
      <c r="VUX3" s="13"/>
      <c r="VUY3" s="13"/>
      <c r="VUZ3" s="13"/>
      <c r="VVA3" s="13"/>
      <c r="VVB3" s="13"/>
      <c r="VVC3" s="13"/>
      <c r="VVD3" s="13"/>
      <c r="VVE3" s="13"/>
      <c r="VVF3" s="13"/>
      <c r="VVG3" s="13"/>
      <c r="VVH3" s="13"/>
      <c r="VVI3" s="13"/>
      <c r="VVJ3" s="13"/>
      <c r="VVK3" s="13"/>
      <c r="VVL3" s="13"/>
      <c r="VVM3" s="13"/>
      <c r="VVN3" s="13"/>
      <c r="VVO3" s="13"/>
      <c r="VVP3" s="13"/>
      <c r="VVQ3" s="13"/>
      <c r="VVR3" s="13"/>
      <c r="VVS3" s="13"/>
      <c r="VVT3" s="13"/>
      <c r="VVU3" s="13"/>
      <c r="VVV3" s="13"/>
      <c r="VVW3" s="13"/>
      <c r="VVX3" s="13"/>
      <c r="VVY3" s="13"/>
      <c r="VVZ3" s="13"/>
      <c r="VWA3" s="13"/>
      <c r="VWB3" s="13"/>
      <c r="VWC3" s="13"/>
      <c r="VWD3" s="13"/>
      <c r="VWE3" s="13"/>
      <c r="VWF3" s="13"/>
      <c r="VWG3" s="13"/>
      <c r="VWH3" s="13"/>
      <c r="VWI3" s="13"/>
      <c r="VWJ3" s="13"/>
      <c r="VWK3" s="13"/>
      <c r="VWL3" s="13"/>
      <c r="VWM3" s="13"/>
      <c r="VWN3" s="13"/>
      <c r="VWO3" s="13"/>
      <c r="VWP3" s="13"/>
      <c r="VWQ3" s="13"/>
      <c r="VWR3" s="13"/>
      <c r="VWS3" s="13"/>
      <c r="VWT3" s="13"/>
      <c r="VWU3" s="13"/>
      <c r="VWV3" s="13"/>
      <c r="VWW3" s="13"/>
      <c r="VWX3" s="13"/>
      <c r="VWY3" s="13"/>
      <c r="VWZ3" s="13"/>
      <c r="VXA3" s="13"/>
      <c r="VXB3" s="13"/>
      <c r="VXC3" s="13"/>
      <c r="VXD3" s="13"/>
      <c r="VXE3" s="13"/>
      <c r="VXF3" s="13"/>
      <c r="VXG3" s="13"/>
      <c r="VXH3" s="13"/>
      <c r="VXI3" s="13"/>
      <c r="VXJ3" s="13"/>
      <c r="VXK3" s="13"/>
      <c r="VXL3" s="13"/>
      <c r="VXM3" s="13"/>
      <c r="VXN3" s="13"/>
      <c r="VXO3" s="13"/>
      <c r="VXP3" s="13"/>
      <c r="VXQ3" s="13"/>
      <c r="VXR3" s="13"/>
      <c r="VXS3" s="13"/>
      <c r="VXT3" s="13"/>
      <c r="VXU3" s="13"/>
      <c r="VXV3" s="13"/>
      <c r="VXW3" s="13"/>
      <c r="VXX3" s="13"/>
      <c r="VXY3" s="13"/>
      <c r="VXZ3" s="13"/>
      <c r="VYA3" s="13"/>
      <c r="VYB3" s="13"/>
      <c r="VYC3" s="13"/>
      <c r="VYD3" s="13"/>
      <c r="VYE3" s="13"/>
      <c r="VYF3" s="13"/>
      <c r="VYG3" s="13"/>
      <c r="VYH3" s="13"/>
      <c r="VYI3" s="13"/>
      <c r="VYJ3" s="13"/>
      <c r="VYK3" s="13"/>
      <c r="VYL3" s="13"/>
      <c r="VYM3" s="13"/>
      <c r="VYN3" s="13"/>
      <c r="VYO3" s="13"/>
      <c r="VYP3" s="13"/>
      <c r="VYQ3" s="13"/>
      <c r="VYR3" s="13"/>
      <c r="VYS3" s="13"/>
      <c r="VYT3" s="13"/>
      <c r="VYU3" s="13"/>
      <c r="VYV3" s="13"/>
      <c r="VYW3" s="13"/>
      <c r="VYX3" s="13"/>
      <c r="VYY3" s="13"/>
      <c r="VYZ3" s="13"/>
      <c r="VZA3" s="13"/>
      <c r="VZB3" s="13"/>
      <c r="VZC3" s="13"/>
      <c r="VZD3" s="13"/>
      <c r="VZE3" s="13"/>
      <c r="VZF3" s="13"/>
      <c r="VZG3" s="13"/>
      <c r="VZH3" s="13"/>
      <c r="VZI3" s="13"/>
      <c r="VZJ3" s="13"/>
      <c r="VZK3" s="13"/>
      <c r="VZL3" s="13"/>
      <c r="VZM3" s="13"/>
      <c r="VZN3" s="13"/>
      <c r="VZO3" s="13"/>
      <c r="VZP3" s="13"/>
      <c r="VZQ3" s="13"/>
      <c r="VZR3" s="13"/>
      <c r="VZS3" s="13"/>
      <c r="VZT3" s="13"/>
      <c r="VZU3" s="13"/>
      <c r="VZV3" s="13"/>
      <c r="VZW3" s="13"/>
      <c r="VZX3" s="13"/>
      <c r="VZY3" s="13"/>
      <c r="VZZ3" s="13"/>
      <c r="WAA3" s="13"/>
      <c r="WAB3" s="13"/>
      <c r="WAC3" s="13"/>
      <c r="WAD3" s="13"/>
      <c r="WAE3" s="13"/>
      <c r="WAF3" s="13"/>
      <c r="WAG3" s="13"/>
      <c r="WAH3" s="13"/>
      <c r="WAI3" s="13"/>
      <c r="WAJ3" s="13"/>
      <c r="WAK3" s="13"/>
      <c r="WAL3" s="13"/>
      <c r="WAM3" s="13"/>
      <c r="WAN3" s="13"/>
      <c r="WAO3" s="13"/>
      <c r="WAP3" s="13"/>
      <c r="WAQ3" s="13"/>
      <c r="WAR3" s="13"/>
      <c r="WAS3" s="13"/>
      <c r="WAT3" s="13"/>
      <c r="WAU3" s="13"/>
      <c r="WAV3" s="13"/>
      <c r="WAW3" s="13"/>
      <c r="WAX3" s="13"/>
      <c r="WAY3" s="13"/>
      <c r="WAZ3" s="13"/>
      <c r="WBA3" s="13"/>
      <c r="WBB3" s="13"/>
      <c r="WBC3" s="13"/>
      <c r="WBD3" s="13"/>
      <c r="WBE3" s="13"/>
      <c r="WBF3" s="13"/>
      <c r="WBG3" s="13"/>
      <c r="WBH3" s="13"/>
      <c r="WBI3" s="13"/>
      <c r="WBJ3" s="13"/>
      <c r="WBK3" s="13"/>
      <c r="WBL3" s="13"/>
      <c r="WBM3" s="13"/>
      <c r="WBN3" s="13"/>
      <c r="WBO3" s="13"/>
      <c r="WBP3" s="13"/>
      <c r="WBQ3" s="13"/>
      <c r="WBR3" s="13"/>
      <c r="WBS3" s="13"/>
      <c r="WBT3" s="13"/>
      <c r="WBU3" s="13"/>
      <c r="WBV3" s="13"/>
      <c r="WBW3" s="13"/>
      <c r="WBX3" s="13"/>
      <c r="WBY3" s="13"/>
      <c r="WBZ3" s="13"/>
      <c r="WCA3" s="13"/>
      <c r="WCB3" s="13"/>
      <c r="WCC3" s="13"/>
      <c r="WCD3" s="13"/>
      <c r="WCE3" s="13"/>
      <c r="WCF3" s="13"/>
      <c r="WCG3" s="13"/>
      <c r="WCH3" s="13"/>
      <c r="WCI3" s="13"/>
      <c r="WCJ3" s="13"/>
      <c r="WCK3" s="13"/>
      <c r="WCL3" s="13"/>
      <c r="WCM3" s="13"/>
      <c r="WCN3" s="13"/>
      <c r="WCO3" s="13"/>
      <c r="WCP3" s="13"/>
      <c r="WCQ3" s="13"/>
      <c r="WCR3" s="13"/>
      <c r="WCS3" s="13"/>
      <c r="WCT3" s="13"/>
      <c r="WCU3" s="13"/>
      <c r="WCV3" s="13"/>
      <c r="WCW3" s="13"/>
      <c r="WCX3" s="13"/>
      <c r="WCY3" s="13"/>
      <c r="WCZ3" s="13"/>
      <c r="WDA3" s="13"/>
      <c r="WDB3" s="13"/>
      <c r="WDC3" s="13"/>
      <c r="WDD3" s="13"/>
      <c r="WDE3" s="13"/>
      <c r="WDF3" s="13"/>
      <c r="WDG3" s="13"/>
      <c r="WDH3" s="13"/>
      <c r="WDI3" s="13"/>
      <c r="WDJ3" s="13"/>
      <c r="WDK3" s="13"/>
      <c r="WDL3" s="13"/>
      <c r="WDM3" s="13"/>
      <c r="WDN3" s="13"/>
      <c r="WDO3" s="13"/>
      <c r="WDP3" s="13"/>
      <c r="WDQ3" s="13"/>
      <c r="WDR3" s="13"/>
      <c r="WDS3" s="13"/>
      <c r="WDT3" s="13"/>
      <c r="WDU3" s="13"/>
      <c r="WDV3" s="13"/>
      <c r="WDW3" s="13"/>
      <c r="WDX3" s="13"/>
      <c r="WDY3" s="13"/>
      <c r="WDZ3" s="13"/>
      <c r="WEA3" s="13"/>
      <c r="WEB3" s="13"/>
      <c r="WEC3" s="13"/>
      <c r="WED3" s="13"/>
      <c r="WEE3" s="13"/>
      <c r="WEF3" s="13"/>
      <c r="WEG3" s="13"/>
      <c r="WEH3" s="13"/>
      <c r="WEI3" s="13"/>
      <c r="WEJ3" s="13"/>
      <c r="WEK3" s="13"/>
      <c r="WEL3" s="13"/>
      <c r="WEM3" s="13"/>
      <c r="WEN3" s="13"/>
      <c r="WEO3" s="13"/>
      <c r="WEP3" s="13"/>
      <c r="WEQ3" s="13"/>
      <c r="WER3" s="13"/>
      <c r="WES3" s="13"/>
      <c r="WET3" s="13"/>
      <c r="WEU3" s="13"/>
      <c r="WEV3" s="13"/>
      <c r="WEW3" s="13"/>
      <c r="WEX3" s="13"/>
      <c r="WEY3" s="13"/>
      <c r="WEZ3" s="13"/>
      <c r="WFA3" s="13"/>
      <c r="WFB3" s="13"/>
      <c r="WFC3" s="13"/>
      <c r="WFD3" s="13"/>
      <c r="WFE3" s="13"/>
      <c r="WFF3" s="13"/>
      <c r="WFG3" s="13"/>
      <c r="WFH3" s="13"/>
      <c r="WFI3" s="13"/>
      <c r="WFJ3" s="13"/>
      <c r="WFK3" s="13"/>
      <c r="WFL3" s="13"/>
      <c r="WFM3" s="13"/>
      <c r="WFN3" s="13"/>
      <c r="WFO3" s="13"/>
      <c r="WFP3" s="13"/>
      <c r="WFQ3" s="13"/>
      <c r="WFR3" s="13"/>
      <c r="WFS3" s="13"/>
      <c r="WFT3" s="13"/>
      <c r="WFU3" s="13"/>
      <c r="WFV3" s="13"/>
      <c r="WFW3" s="13"/>
      <c r="WFX3" s="13"/>
      <c r="WFY3" s="13"/>
      <c r="WFZ3" s="13"/>
      <c r="WGA3" s="13"/>
      <c r="WGB3" s="13"/>
      <c r="WGC3" s="13"/>
      <c r="WGD3" s="13"/>
      <c r="WGE3" s="13"/>
      <c r="WGF3" s="13"/>
      <c r="WGG3" s="13"/>
      <c r="WGH3" s="13"/>
      <c r="WGI3" s="13"/>
      <c r="WGJ3" s="13"/>
      <c r="WGK3" s="13"/>
      <c r="WGL3" s="13"/>
      <c r="WGM3" s="13"/>
      <c r="WGN3" s="13"/>
      <c r="WGO3" s="13"/>
      <c r="WGP3" s="13"/>
      <c r="WGQ3" s="13"/>
      <c r="WGR3" s="13"/>
      <c r="WGS3" s="13"/>
      <c r="WGT3" s="13"/>
      <c r="WGU3" s="13"/>
      <c r="WGV3" s="13"/>
      <c r="WGW3" s="13"/>
      <c r="WGX3" s="13"/>
      <c r="WGY3" s="13"/>
      <c r="WGZ3" s="13"/>
      <c r="WHA3" s="13"/>
      <c r="WHB3" s="13"/>
      <c r="WHC3" s="13"/>
      <c r="WHD3" s="13"/>
      <c r="WHE3" s="13"/>
      <c r="WHF3" s="13"/>
      <c r="WHG3" s="13"/>
      <c r="WHH3" s="13"/>
      <c r="WHI3" s="13"/>
      <c r="WHJ3" s="13"/>
      <c r="WHK3" s="13"/>
      <c r="WHL3" s="13"/>
      <c r="WHM3" s="13"/>
      <c r="WHN3" s="13"/>
      <c r="WHO3" s="13"/>
      <c r="WHP3" s="13"/>
      <c r="WHQ3" s="13"/>
      <c r="WHR3" s="13"/>
      <c r="WHS3" s="13"/>
      <c r="WHT3" s="13"/>
      <c r="WHU3" s="13"/>
      <c r="WHV3" s="13"/>
      <c r="WHW3" s="13"/>
      <c r="WHX3" s="13"/>
      <c r="WHY3" s="13"/>
      <c r="WHZ3" s="13"/>
      <c r="WIA3" s="13"/>
      <c r="WIB3" s="13"/>
      <c r="WIC3" s="13"/>
      <c r="WID3" s="13"/>
      <c r="WIE3" s="13"/>
      <c r="WIF3" s="13"/>
      <c r="WIG3" s="13"/>
      <c r="WIH3" s="13"/>
      <c r="WII3" s="13"/>
      <c r="WIJ3" s="13"/>
      <c r="WIK3" s="13"/>
      <c r="WIL3" s="13"/>
      <c r="WIM3" s="13"/>
      <c r="WIN3" s="13"/>
      <c r="WIO3" s="13"/>
      <c r="WIP3" s="13"/>
      <c r="WIQ3" s="13"/>
      <c r="WIR3" s="13"/>
      <c r="WIS3" s="13"/>
      <c r="WIT3" s="13"/>
      <c r="WIU3" s="13"/>
      <c r="WIV3" s="13"/>
      <c r="WIW3" s="13"/>
      <c r="WIX3" s="13"/>
      <c r="WIY3" s="13"/>
      <c r="WIZ3" s="13"/>
      <c r="WJA3" s="13"/>
      <c r="WJB3" s="13"/>
      <c r="WJC3" s="13"/>
      <c r="WJD3" s="13"/>
      <c r="WJE3" s="13"/>
      <c r="WJF3" s="13"/>
      <c r="WJG3" s="13"/>
      <c r="WJH3" s="13"/>
      <c r="WJI3" s="13"/>
      <c r="WJJ3" s="13"/>
      <c r="WJK3" s="13"/>
      <c r="WJL3" s="13"/>
      <c r="WJM3" s="13"/>
      <c r="WJN3" s="13"/>
      <c r="WJO3" s="13"/>
      <c r="WJP3" s="13"/>
      <c r="WJQ3" s="13"/>
      <c r="WJR3" s="13"/>
      <c r="WJS3" s="13"/>
      <c r="WJT3" s="13"/>
      <c r="WJU3" s="13"/>
      <c r="WJV3" s="13"/>
      <c r="WJW3" s="13"/>
      <c r="WJX3" s="13"/>
      <c r="WJY3" s="13"/>
      <c r="WJZ3" s="13"/>
      <c r="WKA3" s="13"/>
      <c r="WKB3" s="13"/>
      <c r="WKC3" s="13"/>
      <c r="WKD3" s="13"/>
      <c r="WKE3" s="13"/>
      <c r="WKF3" s="13"/>
      <c r="WKG3" s="13"/>
      <c r="WKH3" s="13"/>
      <c r="WKI3" s="13"/>
      <c r="WKJ3" s="13"/>
      <c r="WKK3" s="13"/>
      <c r="WKL3" s="13"/>
      <c r="WKM3" s="13"/>
      <c r="WKN3" s="13"/>
      <c r="WKO3" s="13"/>
      <c r="WKP3" s="13"/>
      <c r="WKQ3" s="13"/>
      <c r="WKR3" s="13"/>
      <c r="WKS3" s="13"/>
      <c r="WKT3" s="13"/>
      <c r="WKU3" s="13"/>
      <c r="WKV3" s="13"/>
      <c r="WKW3" s="13"/>
      <c r="WKX3" s="13"/>
      <c r="WKY3" s="13"/>
      <c r="WKZ3" s="13"/>
      <c r="WLA3" s="13"/>
      <c r="WLB3" s="13"/>
      <c r="WLC3" s="13"/>
      <c r="WLD3" s="13"/>
      <c r="WLE3" s="13"/>
      <c r="WLF3" s="13"/>
      <c r="WLG3" s="13"/>
      <c r="WLH3" s="13"/>
      <c r="WLI3" s="13"/>
      <c r="WLJ3" s="13"/>
      <c r="WLK3" s="13"/>
      <c r="WLL3" s="13"/>
      <c r="WLM3" s="13"/>
      <c r="WLN3" s="13"/>
      <c r="WLO3" s="13"/>
      <c r="WLP3" s="13"/>
      <c r="WLQ3" s="13"/>
      <c r="WLR3" s="13"/>
      <c r="WLS3" s="13"/>
      <c r="WLT3" s="13"/>
      <c r="WLU3" s="13"/>
      <c r="WLV3" s="13"/>
      <c r="WLW3" s="13"/>
      <c r="WLX3" s="13"/>
      <c r="WLY3" s="13"/>
      <c r="WLZ3" s="13"/>
      <c r="WMA3" s="13"/>
      <c r="WMB3" s="13"/>
      <c r="WMC3" s="13"/>
      <c r="WMD3" s="13"/>
      <c r="WME3" s="13"/>
      <c r="WMF3" s="13"/>
      <c r="WMG3" s="13"/>
      <c r="WMH3" s="13"/>
      <c r="WMI3" s="13"/>
      <c r="WMJ3" s="13"/>
      <c r="WMK3" s="13"/>
      <c r="WML3" s="13"/>
      <c r="WMM3" s="13"/>
      <c r="WMN3" s="13"/>
      <c r="WMO3" s="13"/>
      <c r="WMP3" s="13"/>
      <c r="WMQ3" s="13"/>
      <c r="WMR3" s="13"/>
      <c r="WMS3" s="13"/>
      <c r="WMT3" s="13"/>
      <c r="WMU3" s="13"/>
      <c r="WMV3" s="13"/>
      <c r="WMW3" s="13"/>
      <c r="WMX3" s="13"/>
      <c r="WMY3" s="13"/>
      <c r="WMZ3" s="13"/>
      <c r="WNA3" s="13"/>
      <c r="WNB3" s="13"/>
      <c r="WNC3" s="13"/>
      <c r="WND3" s="13"/>
      <c r="WNE3" s="13"/>
      <c r="WNF3" s="13"/>
      <c r="WNG3" s="13"/>
      <c r="WNH3" s="13"/>
      <c r="WNI3" s="13"/>
      <c r="WNJ3" s="13"/>
      <c r="WNK3" s="13"/>
      <c r="WNL3" s="13"/>
      <c r="WNM3" s="13"/>
      <c r="WNN3" s="13"/>
      <c r="WNO3" s="13"/>
      <c r="WNP3" s="13"/>
      <c r="WNQ3" s="13"/>
      <c r="WNR3" s="13"/>
      <c r="WNS3" s="13"/>
      <c r="WNT3" s="13"/>
      <c r="WNU3" s="13"/>
      <c r="WNV3" s="13"/>
      <c r="WNW3" s="13"/>
      <c r="WNX3" s="13"/>
      <c r="WNY3" s="13"/>
      <c r="WNZ3" s="13"/>
      <c r="WOA3" s="13"/>
      <c r="WOB3" s="13"/>
      <c r="WOC3" s="13"/>
      <c r="WOD3" s="13"/>
      <c r="WOE3" s="13"/>
      <c r="WOF3" s="13"/>
      <c r="WOG3" s="13"/>
      <c r="WOH3" s="13"/>
      <c r="WOI3" s="13"/>
      <c r="WOJ3" s="13"/>
      <c r="WOK3" s="13"/>
      <c r="WOL3" s="13"/>
      <c r="WOM3" s="13"/>
      <c r="WON3" s="13"/>
      <c r="WOO3" s="13"/>
      <c r="WOP3" s="13"/>
      <c r="WOQ3" s="13"/>
      <c r="WOR3" s="13"/>
      <c r="WOS3" s="13"/>
      <c r="WOT3" s="13"/>
      <c r="WOU3" s="13"/>
      <c r="WOV3" s="13"/>
      <c r="WOW3" s="13"/>
      <c r="WOX3" s="13"/>
      <c r="WOY3" s="13"/>
      <c r="WOZ3" s="13"/>
      <c r="WPA3" s="13"/>
      <c r="WPB3" s="13"/>
      <c r="WPC3" s="13"/>
      <c r="WPD3" s="13"/>
      <c r="WPE3" s="13"/>
      <c r="WPF3" s="13"/>
      <c r="WPG3" s="13"/>
      <c r="WPH3" s="13"/>
      <c r="WPI3" s="13"/>
      <c r="WPJ3" s="13"/>
      <c r="WPK3" s="13"/>
      <c r="WPL3" s="13"/>
      <c r="WPM3" s="13"/>
      <c r="WPN3" s="13"/>
      <c r="WPO3" s="13"/>
      <c r="WPP3" s="13"/>
      <c r="WPQ3" s="13"/>
      <c r="WPR3" s="13"/>
      <c r="WPS3" s="13"/>
      <c r="WPT3" s="13"/>
      <c r="WPU3" s="13"/>
      <c r="WPV3" s="13"/>
      <c r="WPW3" s="13"/>
      <c r="WPX3" s="13"/>
      <c r="WPY3" s="13"/>
      <c r="WPZ3" s="13"/>
      <c r="WQA3" s="13"/>
      <c r="WQB3" s="13"/>
      <c r="WQC3" s="13"/>
      <c r="WQD3" s="13"/>
      <c r="WQE3" s="13"/>
      <c r="WQF3" s="13"/>
      <c r="WQG3" s="13"/>
      <c r="WQH3" s="13"/>
      <c r="WQI3" s="13"/>
      <c r="WQJ3" s="13"/>
      <c r="WQK3" s="13"/>
      <c r="WQL3" s="13"/>
      <c r="WQM3" s="13"/>
      <c r="WQN3" s="13"/>
      <c r="WQO3" s="13"/>
      <c r="WQP3" s="13"/>
      <c r="WQQ3" s="13"/>
      <c r="WQR3" s="13"/>
      <c r="WQS3" s="13"/>
      <c r="WQT3" s="13"/>
      <c r="WQU3" s="13"/>
      <c r="WQV3" s="13"/>
      <c r="WQW3" s="13"/>
      <c r="WQX3" s="13"/>
      <c r="WQY3" s="13"/>
      <c r="WQZ3" s="13"/>
      <c r="WRA3" s="13"/>
      <c r="WRB3" s="13"/>
      <c r="WRC3" s="13"/>
      <c r="WRD3" s="13"/>
      <c r="WRE3" s="13"/>
      <c r="WRF3" s="13"/>
      <c r="WRG3" s="13"/>
      <c r="WRH3" s="13"/>
      <c r="WRI3" s="13"/>
      <c r="WRJ3" s="13"/>
      <c r="WRK3" s="13"/>
      <c r="WRL3" s="13"/>
      <c r="WRM3" s="13"/>
      <c r="WRN3" s="13"/>
      <c r="WRO3" s="13"/>
      <c r="WRP3" s="13"/>
      <c r="WRQ3" s="13"/>
      <c r="WRR3" s="13"/>
      <c r="WRS3" s="13"/>
      <c r="WRT3" s="13"/>
      <c r="WRU3" s="13"/>
      <c r="WRV3" s="13"/>
      <c r="WRW3" s="13"/>
      <c r="WRX3" s="13"/>
      <c r="WRY3" s="13"/>
      <c r="WRZ3" s="13"/>
      <c r="WSA3" s="13"/>
      <c r="WSB3" s="13"/>
      <c r="WSC3" s="13"/>
      <c r="WSD3" s="13"/>
      <c r="WSE3" s="13"/>
      <c r="WSF3" s="13"/>
      <c r="WSG3" s="13"/>
      <c r="WSH3" s="13"/>
      <c r="WSI3" s="13"/>
      <c r="WSJ3" s="13"/>
      <c r="WSK3" s="13"/>
      <c r="WSL3" s="13"/>
      <c r="WSM3" s="13"/>
      <c r="WSN3" s="13"/>
      <c r="WSO3" s="13"/>
      <c r="WSP3" s="13"/>
      <c r="WSQ3" s="13"/>
      <c r="WSR3" s="13"/>
      <c r="WSS3" s="13"/>
      <c r="WST3" s="13"/>
      <c r="WSU3" s="13"/>
      <c r="WSV3" s="13"/>
      <c r="WSW3" s="13"/>
      <c r="WSX3" s="13"/>
      <c r="WSY3" s="13"/>
      <c r="WSZ3" s="13"/>
      <c r="WTA3" s="13"/>
      <c r="WTB3" s="13"/>
      <c r="WTC3" s="13"/>
      <c r="WTD3" s="13"/>
      <c r="WTE3" s="13"/>
      <c r="WTF3" s="13"/>
      <c r="WTG3" s="13"/>
      <c r="WTH3" s="13"/>
      <c r="WTI3" s="13"/>
      <c r="WTJ3" s="13"/>
      <c r="WTK3" s="13"/>
      <c r="WTL3" s="13"/>
      <c r="WTM3" s="13"/>
      <c r="WTN3" s="13"/>
      <c r="WTO3" s="13"/>
      <c r="WTP3" s="13"/>
      <c r="WTQ3" s="13"/>
      <c r="WTR3" s="13"/>
      <c r="WTS3" s="13"/>
      <c r="WTT3" s="13"/>
      <c r="WTU3" s="13"/>
      <c r="WTV3" s="13"/>
      <c r="WTW3" s="13"/>
      <c r="WTX3" s="13"/>
      <c r="WTY3" s="13"/>
      <c r="WTZ3" s="13"/>
      <c r="WUA3" s="13"/>
      <c r="WUB3" s="13"/>
      <c r="WUC3" s="13"/>
      <c r="WUD3" s="13"/>
      <c r="WUE3" s="13"/>
      <c r="WUF3" s="13"/>
      <c r="WUG3" s="13"/>
      <c r="WUH3" s="13"/>
      <c r="WUI3" s="13"/>
      <c r="WUJ3" s="13"/>
      <c r="WUK3" s="13"/>
      <c r="WUL3" s="13"/>
      <c r="WUM3" s="13"/>
      <c r="WUN3" s="13"/>
      <c r="WUO3" s="13"/>
      <c r="WUP3" s="13"/>
      <c r="WUQ3" s="13"/>
      <c r="WUR3" s="13"/>
      <c r="WUS3" s="13"/>
      <c r="WUT3" s="13"/>
      <c r="WUU3" s="13"/>
      <c r="WUV3" s="13"/>
      <c r="WUW3" s="13"/>
      <c r="WUX3" s="13"/>
      <c r="WUY3" s="13"/>
      <c r="WUZ3" s="13"/>
      <c r="WVA3" s="13"/>
      <c r="WVB3" s="13"/>
      <c r="WVC3" s="13"/>
      <c r="WVD3" s="13"/>
      <c r="WVE3" s="13"/>
      <c r="WVF3" s="13"/>
      <c r="WVG3" s="13"/>
      <c r="WVH3" s="13"/>
      <c r="WVI3" s="13"/>
      <c r="WVJ3" s="13"/>
      <c r="WVK3" s="13"/>
      <c r="WVL3" s="13"/>
      <c r="WVM3" s="13"/>
      <c r="WVN3" s="13"/>
      <c r="WVO3" s="13"/>
      <c r="WVP3" s="13"/>
      <c r="WVQ3" s="13"/>
      <c r="WVR3" s="13"/>
      <c r="WVS3" s="13"/>
      <c r="WVT3" s="13"/>
      <c r="WVU3" s="13"/>
      <c r="WVV3" s="13"/>
      <c r="WVW3" s="13"/>
      <c r="WVX3" s="13"/>
      <c r="WVY3" s="13"/>
      <c r="WVZ3" s="13"/>
      <c r="WWA3" s="13"/>
      <c r="WWB3" s="13"/>
      <c r="WWC3" s="13"/>
      <c r="WWD3" s="13"/>
      <c r="WWE3" s="13"/>
      <c r="WWF3" s="13"/>
      <c r="WWG3" s="13"/>
      <c r="WWH3" s="13"/>
      <c r="WWI3" s="13"/>
      <c r="WWJ3" s="13"/>
      <c r="WWK3" s="13"/>
      <c r="WWL3" s="13"/>
      <c r="WWM3" s="13"/>
      <c r="WWN3" s="13"/>
      <c r="WWO3" s="13"/>
      <c r="WWP3" s="13"/>
      <c r="WWQ3" s="13"/>
      <c r="WWR3" s="13"/>
      <c r="WWS3" s="13"/>
      <c r="WWT3" s="13"/>
      <c r="WWU3" s="13"/>
      <c r="WWV3" s="13"/>
      <c r="WWW3" s="13"/>
      <c r="WWX3" s="13"/>
      <c r="WWY3" s="13"/>
      <c r="WWZ3" s="13"/>
      <c r="WXA3" s="13"/>
      <c r="WXB3" s="13"/>
      <c r="WXC3" s="13"/>
      <c r="WXD3" s="13"/>
      <c r="WXE3" s="13"/>
      <c r="WXF3" s="13"/>
      <c r="WXG3" s="13"/>
      <c r="WXH3" s="13"/>
      <c r="WXI3" s="13"/>
      <c r="WXJ3" s="13"/>
      <c r="WXK3" s="13"/>
      <c r="WXL3" s="13"/>
      <c r="WXM3" s="13"/>
      <c r="WXN3" s="13"/>
      <c r="WXO3" s="13"/>
      <c r="WXP3" s="13"/>
      <c r="WXQ3" s="13"/>
      <c r="WXR3" s="13"/>
      <c r="WXS3" s="13"/>
      <c r="WXT3" s="13"/>
      <c r="WXU3" s="13"/>
      <c r="WXV3" s="13"/>
      <c r="WXW3" s="13"/>
      <c r="WXX3" s="13"/>
      <c r="WXY3" s="13"/>
      <c r="WXZ3" s="13"/>
      <c r="WYA3" s="13"/>
      <c r="WYB3" s="13"/>
      <c r="WYC3" s="13"/>
      <c r="WYD3" s="13"/>
      <c r="WYE3" s="13"/>
      <c r="WYF3" s="13"/>
      <c r="WYG3" s="13"/>
      <c r="WYH3" s="13"/>
      <c r="WYI3" s="13"/>
      <c r="WYJ3" s="13"/>
      <c r="WYK3" s="13"/>
      <c r="WYL3" s="13"/>
      <c r="WYM3" s="13"/>
      <c r="WYN3" s="13"/>
      <c r="WYO3" s="13"/>
      <c r="WYP3" s="13"/>
      <c r="WYQ3" s="13"/>
      <c r="WYR3" s="13"/>
      <c r="WYS3" s="13"/>
      <c r="WYT3" s="13"/>
      <c r="WYU3" s="13"/>
      <c r="WYV3" s="13"/>
      <c r="WYW3" s="13"/>
      <c r="WYX3" s="13"/>
      <c r="WYY3" s="13"/>
      <c r="WYZ3" s="13"/>
      <c r="WZA3" s="13"/>
      <c r="WZB3" s="13"/>
      <c r="WZC3" s="13"/>
      <c r="WZD3" s="13"/>
      <c r="WZE3" s="13"/>
      <c r="WZF3" s="13"/>
      <c r="WZG3" s="13"/>
      <c r="WZH3" s="13"/>
      <c r="WZI3" s="13"/>
      <c r="WZJ3" s="13"/>
      <c r="WZK3" s="13"/>
      <c r="WZL3" s="13"/>
      <c r="WZM3" s="13"/>
      <c r="WZN3" s="13"/>
      <c r="WZO3" s="13"/>
      <c r="WZP3" s="13"/>
      <c r="WZQ3" s="13"/>
      <c r="WZR3" s="13"/>
      <c r="WZS3" s="13"/>
      <c r="WZT3" s="13"/>
      <c r="WZU3" s="13"/>
      <c r="WZV3" s="13"/>
      <c r="WZW3" s="13"/>
      <c r="WZX3" s="13"/>
      <c r="WZY3" s="13"/>
      <c r="WZZ3" s="13"/>
      <c r="XAA3" s="13"/>
      <c r="XAB3" s="13"/>
      <c r="XAC3" s="13"/>
      <c r="XAD3" s="13"/>
      <c r="XAE3" s="13"/>
      <c r="XAF3" s="13"/>
      <c r="XAG3" s="13"/>
      <c r="XAH3" s="13"/>
      <c r="XAI3" s="13"/>
      <c r="XAJ3" s="13"/>
      <c r="XAK3" s="13"/>
      <c r="XAL3" s="13"/>
      <c r="XAM3" s="13"/>
      <c r="XAN3" s="13"/>
      <c r="XAO3" s="13"/>
      <c r="XAP3" s="13"/>
      <c r="XAQ3" s="13"/>
      <c r="XAR3" s="13"/>
      <c r="XAS3" s="13"/>
      <c r="XAT3" s="13"/>
      <c r="XAU3" s="13"/>
      <c r="XAV3" s="13"/>
      <c r="XAW3" s="13"/>
      <c r="XAX3" s="13"/>
      <c r="XAY3" s="13"/>
      <c r="XAZ3" s="13"/>
      <c r="XBA3" s="13"/>
      <c r="XBB3" s="13"/>
      <c r="XBC3" s="13"/>
      <c r="XBD3" s="13"/>
      <c r="XBE3" s="13"/>
      <c r="XBF3" s="13"/>
      <c r="XBG3" s="13"/>
      <c r="XBH3" s="13"/>
      <c r="XBI3" s="13"/>
      <c r="XBJ3" s="13"/>
      <c r="XBK3" s="13"/>
      <c r="XBL3" s="13"/>
      <c r="XBM3" s="13"/>
      <c r="XBN3" s="13"/>
      <c r="XBO3" s="13"/>
      <c r="XBP3" s="13"/>
      <c r="XBQ3" s="13"/>
      <c r="XBR3" s="13"/>
      <c r="XBS3" s="13"/>
      <c r="XBT3" s="13"/>
      <c r="XBU3" s="13"/>
      <c r="XBV3" s="13"/>
      <c r="XBW3" s="13"/>
      <c r="XBX3" s="13"/>
      <c r="XBY3" s="13"/>
      <c r="XBZ3" s="13"/>
      <c r="XCA3" s="13"/>
      <c r="XCB3" s="13"/>
      <c r="XCC3" s="13"/>
      <c r="XCD3" s="13"/>
      <c r="XCE3" s="13"/>
      <c r="XCF3" s="13"/>
      <c r="XCG3" s="13"/>
      <c r="XCH3" s="13"/>
      <c r="XCI3" s="13"/>
      <c r="XCJ3" s="13"/>
      <c r="XCK3" s="13"/>
      <c r="XCL3" s="13"/>
      <c r="XCM3" s="13"/>
      <c r="XCN3" s="13"/>
      <c r="XCO3" s="13"/>
      <c r="XCP3" s="13"/>
      <c r="XCQ3" s="13"/>
      <c r="XCR3" s="13"/>
      <c r="XCS3" s="13"/>
      <c r="XCT3" s="13"/>
      <c r="XCU3" s="13"/>
      <c r="XCV3" s="13"/>
      <c r="XCW3" s="13"/>
      <c r="XCX3" s="13"/>
      <c r="XCY3" s="13"/>
      <c r="XCZ3" s="13"/>
      <c r="XDA3" s="13"/>
      <c r="XDB3" s="13"/>
      <c r="XDC3" s="13"/>
      <c r="XDD3" s="13"/>
      <c r="XDE3" s="13"/>
      <c r="XDF3" s="13"/>
      <c r="XDG3" s="13"/>
      <c r="XDH3" s="13"/>
      <c r="XDI3" s="13"/>
      <c r="XDJ3" s="13"/>
      <c r="XDK3" s="13"/>
      <c r="XDL3" s="13"/>
      <c r="XDM3" s="13"/>
      <c r="XDN3" s="13"/>
      <c r="XDO3" s="13"/>
      <c r="XDP3" s="13"/>
      <c r="XDQ3" s="13"/>
      <c r="XDR3" s="13"/>
      <c r="XDS3" s="13"/>
      <c r="XDT3" s="13"/>
      <c r="XDU3" s="13"/>
      <c r="XDV3" s="13"/>
      <c r="XDW3" s="13"/>
      <c r="XDX3" s="13"/>
      <c r="XDY3" s="13"/>
      <c r="XDZ3" s="13"/>
      <c r="XEA3" s="13"/>
      <c r="XEB3" s="13"/>
      <c r="XEC3" s="13"/>
      <c r="XED3" s="13"/>
      <c r="XEE3" s="13"/>
      <c r="XEF3" s="13"/>
      <c r="XEG3" s="13"/>
      <c r="XEH3" s="13"/>
      <c r="XEI3" s="13"/>
      <c r="XEJ3" s="13"/>
      <c r="XEK3" s="13"/>
      <c r="XEL3" s="13"/>
      <c r="XEM3" s="13"/>
      <c r="XEN3" s="13"/>
      <c r="XEO3" s="13"/>
      <c r="XEP3" s="13"/>
      <c r="XEQ3" s="13"/>
      <c r="XER3" s="13"/>
      <c r="XES3" s="13"/>
      <c r="XET3" s="13"/>
      <c r="XEU3" s="13"/>
      <c r="XEV3" s="13"/>
      <c r="XEW3" s="13"/>
      <c r="XEX3" s="13"/>
      <c r="XEY3" s="13"/>
      <c r="XEZ3" s="13"/>
      <c r="XFA3" s="13"/>
      <c r="XFB3" s="13"/>
      <c r="XFC3" s="13"/>
      <c r="XFD3" s="13"/>
    </row>
    <row r="4" spans="1:16384" ht="15" customHeight="1">
      <c r="A4" s="73"/>
      <c r="B4" s="73"/>
      <c r="C4" s="43"/>
      <c r="D4" s="43"/>
      <c r="E4" s="43"/>
      <c r="F4" s="43"/>
      <c r="G4" s="43"/>
      <c r="H4" s="43"/>
      <c r="I4" s="43"/>
      <c r="J4" s="43"/>
      <c r="K4" s="43"/>
      <c r="L4" s="43"/>
      <c r="M4" s="43"/>
      <c r="N4" s="43"/>
      <c r="O4" s="43"/>
      <c r="P4" s="43"/>
      <c r="Q4" s="63"/>
      <c r="R4" s="63"/>
      <c r="S4" s="63"/>
      <c r="U4" s="74"/>
    </row>
    <row r="5" spans="1:16384" ht="15" customHeight="1">
      <c r="A5" s="73"/>
      <c r="B5" s="73"/>
      <c r="C5" s="43"/>
      <c r="D5" s="43"/>
      <c r="E5" s="43"/>
      <c r="F5" s="43"/>
      <c r="G5" s="43"/>
      <c r="H5" s="43"/>
      <c r="I5" s="43"/>
      <c r="J5" s="43"/>
      <c r="K5" s="43"/>
      <c r="L5" s="43"/>
      <c r="M5" s="43"/>
      <c r="N5" s="43"/>
      <c r="O5" s="43"/>
      <c r="P5" s="43"/>
      <c r="Q5" s="63"/>
      <c r="R5" s="63"/>
      <c r="S5" s="63"/>
      <c r="U5" s="74"/>
    </row>
    <row r="6" spans="1:16384" ht="15" customHeight="1">
      <c r="A6" s="73"/>
      <c r="B6" s="73"/>
      <c r="C6" s="43"/>
      <c r="D6" s="43"/>
      <c r="E6" s="43"/>
      <c r="F6" s="43"/>
      <c r="G6" s="43"/>
      <c r="H6" s="43"/>
      <c r="I6" s="43"/>
      <c r="J6" s="43"/>
      <c r="K6" s="64"/>
      <c r="L6" s="64"/>
      <c r="M6" s="43"/>
      <c r="N6" s="43"/>
      <c r="O6" s="65"/>
      <c r="P6" s="66"/>
      <c r="Q6" s="67"/>
      <c r="R6" s="68"/>
      <c r="S6" s="68"/>
      <c r="U6" s="74"/>
    </row>
    <row r="7" spans="1:16384" ht="15" customHeight="1">
      <c r="A7" s="73"/>
      <c r="B7" s="73"/>
      <c r="C7" s="43"/>
      <c r="D7" s="43"/>
      <c r="E7" s="43"/>
      <c r="F7" s="43"/>
      <c r="G7" s="43"/>
      <c r="H7" s="43"/>
      <c r="I7" s="43"/>
      <c r="J7" s="43"/>
      <c r="K7" s="43"/>
      <c r="L7" s="43"/>
      <c r="M7" s="43"/>
      <c r="N7" s="43"/>
      <c r="O7" s="43"/>
      <c r="P7" s="43"/>
      <c r="Q7" s="63"/>
      <c r="R7" s="63"/>
      <c r="S7" s="63"/>
      <c r="U7" s="74"/>
    </row>
    <row r="8" spans="1:16384" ht="15" customHeight="1">
      <c r="A8" s="73"/>
      <c r="B8" s="73"/>
      <c r="C8" s="43"/>
      <c r="D8" s="43"/>
      <c r="E8" s="43"/>
      <c r="F8" s="43"/>
      <c r="G8" s="43"/>
      <c r="H8" s="43"/>
      <c r="I8" s="43"/>
      <c r="J8" s="43"/>
      <c r="K8" s="43"/>
      <c r="L8" s="43"/>
      <c r="M8" s="43"/>
      <c r="N8" s="43"/>
      <c r="O8" s="43"/>
      <c r="P8" s="43"/>
      <c r="Q8" s="63"/>
      <c r="R8" s="63"/>
      <c r="S8" s="69"/>
      <c r="U8" s="74"/>
    </row>
    <row r="9" spans="1:16384" ht="15" customHeight="1">
      <c r="A9" s="73"/>
      <c r="B9" s="73"/>
      <c r="C9" s="43"/>
      <c r="D9" s="43"/>
      <c r="E9" s="43"/>
      <c r="F9" s="43"/>
      <c r="G9" s="43"/>
      <c r="H9" s="43"/>
      <c r="I9" s="43"/>
      <c r="J9" s="43"/>
      <c r="K9" s="43"/>
      <c r="L9" s="43"/>
      <c r="M9" s="43"/>
      <c r="N9" s="43"/>
      <c r="O9" s="43"/>
      <c r="P9" s="43"/>
      <c r="Q9" s="63"/>
      <c r="R9" s="63"/>
      <c r="S9" s="70"/>
      <c r="U9" s="74"/>
    </row>
    <row r="10" spans="1:16384" ht="15" customHeight="1">
      <c r="A10" s="73"/>
      <c r="B10" s="73"/>
      <c r="C10" s="43"/>
      <c r="D10" s="43"/>
      <c r="E10" s="43"/>
      <c r="F10" s="43"/>
      <c r="G10" s="43"/>
      <c r="H10" s="43"/>
      <c r="I10" s="43"/>
      <c r="J10" s="43"/>
      <c r="K10" s="43"/>
      <c r="L10" s="43"/>
      <c r="M10" s="43"/>
      <c r="N10" s="43"/>
      <c r="O10" s="43"/>
      <c r="P10" s="43"/>
      <c r="Q10" s="63"/>
      <c r="R10" s="63"/>
      <c r="S10" s="70"/>
      <c r="U10" s="74"/>
      <c r="AA10" s="16"/>
    </row>
    <row r="11" spans="1:16384" ht="15" customHeight="1">
      <c r="A11" s="73"/>
      <c r="B11" s="73"/>
      <c r="C11" s="43"/>
      <c r="D11" s="43"/>
      <c r="E11" s="43"/>
      <c r="F11" s="43"/>
      <c r="G11" s="43"/>
      <c r="H11" s="43"/>
      <c r="I11" s="43"/>
      <c r="J11" s="43"/>
      <c r="K11" s="43"/>
      <c r="L11" s="43"/>
      <c r="M11" s="43"/>
      <c r="N11" s="43"/>
      <c r="O11" s="43"/>
      <c r="P11" s="43"/>
      <c r="Q11" s="63"/>
      <c r="R11" s="63"/>
      <c r="S11" s="70"/>
      <c r="U11" s="74"/>
    </row>
    <row r="12" spans="1:16384" ht="15" customHeight="1">
      <c r="A12" s="73"/>
      <c r="B12" s="73"/>
      <c r="C12" s="43"/>
      <c r="D12" s="43"/>
      <c r="E12" s="43"/>
      <c r="F12" s="43"/>
      <c r="G12" s="43"/>
      <c r="H12" s="43"/>
      <c r="I12" s="43"/>
      <c r="J12" s="43"/>
      <c r="K12" s="43"/>
      <c r="L12" s="43"/>
      <c r="M12" s="43"/>
      <c r="N12" s="43"/>
      <c r="O12" s="43"/>
      <c r="P12" s="43"/>
      <c r="Q12" s="63"/>
      <c r="R12" s="63"/>
      <c r="S12" s="63"/>
      <c r="U12" s="74"/>
    </row>
    <row r="13" spans="1:16384" ht="15" customHeight="1">
      <c r="A13" s="73"/>
      <c r="C13" s="43"/>
      <c r="D13" s="43"/>
      <c r="E13" s="43"/>
      <c r="F13" s="43"/>
      <c r="G13" s="43"/>
      <c r="H13" s="43"/>
      <c r="I13" s="43"/>
      <c r="J13" s="43"/>
      <c r="K13" s="43"/>
      <c r="L13" s="43"/>
      <c r="M13" s="43"/>
      <c r="N13" s="43"/>
      <c r="O13" s="43"/>
      <c r="P13" s="43"/>
      <c r="Q13" s="63"/>
      <c r="R13" s="63"/>
      <c r="S13" s="63"/>
      <c r="U13" s="74"/>
      <c r="AA13" s="75"/>
    </row>
    <row r="14" spans="1:16384">
      <c r="C14" s="269" t="s">
        <v>52</v>
      </c>
      <c r="D14" s="528" t="s">
        <v>53</v>
      </c>
      <c r="E14" s="528"/>
      <c r="F14" s="528"/>
      <c r="G14" s="528" t="s">
        <v>54</v>
      </c>
      <c r="H14" s="528"/>
      <c r="I14" s="528"/>
      <c r="J14" s="528" t="s">
        <v>55</v>
      </c>
      <c r="K14" s="528"/>
      <c r="L14" s="528"/>
      <c r="M14" s="528"/>
      <c r="N14" s="528" t="s">
        <v>56</v>
      </c>
      <c r="O14" s="528"/>
      <c r="P14" s="528"/>
      <c r="Q14" s="528" t="s">
        <v>57</v>
      </c>
      <c r="R14" s="528"/>
      <c r="S14" s="528"/>
      <c r="U14" s="74"/>
    </row>
    <row r="15" spans="1:16384" ht="20.100000000000001" customHeight="1">
      <c r="C15" s="76">
        <v>3</v>
      </c>
      <c r="D15" s="537">
        <v>3</v>
      </c>
      <c r="E15" s="538"/>
      <c r="F15" s="539"/>
      <c r="G15" s="605">
        <v>1.5</v>
      </c>
      <c r="H15" s="606"/>
      <c r="I15" s="607"/>
      <c r="J15" s="534">
        <v>1.5</v>
      </c>
      <c r="K15" s="535"/>
      <c r="L15" s="535"/>
      <c r="M15" s="536"/>
      <c r="N15" s="540">
        <v>1.5</v>
      </c>
      <c r="O15" s="541"/>
      <c r="P15" s="542"/>
      <c r="Q15" s="345">
        <v>1.5</v>
      </c>
      <c r="R15" s="346"/>
      <c r="S15" s="346"/>
      <c r="U15" s="292"/>
    </row>
    <row r="16" spans="1:16384" ht="20.100000000000001" customHeight="1">
      <c r="C16" s="78"/>
      <c r="D16" s="78"/>
      <c r="E16" s="78"/>
      <c r="F16" s="78"/>
      <c r="G16" s="78"/>
      <c r="H16" s="78"/>
      <c r="I16" s="78"/>
      <c r="J16" s="78"/>
      <c r="K16" s="78"/>
      <c r="L16" s="78"/>
      <c r="M16" s="78"/>
      <c r="N16" s="78"/>
      <c r="O16" s="78"/>
      <c r="P16" s="78"/>
      <c r="Q16" s="291"/>
      <c r="R16" s="291"/>
      <c r="S16" s="291"/>
      <c r="U16" s="51"/>
      <c r="V16" s="28"/>
      <c r="W16" s="28"/>
      <c r="X16" s="28"/>
      <c r="Y16" s="28"/>
    </row>
    <row r="17" spans="2:67" ht="20.100000000000001" customHeight="1">
      <c r="C17" s="73"/>
      <c r="D17" s="336" t="s">
        <v>110</v>
      </c>
      <c r="E17" s="337"/>
      <c r="F17" s="338"/>
      <c r="G17" s="21"/>
      <c r="H17" s="79"/>
      <c r="I17" s="79"/>
      <c r="J17" s="79"/>
      <c r="K17" s="79"/>
      <c r="L17" s="43"/>
      <c r="M17" s="43"/>
      <c r="N17" s="43"/>
      <c r="O17" s="80"/>
      <c r="P17" s="37"/>
      <c r="Q17" s="43"/>
      <c r="R17" s="43"/>
      <c r="S17" s="43"/>
      <c r="V17" s="336" t="s">
        <v>105</v>
      </c>
      <c r="W17" s="337"/>
      <c r="X17" s="338"/>
      <c r="AB17" s="28"/>
      <c r="AC17" s="28"/>
      <c r="AD17" s="28"/>
      <c r="AE17" s="28"/>
      <c r="AF17" s="28"/>
      <c r="AG17" s="28"/>
      <c r="AH17" s="28"/>
      <c r="AI17" s="28"/>
      <c r="AJ17" s="28"/>
      <c r="AK17" s="28"/>
      <c r="AL17" s="28"/>
      <c r="AM17" s="28"/>
      <c r="AN17" s="28"/>
      <c r="AO17" s="28"/>
      <c r="AP17" s="28"/>
      <c r="AQ17" s="28"/>
      <c r="AR17" s="28"/>
      <c r="AS17" s="28"/>
      <c r="AT17" s="28"/>
    </row>
    <row r="18" spans="2:67" ht="20.100000000000001" customHeight="1">
      <c r="C18" s="43"/>
      <c r="D18" s="43"/>
      <c r="E18" s="43"/>
      <c r="F18" s="43"/>
      <c r="G18" s="43"/>
      <c r="H18" s="43"/>
      <c r="I18" s="43"/>
      <c r="J18" s="43"/>
      <c r="K18" s="43"/>
      <c r="L18" s="43"/>
      <c r="M18" s="43"/>
      <c r="N18" s="43"/>
      <c r="O18" s="43"/>
      <c r="P18" s="43"/>
      <c r="Q18" s="43"/>
      <c r="R18" s="43"/>
      <c r="S18" s="43"/>
      <c r="U18" s="51"/>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X18" s="81"/>
      <c r="AY18" s="82"/>
      <c r="AZ18" s="82"/>
      <c r="BA18" s="83"/>
      <c r="BB18" s="83"/>
      <c r="BC18" s="83"/>
      <c r="BD18" s="83"/>
      <c r="BE18" s="83"/>
      <c r="BF18" s="83"/>
      <c r="BG18" s="83"/>
      <c r="BH18" s="83"/>
      <c r="BI18" s="83"/>
      <c r="BJ18" s="83"/>
      <c r="BK18" s="83"/>
      <c r="BL18" s="83"/>
      <c r="BM18" s="83"/>
      <c r="BN18" s="83"/>
      <c r="BO18" s="84"/>
    </row>
    <row r="19" spans="2:67" ht="20.100000000000001" customHeight="1">
      <c r="D19" s="270" t="s">
        <v>1</v>
      </c>
      <c r="E19" s="634" t="s">
        <v>108</v>
      </c>
      <c r="F19" s="635"/>
      <c r="G19" s="635"/>
      <c r="H19" s="635"/>
      <c r="I19" s="635"/>
      <c r="J19" s="635"/>
      <c r="K19" s="635"/>
      <c r="L19" s="635"/>
      <c r="M19" s="635"/>
      <c r="N19" s="635"/>
      <c r="O19" s="635"/>
      <c r="P19" s="635"/>
      <c r="Q19" s="635"/>
      <c r="R19" s="636"/>
      <c r="S19" s="85"/>
      <c r="U19" s="51"/>
      <c r="V19" s="272" t="s">
        <v>103</v>
      </c>
      <c r="W19" s="276"/>
      <c r="X19" s="276"/>
      <c r="Y19" s="276"/>
      <c r="Z19" s="276"/>
      <c r="AA19" s="273"/>
      <c r="AB19" s="275"/>
      <c r="AC19" s="28"/>
      <c r="AD19" s="28"/>
      <c r="AE19" s="28"/>
      <c r="AF19" s="28"/>
      <c r="AG19" s="512" t="str">
        <f>IF(W63="Tu &lt; Tu min","Design beam with table because Torsion needless",IF(OR(A1=3,A1=4),"Design beam with table because Torsion needless","Don't use design with table because Torsion needed."))</f>
        <v>Don't use design with table because Torsion needed.</v>
      </c>
      <c r="AH19" s="513"/>
      <c r="AI19" s="513"/>
      <c r="AJ19" s="513"/>
      <c r="AK19" s="513"/>
      <c r="AL19" s="513"/>
      <c r="AM19" s="514"/>
      <c r="AN19" s="28"/>
      <c r="AO19" s="28"/>
      <c r="AP19" s="28"/>
      <c r="AQ19" s="28"/>
      <c r="AR19" s="28"/>
      <c r="AS19" s="28"/>
      <c r="AT19" s="28"/>
      <c r="AX19" s="90"/>
      <c r="AY19" s="91" t="s">
        <v>183</v>
      </c>
      <c r="AZ19" s="91"/>
      <c r="BA19" s="73"/>
      <c r="BB19" s="342" t="s">
        <v>148</v>
      </c>
      <c r="BC19" s="342"/>
      <c r="BD19" s="37"/>
      <c r="BE19" s="37"/>
      <c r="BF19" s="73"/>
      <c r="BG19" s="73"/>
      <c r="BH19" s="73"/>
      <c r="BI19" s="73"/>
      <c r="BJ19" s="73"/>
      <c r="BK19" s="73"/>
      <c r="BL19" s="73"/>
      <c r="BM19" s="73"/>
      <c r="BN19" s="73"/>
      <c r="BO19" s="92"/>
    </row>
    <row r="20" spans="2:67" ht="20.100000000000001" customHeight="1">
      <c r="D20" s="359" t="s">
        <v>2</v>
      </c>
      <c r="E20" s="363"/>
      <c r="F20" s="363"/>
      <c r="G20" s="363"/>
      <c r="H20" s="363"/>
      <c r="I20" s="363"/>
      <c r="J20" s="363"/>
      <c r="K20" s="363"/>
      <c r="L20" s="364"/>
      <c r="M20" s="363"/>
      <c r="N20" s="365"/>
      <c r="O20" s="359" t="s">
        <v>6</v>
      </c>
      <c r="P20" s="360"/>
      <c r="Q20" s="361"/>
      <c r="R20" s="362"/>
      <c r="S20" s="85"/>
      <c r="U20" s="51"/>
      <c r="V20" s="506" t="s">
        <v>2</v>
      </c>
      <c r="W20" s="515"/>
      <c r="X20" s="515"/>
      <c r="Y20" s="515"/>
      <c r="Z20" s="515"/>
      <c r="AA20" s="515"/>
      <c r="AB20" s="516"/>
      <c r="AC20" s="28"/>
      <c r="AD20" s="28"/>
      <c r="AE20" s="28"/>
      <c r="AF20" s="28"/>
      <c r="AG20" s="93"/>
      <c r="AH20" s="94"/>
      <c r="AI20" s="28"/>
      <c r="AJ20" s="28"/>
      <c r="AK20" s="28"/>
      <c r="AL20" s="95"/>
      <c r="AM20" s="96"/>
      <c r="AN20" s="28"/>
      <c r="AO20" s="28"/>
      <c r="AP20" s="28"/>
      <c r="AQ20" s="28"/>
      <c r="AR20" s="28"/>
      <c r="AS20" s="28"/>
      <c r="AT20" s="28"/>
      <c r="AX20" s="90"/>
      <c r="AY20" s="28" t="s">
        <v>146</v>
      </c>
      <c r="AZ20" s="28" t="s">
        <v>147</v>
      </c>
      <c r="BA20" s="73"/>
      <c r="BB20" s="97" t="s">
        <v>146</v>
      </c>
      <c r="BC20" s="98" t="s">
        <v>147</v>
      </c>
      <c r="BD20" s="37"/>
      <c r="BE20" s="37"/>
      <c r="BF20" s="99" t="s">
        <v>179</v>
      </c>
      <c r="BG20" s="99" t="s">
        <v>178</v>
      </c>
      <c r="BH20" s="99" t="s">
        <v>181</v>
      </c>
      <c r="BI20" s="99" t="s">
        <v>182</v>
      </c>
      <c r="BJ20" s="99" t="s">
        <v>180</v>
      </c>
      <c r="BK20" s="570" t="s">
        <v>176</v>
      </c>
      <c r="BL20" s="571"/>
      <c r="BM20" s="572" t="s">
        <v>177</v>
      </c>
      <c r="BN20" s="573"/>
      <c r="BO20" s="92"/>
    </row>
    <row r="21" spans="2:67" ht="20.100000000000001" customHeight="1">
      <c r="D21" s="366" t="s">
        <v>3</v>
      </c>
      <c r="E21" s="367"/>
      <c r="F21" s="367"/>
      <c r="G21" s="367"/>
      <c r="H21" s="367"/>
      <c r="I21" s="367"/>
      <c r="J21" s="367"/>
      <c r="K21" s="367"/>
      <c r="L21" s="100">
        <v>170</v>
      </c>
      <c r="M21" s="355" t="s">
        <v>0</v>
      </c>
      <c r="N21" s="356"/>
      <c r="O21" s="529" t="s">
        <v>7</v>
      </c>
      <c r="P21" s="530"/>
      <c r="Q21" s="39">
        <v>2400</v>
      </c>
      <c r="R21" s="101" t="s">
        <v>0</v>
      </c>
      <c r="U21" s="51"/>
      <c r="V21" s="103" t="s">
        <v>3</v>
      </c>
      <c r="W21" s="28"/>
      <c r="X21" s="104"/>
      <c r="Y21" s="28"/>
      <c r="Z21" s="28"/>
      <c r="AA21" s="105">
        <v>200</v>
      </c>
      <c r="AB21" s="104" t="s">
        <v>0</v>
      </c>
      <c r="AC21" s="43"/>
      <c r="AD21" s="28"/>
      <c r="AE21" s="28"/>
      <c r="AF21" s="28"/>
      <c r="AG21" s="106" t="s">
        <v>118</v>
      </c>
      <c r="AH21" s="107"/>
      <c r="AI21" s="28"/>
      <c r="AJ21" s="28"/>
      <c r="AK21" s="28"/>
      <c r="AL21" s="108" t="str">
        <f>IF($A$1&lt;3," ",IF(OR($A$1=3,$A$1=4),$AA$56,IF(AND($W$63="Tu &lt; Tu min",$A$1=6),$AA$56,IF(AND($W$63="Tu &lt; Tu min",$A$1=5),$AA$56," "))))</f>
        <v xml:space="preserve"> </v>
      </c>
      <c r="AM21" s="109" t="s">
        <v>81</v>
      </c>
      <c r="AN21" s="28"/>
      <c r="AO21" s="28"/>
      <c r="AP21" s="28"/>
      <c r="AQ21" s="28"/>
      <c r="AR21" s="28"/>
      <c r="AS21" s="28"/>
      <c r="AT21" s="28"/>
      <c r="AX21" s="90"/>
      <c r="AY21" s="98">
        <f>$AA$32+10</f>
        <v>40</v>
      </c>
      <c r="AZ21" s="98">
        <f>$AA$33+10</f>
        <v>70</v>
      </c>
      <c r="BA21" s="73"/>
      <c r="BB21" s="98">
        <f>IF($A$1&lt;3," ",IF(AND($AH$46&gt;0,$AH$46&lt;10),10+$AA$36+2,IF($AI$28=" "," ",10+$AA$36+2)))</f>
        <v>14.5</v>
      </c>
      <c r="BC21" s="98">
        <f>IF($A$1&lt;3," ",IF(AND($AH$46&gt;0,$AH$46&lt;10),10+$AA$35+1.85,IF($AI$28=" "," ",10+$AA$35+1.85)))</f>
        <v>15.85</v>
      </c>
      <c r="BD21" s="37" t="s">
        <v>161</v>
      </c>
      <c r="BE21" s="37"/>
      <c r="BF21" s="110" t="str">
        <f>IF($AA$33&gt;=40," ",IF(OR(OR(OR(OR($AA$32=40,$AA$32=45),$AA$32=50),$AA$32=55),$AA$32=60),$AA$32," "))</f>
        <v xml:space="preserve"> </v>
      </c>
      <c r="BG21" s="110" t="str">
        <f>IF($AA$33&gt;=40," ",IF(OR(OR(OR(OR($AA$32=25,$AA$32=30),$AA$32=35),$AA$32=15),$AA$32=20),$AA$32," "))</f>
        <v xml:space="preserve"> </v>
      </c>
      <c r="BH21" s="111" t="str">
        <f>IF(OR($AA$32&gt;=55,$AA$32&lt;=30)," ",IF($AA$33=30,$AA$33,IF($AA$33=40,$AA$33,IF($AA$33=50,$AA$33," "))))</f>
        <v xml:space="preserve"> </v>
      </c>
      <c r="BI21" s="110" t="str">
        <f>IF($AA$32&gt;30," ",IF($AA$33=30,$AA$33,IF($AA$33=40,$AA$33,IF($AA$33=50,$AA$33," "))))</f>
        <v xml:space="preserve"> </v>
      </c>
      <c r="BJ21" s="112" t="str">
        <f>IF($AA$32&lt;55," ",IF($AA$33=30,$AA$33,IF($AA$33=40,$AA$33,IF($AA$33=50,$AA$33," "))))</f>
        <v xml:space="preserve"> </v>
      </c>
      <c r="BK21" s="98" t="s">
        <v>146</v>
      </c>
      <c r="BL21" s="98" t="s">
        <v>147</v>
      </c>
      <c r="BM21" s="113" t="s">
        <v>146</v>
      </c>
      <c r="BN21" s="114" t="s">
        <v>147</v>
      </c>
      <c r="BO21" s="92"/>
    </row>
    <row r="22" spans="2:67" ht="20.100000000000001" customHeight="1">
      <c r="D22" s="340" t="s">
        <v>8</v>
      </c>
      <c r="E22" s="341"/>
      <c r="F22" s="341"/>
      <c r="G22" s="341"/>
      <c r="H22" s="341"/>
      <c r="I22" s="341"/>
      <c r="J22" s="341"/>
      <c r="K22" s="341"/>
      <c r="L22" s="100">
        <v>2400</v>
      </c>
      <c r="M22" s="355" t="s">
        <v>9</v>
      </c>
      <c r="N22" s="356"/>
      <c r="O22" s="531"/>
      <c r="P22" s="531"/>
      <c r="Q22" s="35"/>
      <c r="R22" s="27"/>
      <c r="S22" s="1"/>
      <c r="U22" s="51"/>
      <c r="V22" s="115" t="s">
        <v>109</v>
      </c>
      <c r="W22" s="41"/>
      <c r="X22" s="29"/>
      <c r="Y22" s="28"/>
      <c r="Z22" s="29"/>
      <c r="AA22" s="28">
        <f>$L$22</f>
        <v>2400</v>
      </c>
      <c r="AB22" s="116" t="s">
        <v>9</v>
      </c>
      <c r="AC22" s="28"/>
      <c r="AD22" s="28"/>
      <c r="AE22" s="28"/>
      <c r="AF22" s="28"/>
      <c r="AG22" s="343" t="str">
        <f>IF(OR($AA$24=3000,$AA$24&gt;3000),"Provide DB DiaØ ","Provide  RB DiaØ")</f>
        <v xml:space="preserve">Provide DB DiaØ </v>
      </c>
      <c r="AH22" s="344"/>
      <c r="AI22" s="34"/>
      <c r="AJ22" s="34"/>
      <c r="AK22" s="34"/>
      <c r="AL22" s="42">
        <v>25</v>
      </c>
      <c r="AM22" s="117" t="s">
        <v>41</v>
      </c>
      <c r="AN22" s="28"/>
      <c r="AO22" s="28"/>
      <c r="AP22" s="28"/>
      <c r="AQ22" s="28"/>
      <c r="AR22" s="28"/>
      <c r="AS22" s="28"/>
      <c r="AT22" s="28"/>
      <c r="AX22" s="90"/>
      <c r="AY22" s="98">
        <f>$AA$32+10</f>
        <v>40</v>
      </c>
      <c r="AZ22" s="98">
        <v>10</v>
      </c>
      <c r="BA22" s="73"/>
      <c r="BB22" s="98">
        <f>IF($A$1&lt;3," ",IF(AND($AH$46&gt;0,$AH$46&lt;10),10+$AA$32-1.5-$AA$36,IF($AI$28=" "," ",10+$AA$32-1.5-$AA$36)))</f>
        <v>36</v>
      </c>
      <c r="BC22" s="98">
        <f>IF($A$1&lt;3," ",IF(AND($AH$46&gt;0,$AH$46&lt;10),10+$AA$35+1.85,IF($AI$28=" "," ",10+$AA$35+1.85)))</f>
        <v>15.85</v>
      </c>
      <c r="BD22" s="37" t="s">
        <v>160</v>
      </c>
      <c r="BE22" s="37"/>
      <c r="BF22" s="110" t="str">
        <f>IF($AA$33&gt;=50," ",IF($AA$33=30," ",IF(OR(OR(OR(OR($AA$32=40,$AA$32=45),$AA$32=55),$AA$32=50),$AA$32=60),$AA$32," ")))</f>
        <v xml:space="preserve"> </v>
      </c>
      <c r="BG22" s="110" t="str">
        <f>IF($AA$33&gt;=50," ",IF($AA$33=30," ",IF(OR(OR(OR(OR($AA$32=25,$AA$32=30),$AA$32=35),$AA$32=15),$AA$32=20),$AA$32," ")))</f>
        <v xml:space="preserve"> </v>
      </c>
      <c r="BH22" s="110" t="str">
        <f>IF(OR($AA$32&gt;=55,$AA$32&lt;=30)," ",IF($AA$33=60,$AA$33,IF($AA$33=70,$AA$33,IF($AA$33=80,$AA$33," "))))</f>
        <v xml:space="preserve"> </v>
      </c>
      <c r="BI22" s="110">
        <f>IF($AA$32&gt;30," ",IF($AA$33=60,$AA$33,IF($AA$33=70,$AA$33,IF($AA$33=80,$AA$33," "))))</f>
        <v>60</v>
      </c>
      <c r="BJ22" s="112" t="str">
        <f>IF($AA$32&lt;55," ",IF($AA$33=60,$AA$33,IF($AA$33=70,$AA$33,IF($AA$33=80,$AA$33," "))))</f>
        <v xml:space="preserve"> </v>
      </c>
      <c r="BK22" s="98">
        <v>10</v>
      </c>
      <c r="BL22" s="98">
        <f>$AA$33+17</f>
        <v>77</v>
      </c>
      <c r="BM22" s="98">
        <f>10+$AA$32+20</f>
        <v>60</v>
      </c>
      <c r="BN22" s="98">
        <v>10</v>
      </c>
      <c r="BO22" s="118" t="s">
        <v>184</v>
      </c>
    </row>
    <row r="23" spans="2:67" ht="20.100000000000001" customHeight="1">
      <c r="D23" s="371"/>
      <c r="E23" s="371"/>
      <c r="F23" s="371"/>
      <c r="G23" s="371"/>
      <c r="H23" s="371"/>
      <c r="I23" s="371"/>
      <c r="J23" s="371"/>
      <c r="K23" s="371"/>
      <c r="L23" s="371"/>
      <c r="M23" s="371"/>
      <c r="N23" s="371"/>
      <c r="O23" s="371"/>
      <c r="P23" s="371"/>
      <c r="Q23" s="371"/>
      <c r="R23" s="371"/>
      <c r="S23" s="1"/>
      <c r="U23" s="51"/>
      <c r="V23" s="86" t="s">
        <v>6</v>
      </c>
      <c r="W23" s="88"/>
      <c r="X23" s="88"/>
      <c r="Y23" s="88"/>
      <c r="Z23" s="88"/>
      <c r="AA23" s="40"/>
      <c r="AB23" s="89"/>
      <c r="AC23" s="28"/>
      <c r="AD23" s="28"/>
      <c r="AE23" s="28"/>
      <c r="AF23" s="28"/>
      <c r="AG23" s="343" t="str">
        <f>IF(OR($AA$24=3000,$AA$24&gt;3000),"Provide No.of DB","Provide No.of RB ")</f>
        <v>Provide No.of DB</v>
      </c>
      <c r="AH23" s="344"/>
      <c r="AI23" s="34"/>
      <c r="AJ23" s="34"/>
      <c r="AK23" s="34"/>
      <c r="AL23" s="42">
        <v>5</v>
      </c>
      <c r="AM23" s="117" t="s">
        <v>133</v>
      </c>
      <c r="AN23" s="28"/>
      <c r="AO23" s="28"/>
      <c r="AP23" s="28"/>
      <c r="AQ23" s="28"/>
      <c r="AR23" s="28"/>
      <c r="AS23" s="28"/>
      <c r="AT23" s="28"/>
      <c r="AX23" s="90"/>
      <c r="AY23" s="98">
        <v>10</v>
      </c>
      <c r="AZ23" s="98">
        <v>10</v>
      </c>
      <c r="BA23" s="73"/>
      <c r="BB23" s="119">
        <f>IF($A$1&lt;3," ",IF(AND($AH$36&gt;0,$AH$36&lt;10),10+$AA$36+2,IF($AI$28=" "," ",10+$AA$36+2)))</f>
        <v>14.5</v>
      </c>
      <c r="BC23" s="98">
        <f>IF($A$1&lt;3," ",IF(AND($AH$36&gt;0,$AH$36&lt;10),10+$AA$33-$AA$35-1.6,IF($AI$28=" "," ",10+$AA$33-$AA$35-1.6)))</f>
        <v>64.400000000000006</v>
      </c>
      <c r="BD23" s="37" t="s">
        <v>174</v>
      </c>
      <c r="BE23" s="37"/>
      <c r="BF23" s="111" t="str">
        <f>IF($AA$33&gt;=60," ",IF($AA$33&lt;=40," ",IF(OR(OR(OR(OR($AA$32=40,$AA$32=45),$AA$32=50),$AA$32=55),$AA$32=60),$AA$32," ")))</f>
        <v xml:space="preserve"> </v>
      </c>
      <c r="BG23" s="111" t="str">
        <f>IF($AA$33&gt;=60," ",IF($AA$33&lt;=40," ",IF(OR(OR(OR(OR($AA$32=25,$AA$32=30),$AA$32=35),$AA$32=15),$AA$32=20),$AA$32," ")))</f>
        <v xml:space="preserve"> </v>
      </c>
      <c r="BH23" s="111" t="str">
        <f>IF(OR($AA$32&gt;=55,$AA$32&lt;=30)," ",IF($AA$33=90,$AA$33,IF($AA$33=120,AA$33,IF($AA$33=100,$AA$33,IF($AA$33=110,$AA$33," ")))))</f>
        <v xml:space="preserve"> </v>
      </c>
      <c r="BI23" s="111" t="str">
        <f>IF($AA$32&gt;30," ",IF($AA$33=90,$AA$33,IF($AA$33=100,$AA$33,IF($AA$33=120,$AA$33,IF($AA$33=110,$AA$33," ")))))</f>
        <v xml:space="preserve"> </v>
      </c>
      <c r="BJ23" s="120" t="str">
        <f>IF($AA$32&lt;55," ",IF($AA$33=90,$AA$33,IF($AA$33=120,$AA$33,IF($AA$33=100,$AA$33,IF($AA$33=110,$AA$33," ")))))</f>
        <v xml:space="preserve"> </v>
      </c>
      <c r="BK23" s="98">
        <v>10</v>
      </c>
      <c r="BL23" s="98">
        <f>$BL$22+15</f>
        <v>92</v>
      </c>
      <c r="BM23" s="98">
        <f>$BM$22</f>
        <v>60</v>
      </c>
      <c r="BN23" s="98">
        <f>$AA$33+10</f>
        <v>70</v>
      </c>
      <c r="BO23" s="92"/>
    </row>
    <row r="24" spans="2:67" ht="20.100000000000001" customHeight="1">
      <c r="D24" s="270" t="s">
        <v>4</v>
      </c>
      <c r="E24" s="637" t="s">
        <v>5</v>
      </c>
      <c r="F24" s="638"/>
      <c r="G24" s="638"/>
      <c r="H24" s="638"/>
      <c r="I24" s="638"/>
      <c r="J24" s="638"/>
      <c r="K24" s="638"/>
      <c r="L24" s="638"/>
      <c r="M24" s="638"/>
      <c r="N24" s="638"/>
      <c r="O24" s="638"/>
      <c r="P24" s="638"/>
      <c r="Q24" s="638"/>
      <c r="R24" s="639"/>
      <c r="S24" s="77"/>
      <c r="U24" s="51"/>
      <c r="V24" s="121" t="s">
        <v>7</v>
      </c>
      <c r="W24" s="40"/>
      <c r="X24" s="96"/>
      <c r="Y24" s="28"/>
      <c r="Z24" s="40"/>
      <c r="AA24" s="122">
        <v>3000</v>
      </c>
      <c r="AB24" s="96" t="s">
        <v>0</v>
      </c>
      <c r="AC24" s="28"/>
      <c r="AD24" s="28"/>
      <c r="AE24" s="28"/>
      <c r="AF24" s="28"/>
      <c r="AG24" s="442" t="s">
        <v>143</v>
      </c>
      <c r="AH24" s="443"/>
      <c r="AI24" s="451" t="str">
        <f>IF(OR($A$1=1,$A$1&lt;3)," ",IF(OR(A1=5,A1=6),"  ",IF(AND($AA$45/2&lt;$AA$44,$AA$44&lt;$AA$45), 3.5*$AA$32/$AA$24," ")))</f>
        <v xml:space="preserve">  </v>
      </c>
      <c r="AJ24" s="451"/>
      <c r="AK24" s="451"/>
      <c r="AL24" s="42">
        <v>12</v>
      </c>
      <c r="AM24" s="109" t="s">
        <v>41</v>
      </c>
      <c r="AN24" s="28"/>
      <c r="AO24" s="28"/>
      <c r="AP24" s="28"/>
      <c r="AQ24" s="28"/>
      <c r="AR24" s="28"/>
      <c r="AS24" s="28"/>
      <c r="AT24" s="28"/>
      <c r="AX24" s="90"/>
      <c r="AY24" s="98">
        <v>10</v>
      </c>
      <c r="AZ24" s="98">
        <f>$AZ$21</f>
        <v>70</v>
      </c>
      <c r="BA24" s="73"/>
      <c r="BB24" s="98">
        <f>IF($A$1&lt;3," ",IF(AND($AH$36&gt;0,$AH$36&lt;10),10+$AA$32-$AA$36-1.5,IF($AI$28=" "," ",10+$AA$32-$AA$36-1.5)))</f>
        <v>36</v>
      </c>
      <c r="BC24" s="98">
        <f>IF($A$1&lt;3," ",IF(AND($AH$36&gt;0,$AH$36&lt;10),10+$AA$33-$AA$35-1.6,IF($AI$28=" "," ",10+$AA$33-$AA$35-1.6)))</f>
        <v>64.400000000000006</v>
      </c>
      <c r="BD24" s="48" t="s">
        <v>175</v>
      </c>
      <c r="BE24" s="48"/>
      <c r="BF24" s="111" t="str">
        <f>IF($AA$33&lt;=50," ",IF($AA$33&gt;60," ",IF(OR(OR(OR(OR($AA$32=40,$AA$32=45),$AA$32=50),$AA$32=55),$AA$32=60),$AA$32," ")))</f>
        <v xml:space="preserve"> </v>
      </c>
      <c r="BG24" s="111">
        <f>IF($AA$33&lt;=50," ",IF($AA$33&gt;60," ",IF(OR(OR(OR(OR($AA$32=25,$AA$32=30),$AA$32=35),$AA$32=15),$AA$32=20),$AA$32," ")))</f>
        <v>30</v>
      </c>
      <c r="BH24" s="73"/>
      <c r="BI24" s="73"/>
      <c r="BJ24" s="73"/>
      <c r="BK24" s="98">
        <v>10</v>
      </c>
      <c r="BL24" s="98">
        <f>$BL$23-4</f>
        <v>88</v>
      </c>
      <c r="BM24" s="98">
        <f>$BN$22+$AA$32+10</f>
        <v>50</v>
      </c>
      <c r="BN24" s="98">
        <v>10</v>
      </c>
      <c r="BO24" s="118" t="s">
        <v>185</v>
      </c>
    </row>
    <row r="25" spans="2:67" ht="20.100000000000001" customHeight="1">
      <c r="B25" s="123"/>
      <c r="D25" s="602" t="s">
        <v>10</v>
      </c>
      <c r="E25" s="603"/>
      <c r="F25" s="603"/>
      <c r="G25" s="603"/>
      <c r="H25" s="603"/>
      <c r="I25" s="603"/>
      <c r="J25" s="603"/>
      <c r="K25" s="604"/>
      <c r="L25" s="56" t="str">
        <f>IF(OR($L$21&lt;=280),"0.85",IF($L$21&lt;=560,0.85-0.05*(($L$21-280)/70),0.65))</f>
        <v>0.85</v>
      </c>
      <c r="M25" s="353"/>
      <c r="N25" s="354"/>
      <c r="O25" s="585" t="s">
        <v>215</v>
      </c>
      <c r="P25" s="586"/>
      <c r="Q25" s="532">
        <v>0.9</v>
      </c>
      <c r="R25" s="533"/>
      <c r="S25" s="77"/>
      <c r="U25" s="51"/>
      <c r="V25" s="115" t="s">
        <v>58</v>
      </c>
      <c r="W25" s="41"/>
      <c r="X25" s="29"/>
      <c r="Y25" s="28"/>
      <c r="Z25" s="41"/>
      <c r="AA25" s="122">
        <v>3000</v>
      </c>
      <c r="AB25" s="29" t="s">
        <v>0</v>
      </c>
      <c r="AC25" s="28"/>
      <c r="AD25" s="44"/>
      <c r="AE25" s="28"/>
      <c r="AF25" s="28"/>
      <c r="AG25" s="343" t="s">
        <v>83</v>
      </c>
      <c r="AH25" s="344"/>
      <c r="AI25" s="35"/>
      <c r="AJ25" s="35"/>
      <c r="AK25" s="35"/>
      <c r="AL25" s="22">
        <f>IF(OR($A$1=1,$A$1&lt;3),"---",IF($AA$45&gt;$AA$44,MIN((2*PI()*$AL$24^2/400)*$AA$25/(3.5*$AA$32),0.5*$AA$37,60),IF(($AA$44-$AA$45)&gt;(2.1*$W$45*SQRT($AA$21)*$AA$32*$AA$37),"Change as Beam Section",IF(AND($AA$45/2&lt;$AA$44,$AA$44&lt;$AA$45),MIN((2*(PI()*$AL$24^2/400))*$AA$25/(3.5*$AA$32),0.5*$AA$37,60),IF(OR($AA$44&gt;$AA$45,$AA$44-$AA$45&lt;=(2.1*$W$45*SQRT($AA$21)*$AA$32*$AA$37)),MIN(($W$45*2*PI()*$AL$24^2/400)*$AA$25*$AA$37/($AA$44-$AA$45),0.5*$AA$37,60),"--")))))</f>
        <v>27.5</v>
      </c>
      <c r="AM25" s="109" t="s">
        <v>21</v>
      </c>
      <c r="AN25" s="28"/>
      <c r="AO25" s="28"/>
      <c r="AP25" s="28"/>
      <c r="AQ25" s="28"/>
      <c r="AR25" s="28"/>
      <c r="AS25" s="28"/>
      <c r="AT25" s="28"/>
      <c r="AX25" s="90"/>
      <c r="AY25" s="98">
        <f>$AY$21</f>
        <v>40</v>
      </c>
      <c r="AZ25" s="98">
        <f>$AZ$21</f>
        <v>70</v>
      </c>
      <c r="BA25" s="73"/>
      <c r="BB25" s="98">
        <f>IF($A$1&lt;3," ",IF($AH$46=3,10+$AA$32/2,IF($AH$46=7,10+$AA$32/2,IF(AND(AH46&gt;4,AH46&lt;10),10+$AA$32/2,IF($AH$46=4," ",IF($AI$28=3,10+$AA$32/2,IF($AI$28=4," ",IF($AI$28=7,10+$AA$32/2,IF(AND($AI$28&gt;4,$AI$28&lt;10),10+$AA$32/2," ")))))))))</f>
        <v>25</v>
      </c>
      <c r="BC25" s="98">
        <f>IF($A$1&lt;3," ",IF($AH$46=3,10+$AA$35+1.85,IF($AH$46=7,10+$AA$35+1.85,IF(AND($AH$46&gt;4,$AH$46&lt;10),10+$AA$35+1.85,IF($AH$46=4," ",IF($AI$28=3,10+$AA$35+1.85,IF($AI$28=4," ",IF($AI$28=7,10+$AA$35+1.85,IF(AND($AI$28&gt;4,$AI$28&lt;10),10+$AA$35+1.85," ")))))))))</f>
        <v>15.85</v>
      </c>
      <c r="BD25" s="48" t="s">
        <v>149</v>
      </c>
      <c r="BE25" s="48"/>
      <c r="BF25" s="111" t="str">
        <f>IF($AA$33&lt;=60," ",IF($AA$33&gt;70," ",IF(OR(OR(OR(OR($AA$32=40,$AA$32=45),$AA$32=50),$AA$32=55),$AA$32=60),$AA$32," ")))</f>
        <v xml:space="preserve"> </v>
      </c>
      <c r="BG25" s="111" t="str">
        <f>IF($AA$33&lt;=60," ",IF($AA$33&gt;70," ",IF(OR(OR(OR(OR($AA$32=25,$AA$32=30),$AA$32=35),$AA$32=15),$AA$32=20),$AA$32," ")))</f>
        <v xml:space="preserve"> </v>
      </c>
      <c r="BH25" s="73"/>
      <c r="BI25" s="73"/>
      <c r="BJ25" s="73"/>
      <c r="BK25" s="98">
        <f>$AA$32+10</f>
        <v>40</v>
      </c>
      <c r="BL25" s="98">
        <f>$BL$24</f>
        <v>88</v>
      </c>
      <c r="BM25" s="98">
        <f>$BM$24+15</f>
        <v>65</v>
      </c>
      <c r="BN25" s="98">
        <v>10</v>
      </c>
      <c r="BO25" s="92"/>
    </row>
    <row r="26" spans="2:67" s="123" customFormat="1" ht="20.100000000000001" customHeight="1">
      <c r="D26" s="376" t="s">
        <v>18</v>
      </c>
      <c r="E26" s="377"/>
      <c r="F26" s="377"/>
      <c r="G26" s="377"/>
      <c r="H26" s="377"/>
      <c r="I26" s="377"/>
      <c r="J26" s="377"/>
      <c r="K26" s="377"/>
      <c r="L26" s="124">
        <v>1.7</v>
      </c>
      <c r="M26" s="347">
        <v>2</v>
      </c>
      <c r="N26" s="348"/>
      <c r="O26" s="125"/>
      <c r="P26" s="40" t="s">
        <v>88</v>
      </c>
      <c r="Q26" s="368">
        <v>0.85</v>
      </c>
      <c r="R26" s="369"/>
      <c r="S26" s="77"/>
      <c r="U26" s="51"/>
      <c r="V26" s="272" t="s">
        <v>5</v>
      </c>
      <c r="W26" s="273"/>
      <c r="X26" s="273"/>
      <c r="Y26" s="273"/>
      <c r="Z26" s="273"/>
      <c r="AA26" s="274"/>
      <c r="AB26" s="275"/>
      <c r="AC26" s="28"/>
      <c r="AD26" s="44"/>
      <c r="AE26" s="28"/>
      <c r="AF26" s="28"/>
      <c r="AG26" s="126" t="s">
        <v>36</v>
      </c>
      <c r="AH26" s="127"/>
      <c r="AI26" s="36"/>
      <c r="AJ26" s="37"/>
      <c r="AK26" s="37"/>
      <c r="AL26" s="23">
        <f>IF(OR($A$1=1,$A$1&lt;3),"---",ROUND((PI()*$AL$22^2/400*$AL$23),3))</f>
        <v>24.544</v>
      </c>
      <c r="AM26" s="104" t="s">
        <v>81</v>
      </c>
      <c r="AN26" s="28"/>
      <c r="AO26" s="46"/>
      <c r="AP26" s="46"/>
      <c r="AQ26" s="28"/>
      <c r="AR26" s="28"/>
      <c r="AS26" s="28"/>
      <c r="AT26" s="28"/>
      <c r="AU26" s="54"/>
      <c r="AV26" s="54"/>
      <c r="AW26" s="54"/>
      <c r="AX26" s="90"/>
      <c r="AY26" s="98">
        <f>$AA$32+10-$AA$36</f>
        <v>37.5</v>
      </c>
      <c r="AZ26" s="98">
        <f>$AA$33+10-$AA$35</f>
        <v>66</v>
      </c>
      <c r="BA26" s="46"/>
      <c r="BB26" s="98">
        <f>IF($A$1&lt;3," ",IF($AH$46=3," ",IF(AND(AH46&gt;3,AH46&lt;10),10+$AA$36+2,IF($AI$28=" "," ",IF($A$1&lt;3," ",IF($AI$28=3," ",IF(AND($AI$28&gt;3,$AI$28&lt;10),10+$AA$36+2,IF($AI$28=" "," "," "))))))))</f>
        <v>14.5</v>
      </c>
      <c r="BC26" s="98">
        <f>IF($A$1&lt;3," ",IF($AH$46=3," ",IF(AND($AH$46&gt;3,$AH$46&lt;10),10+$AA$35+6,IF($AI$28=" "," ",IF($A$1&lt;3," ",IF($AI$28=3," ",IF(AND($AI$28&gt;3,$AI$28&lt;10),10+$AA$35+6,IF($AI$28=" "," "," "))))))))</f>
        <v>20</v>
      </c>
      <c r="BD26" s="91" t="s">
        <v>155</v>
      </c>
      <c r="BE26" s="28"/>
      <c r="BF26" s="111" t="str">
        <f>IF($AA$33&lt;=70," ",IF($AA$33&gt;=90," ",IF(OR(OR(OR(OR($AA$32=40,$AA$32=45),$AA$32=50),$AA$32=55),$AA$32=60),$AA$32," ")))</f>
        <v xml:space="preserve"> </v>
      </c>
      <c r="BG26" s="111" t="str">
        <f>IF($AA$33&lt;=70," ",IF($AA$33&gt;=90," ",IF(OR(OR(OR(OR($AA$32=25,$AA$32=30),$AA$32=35),$AA$32=15),$AA$32=20),$AA$32," ")))</f>
        <v xml:space="preserve"> </v>
      </c>
      <c r="BH26" s="46"/>
      <c r="BI26" s="46"/>
      <c r="BJ26" s="46"/>
      <c r="BK26" s="98">
        <f>$BK$25</f>
        <v>40</v>
      </c>
      <c r="BL26" s="98">
        <f>$BL$23</f>
        <v>92</v>
      </c>
      <c r="BM26" s="98">
        <f>$BM$24</f>
        <v>50</v>
      </c>
      <c r="BN26" s="98">
        <f>$BN$25+$AA$33</f>
        <v>70</v>
      </c>
      <c r="BO26" s="118" t="s">
        <v>186</v>
      </c>
    </row>
    <row r="27" spans="2:67" s="123" customFormat="1" ht="20.100000000000001" customHeight="1">
      <c r="D27" s="389" t="s">
        <v>16</v>
      </c>
      <c r="E27" s="390"/>
      <c r="F27" s="390"/>
      <c r="G27" s="390"/>
      <c r="H27" s="390"/>
      <c r="I27" s="390"/>
      <c r="J27" s="390"/>
      <c r="K27" s="391"/>
      <c r="L27" s="633">
        <v>500</v>
      </c>
      <c r="M27" s="392" t="s">
        <v>22</v>
      </c>
      <c r="N27" s="393"/>
      <c r="O27" s="128"/>
      <c r="P27" s="125"/>
      <c r="Q27" s="370"/>
      <c r="R27" s="370"/>
      <c r="S27" s="77"/>
      <c r="U27" s="51"/>
      <c r="V27" s="30" t="s">
        <v>104</v>
      </c>
      <c r="W27" s="125"/>
      <c r="X27" s="31"/>
      <c r="Y27" s="30"/>
      <c r="Z27" s="31"/>
      <c r="AA27" s="40" t="str">
        <f>IF(OR($AA$21&lt;=280),"0.85",IF($AA$21&lt;=560,0.85-0.05*(($AA$21-280)/70),0.65))</f>
        <v>0.85</v>
      </c>
      <c r="AB27" s="31"/>
      <c r="AC27" s="28"/>
      <c r="AD27" s="28"/>
      <c r="AE27" s="28"/>
      <c r="AF27" s="28"/>
      <c r="AG27" s="446" t="s">
        <v>48</v>
      </c>
      <c r="AH27" s="447"/>
      <c r="AI27" s="447"/>
      <c r="AJ27" s="447"/>
      <c r="AK27" s="447"/>
      <c r="AL27" s="444" t="str">
        <f>IF(OR($A$1=1,$A$1&lt;3),"---",IF($AL$26&gt;$AL$21,"ok","no"))</f>
        <v>no</v>
      </c>
      <c r="AM27" s="445"/>
      <c r="AN27" s="28"/>
      <c r="AO27" s="46"/>
      <c r="AP27" s="46"/>
      <c r="AQ27" s="28"/>
      <c r="AR27" s="28"/>
      <c r="AS27" s="28"/>
      <c r="AT27" s="28"/>
      <c r="AU27" s="54"/>
      <c r="AV27" s="54"/>
      <c r="AW27" s="54"/>
      <c r="AX27" s="90"/>
      <c r="AY27" s="98">
        <f>$AA$32+10-$AA$36</f>
        <v>37.5</v>
      </c>
      <c r="AZ27" s="98">
        <f>10+$AA$35</f>
        <v>14</v>
      </c>
      <c r="BA27" s="46"/>
      <c r="BB27" s="98">
        <f>IF($A$1&lt;3," ",IF($AH$46=3," ",IF(AND($AH$46&gt;3,$AH$46&lt;10),10+$AA$32-$AA$36-1.5,IF($A$1&lt;3," ",IF($AI$28=3," ",IF(AND($AI$28&gt;3,$AI$28&lt;10),10+$AA$32-$AA$36-1.5,IF($AI$28=" "," "," ")))))))</f>
        <v>36</v>
      </c>
      <c r="BC27" s="98">
        <f>IF($A$1&lt;3," ",IF($AH$46=3," ",IF(AND($AH$46&gt;3,$AH$46&lt;10),10+$AA$35+6,IF($A$1&lt;3," ",IF($AI$28=3," ",IF(AND($AI$28&gt;3,$AI$28&lt;10),10+$AA$35+6,IF($AI$28=" "," "," ")))))))</f>
        <v>20</v>
      </c>
      <c r="BD27" s="91" t="s">
        <v>154</v>
      </c>
      <c r="BE27" s="28"/>
      <c r="BF27" s="111" t="str">
        <f>IF($AA$33&lt;=80," ",IF($AA$33&gt;=100," ",IF(OR(OR(OR(OR($AA$32=40,$AA$32=45),$AA$32=50),$AA$32=55),$AA$32=60),$AA$32," ")))</f>
        <v xml:space="preserve"> </v>
      </c>
      <c r="BG27" s="111" t="str">
        <f>IF($AA$33&lt;=80," ",IF($AA$33&gt;=100," ",IF(OR(OR(OR(OR($AA$32=25,$AA$32=30),$AA$32=35),$AA$32=15),$AA$32=20),$AA$32," ")))</f>
        <v xml:space="preserve"> </v>
      </c>
      <c r="BH27" s="46"/>
      <c r="BI27" s="46"/>
      <c r="BJ27" s="46"/>
      <c r="BK27" s="98">
        <f>$BK$25</f>
        <v>40</v>
      </c>
      <c r="BL27" s="98">
        <f>$AA$33+17</f>
        <v>77</v>
      </c>
      <c r="BM27" s="98">
        <f>$BM$25</f>
        <v>65</v>
      </c>
      <c r="BN27" s="98">
        <f>$BN$26</f>
        <v>70</v>
      </c>
      <c r="BO27" s="129"/>
    </row>
    <row r="28" spans="2:67" s="123" customFormat="1" ht="20.100000000000001" customHeight="1">
      <c r="D28" s="389" t="s">
        <v>23</v>
      </c>
      <c r="E28" s="390"/>
      <c r="F28" s="390"/>
      <c r="G28" s="390"/>
      <c r="H28" s="390"/>
      <c r="I28" s="390"/>
      <c r="J28" s="390"/>
      <c r="K28" s="390"/>
      <c r="L28" s="100">
        <v>0</v>
      </c>
      <c r="M28" s="349" t="s">
        <v>22</v>
      </c>
      <c r="N28" s="461"/>
      <c r="O28" s="28"/>
      <c r="P28" s="28"/>
      <c r="Q28" s="130"/>
      <c r="R28" s="130"/>
      <c r="S28" s="77"/>
      <c r="U28" s="51"/>
      <c r="V28" s="131" t="s">
        <v>87</v>
      </c>
      <c r="W28" s="38"/>
      <c r="X28" s="132"/>
      <c r="Y28" s="32"/>
      <c r="Z28" s="38"/>
      <c r="AA28" s="122">
        <v>0.85</v>
      </c>
      <c r="AB28" s="132"/>
      <c r="AC28" s="28"/>
      <c r="AD28" s="28"/>
      <c r="AE28" s="45"/>
      <c r="AF28" s="28"/>
      <c r="AG28" s="525" t="s">
        <v>136</v>
      </c>
      <c r="AH28" s="527"/>
      <c r="AI28" s="133" t="str">
        <f>IF($AL$21=" "," ",$AL$23)</f>
        <v xml:space="preserve"> </v>
      </c>
      <c r="AJ28" s="452" t="str">
        <f>IF($AL$21=" "," ",IF(AND(AND($AA$24&gt;=3000,$AA$24&lt;5200),$AL$22=12),"DB",IF(AND(AND($AA$24&gt;=3000,$AA$24&lt;5200),$AL$22=16),"DB",IF(AND(AND($AA$24&gt;=3000,$AA$24&lt;5200),$AL$22=20),"DB",IF(AND(AND($AA$24&gt;=3000,$AA$24&lt;5200),$AL$22=25),"DB",IF(AND(AND($AA$24&gt;=3000,$AA$24&lt;5200),$AL$22=28),"DB",IF(AND(AND($AA$24&gt;=3000,$AA$24&lt;5200),$AL$22=32),"DB",IF(AND(AND($AA$24&lt;3000,$AA$24&lt;=2400),$AL$22=6),"RB",IF(AND(AND($AA$24&lt;3000,$AA$24&lt;=2400),$AL$22=9),"RB",IF(AND(AND($AA$24&lt;3000,$AA$24&lt;=2400),$AL$22=12),"RB",IF(AND(AND($AA$24&lt;3000,$AA$24&lt;=2400),$AL$22=15),"RB",IF(AND(AND($AA$24&lt;3000,$AA$24&lt;=2400),$AL$22=19),"RB",IF(AND(AND($AA$24&lt;3000,$AA$24&lt;=2400),$AL$22=25),"RB","  ")))))))))))))</f>
        <v xml:space="preserve"> </v>
      </c>
      <c r="AK28" s="452"/>
      <c r="AL28" s="448">
        <f>IF($AJ$28="  "," ",$AL$22)</f>
        <v>25</v>
      </c>
      <c r="AM28" s="448"/>
      <c r="AN28" s="28"/>
      <c r="AO28" s="46"/>
      <c r="AP28" s="46"/>
      <c r="AQ28" s="28"/>
      <c r="AR28" s="28"/>
      <c r="AS28" s="28"/>
      <c r="AT28" s="28"/>
      <c r="AU28" s="54"/>
      <c r="AV28" s="54"/>
      <c r="AW28" s="54"/>
      <c r="AX28" s="90"/>
      <c r="AY28" s="98">
        <f>10+$AA$36</f>
        <v>12.5</v>
      </c>
      <c r="AZ28" s="98">
        <f>10+$AA$35</f>
        <v>14</v>
      </c>
      <c r="BA28" s="46"/>
      <c r="BB28" s="98" t="str">
        <f>IF($A$1&lt;3," ",IF($AH$46=3," ",IF($AH$46=7," ",IF(AND($AH$46&gt;5,$AH$46&lt;10),10+$AA$32/2,IF($A$1&lt;3," ",IF($AI$28=3," ",IF($AI$28=7," ",IF(AND($AI$28&gt;5,$AI$28&lt;10),10+$AA$32/2,IF($AI$28=" "," "," ")))))))))</f>
        <v xml:space="preserve"> </v>
      </c>
      <c r="BC28" s="98" t="str">
        <f>IF($A$1&lt;3," ",IF($AH$46=3," ",IF($AH$46=7," ",IF(AND($AH$46&gt;5,$AH$46&lt;10),10+$AA$35+6,IF($A$1&lt;3," ",IF($AI$28=3," ",IF($AI$28=7," ",IF(AND($AI$28&gt;5,$AI$28&lt;10),10+$AA$35+6,IF($AI$28=" "," "," ")))))))))</f>
        <v xml:space="preserve"> </v>
      </c>
      <c r="BD28" s="91" t="s">
        <v>150</v>
      </c>
      <c r="BE28" s="28"/>
      <c r="BF28" s="111" t="str">
        <f>IF($AA$33&lt;=90," ",IF($AA$33&gt;=110," ",IF(OR(OR(OR(OR($AA$32=40,$AA$32=45),$AA$32=50),$AA$32=55),$AA$32=60),$AA$32," ")))</f>
        <v xml:space="preserve"> </v>
      </c>
      <c r="BG28" s="111" t="str">
        <f>IF($AA$33&lt;=90," ",IF($AA$33&gt;=110," ",IF(OR(OR(OR(OR($AA$32=25,$AA$32=30),$AA$32=35),$AA$32=15),$AA$32=20),$AA$32," ")))</f>
        <v xml:space="preserve"> </v>
      </c>
      <c r="BH28" s="46"/>
      <c r="BI28" s="46"/>
      <c r="BJ28" s="46"/>
      <c r="BK28" s="46"/>
      <c r="BL28" s="46"/>
      <c r="BM28" s="28"/>
      <c r="BN28" s="46"/>
      <c r="BO28" s="129"/>
    </row>
    <row r="29" spans="2:67" s="123" customFormat="1" ht="20.100000000000001" customHeight="1">
      <c r="D29" s="524"/>
      <c r="E29" s="524"/>
      <c r="F29" s="524"/>
      <c r="G29" s="524"/>
      <c r="H29" s="524"/>
      <c r="I29" s="524"/>
      <c r="J29" s="524"/>
      <c r="K29" s="524"/>
      <c r="L29" s="524"/>
      <c r="M29" s="524"/>
      <c r="N29" s="524"/>
      <c r="O29" s="524"/>
      <c r="P29" s="524"/>
      <c r="Q29" s="524"/>
      <c r="R29" s="524"/>
      <c r="S29" s="77"/>
      <c r="U29" s="51"/>
      <c r="V29" s="19" t="s">
        <v>18</v>
      </c>
      <c r="W29" s="134"/>
      <c r="X29" s="33"/>
      <c r="Y29" s="19"/>
      <c r="Z29" s="33"/>
      <c r="AA29" s="135">
        <f>$L$26</f>
        <v>1.7</v>
      </c>
      <c r="AB29" s="136">
        <f>$M$26</f>
        <v>2</v>
      </c>
      <c r="AC29" s="28"/>
      <c r="AD29" s="28"/>
      <c r="AE29" s="28"/>
      <c r="AF29" s="28"/>
      <c r="AG29" s="525" t="s">
        <v>137</v>
      </c>
      <c r="AH29" s="526"/>
      <c r="AI29" s="133" t="str">
        <f>IF(AND(AND($AA$25&gt;=3000,$AA$25&lt;5200),$AL$24=12),"DB",IF(AND(AND($AA$25&gt;=3000,$AA$25&lt;5200),$AL$24=16),"DB",IF(AND(AND($AA$25&gt;=3000,$AA$25&lt;5200),$AL$24=20),"DB",IF(AND(AND($AA$25&gt;=3000,$AA$25&lt;5200),$AL$24=25),"DB",IF(AND(AND($AA$25&gt;=3000,$AA$25&lt;5200),$AL$24=28),"DB",IF(AND(AND($AA$25&gt;=3000,$AA$25&lt;5200),$AL$24=32),"DB",IF(AND(AND($AA$25&lt;3000,$AA$25&lt;=2400),$AL$24=6),"RB",IF(AND(AND($AA$25&lt;3000,$AA$25&lt;=2400),$AL$24=9),"RB",IF(AND(AND($AA$25&lt;3000,$AA$25&lt;=2400),$AL$24=12),"RB",IF(AND(AND($AA$25&lt;3000,$AA$25&lt;=2400),$AL$24=15),"RB",IF(AND(AND($AA$25&lt;3000,$AA$25&lt;=2400),$AL$24=19),"RB",IF(AND(AND($AA$25&lt;3000,$AA$25&lt;=2400),$AL$24=25),"RB","--"))))))))))))</f>
        <v>DB</v>
      </c>
      <c r="AJ29" s="448">
        <f>IF(AI29=" "," ",AL24)</f>
        <v>12</v>
      </c>
      <c r="AK29" s="448"/>
      <c r="AL29" s="449">
        <f>$AL$25</f>
        <v>27.5</v>
      </c>
      <c r="AM29" s="449"/>
      <c r="AN29" s="28"/>
      <c r="AO29" s="46"/>
      <c r="AP29" s="46"/>
      <c r="AQ29" s="28"/>
      <c r="AR29" s="28"/>
      <c r="AS29" s="28"/>
      <c r="AT29" s="28"/>
      <c r="AU29" s="54"/>
      <c r="AV29" s="54"/>
      <c r="AW29" s="54"/>
      <c r="AX29" s="90"/>
      <c r="AY29" s="98">
        <f>10+$AA$36</f>
        <v>12.5</v>
      </c>
      <c r="AZ29" s="98">
        <f>$AZ$21-$AA$35</f>
        <v>66</v>
      </c>
      <c r="BA29" s="46"/>
      <c r="BB29" s="98" t="str">
        <f>IF($A$1&lt;3," ",IF(OR(OR($AH$46=7,$AH$46=8),$AH$46=9),10+$AA$36+2,IF($A$1&lt;3," ",IF(OR(OR($AI$28=7,$AI$28=8),$AI$28=9),10+$AA$36+2,IF($AI$28=" "," "," ")))))</f>
        <v xml:space="preserve"> </v>
      </c>
      <c r="BC29" s="98" t="str">
        <f>IF($A$1&lt;3," ",IF(OR(OR($AH$46=7,$AH$46=8),$AH$46=9),10+$AA$35+5+5.5,IF($A$1&lt;3," ",IF(OR(OR($AI$28=7,$AI$28=8),$AI$28=9),10+$AA$35+5+5.5,IF($AI$28=" "," "," ")))))</f>
        <v xml:space="preserve"> </v>
      </c>
      <c r="BD29" s="91" t="s">
        <v>171</v>
      </c>
      <c r="BE29" s="28"/>
      <c r="BF29" s="111" t="str">
        <f>IF($AA$33&lt;=100," ",IF($AA$33&gt;=120," ",IF(OR(OR(OR(OR($AA$32=40,$AA$32=45),$AA$32=50),$AA$32=55),$AA$32=60),$AA$32," ")))</f>
        <v xml:space="preserve"> </v>
      </c>
      <c r="BG29" s="111" t="str">
        <f>IF($AA$33&lt;=100," ",IF($AA$33&gt;=120," ",IF(OR(OR(OR(OR($AA$32=25,$AA$32=30),$AA$32=35),$AA$32=15),$AA$32=20),$AA$32," ")))</f>
        <v xml:space="preserve"> </v>
      </c>
      <c r="BH29" s="46"/>
      <c r="BI29" s="46"/>
      <c r="BJ29" s="46"/>
      <c r="BK29" s="46"/>
      <c r="BL29" s="46"/>
      <c r="BM29" s="28"/>
      <c r="BN29" s="46"/>
      <c r="BO29" s="129"/>
    </row>
    <row r="30" spans="2:67" s="123" customFormat="1" ht="20.100000000000001" customHeight="1">
      <c r="D30" s="271" t="s">
        <v>12</v>
      </c>
      <c r="E30" s="640" t="s">
        <v>224</v>
      </c>
      <c r="F30" s="519"/>
      <c r="G30" s="519"/>
      <c r="H30" s="519"/>
      <c r="I30" s="519"/>
      <c r="J30" s="519"/>
      <c r="K30" s="519"/>
      <c r="L30" s="519"/>
      <c r="M30" s="519"/>
      <c r="N30" s="519"/>
      <c r="O30" s="519"/>
      <c r="P30" s="519"/>
      <c r="Q30" s="519"/>
      <c r="R30" s="641"/>
      <c r="S30" s="77"/>
      <c r="U30" s="46"/>
      <c r="V30" s="38"/>
      <c r="W30" s="38"/>
      <c r="X30" s="38"/>
      <c r="Y30" s="38"/>
      <c r="Z30" s="38"/>
      <c r="AA30" s="38"/>
      <c r="AB30" s="38"/>
      <c r="AC30" s="46"/>
      <c r="AD30" s="46"/>
      <c r="AE30" s="46"/>
      <c r="AF30" s="46"/>
      <c r="AG30" s="46"/>
      <c r="AH30" s="46"/>
      <c r="AI30" s="46"/>
      <c r="AJ30" s="46"/>
      <c r="AK30" s="46"/>
      <c r="AL30" s="46"/>
      <c r="AM30" s="46"/>
      <c r="AN30" s="46"/>
      <c r="AO30" s="46"/>
      <c r="AP30" s="46"/>
      <c r="AQ30" s="46"/>
      <c r="AR30" s="28"/>
      <c r="AS30" s="46"/>
      <c r="AT30" s="46"/>
      <c r="AX30" s="137"/>
      <c r="AY30" s="98">
        <f>$AY$21-$AA$36</f>
        <v>37.5</v>
      </c>
      <c r="AZ30" s="98">
        <f>$AZ$21-$AA$35</f>
        <v>66</v>
      </c>
      <c r="BA30" s="46"/>
      <c r="BB30" s="98" t="str">
        <f>IF($A$1&lt;3," ",IF($AH$46=3," ",IF(AND($AH$46&gt;6,$AH$46&lt;10),10+$AA$32-1.5-$AA$36,IF($A$1&lt;3," ",IF($AI$28=3," ",IF(AND($AI$28&gt;6,$AI$28&lt;10),10+$AA$32-1.5-$AA$36,IF($AI$28=" "," "," ")))))))</f>
        <v xml:space="preserve"> </v>
      </c>
      <c r="BC30" s="98" t="str">
        <f>IF($A$1&lt;3," ",IF($AH$46=3," ",IF(AND($AH$46&gt;6,$AH$46&lt;10),10+$AA$35+5+5.5,IF($A$1&lt;3," ",IF($AI$28=3," ",IF(AND($AI$28&gt;6,$AI$28&lt;10),10+$AA$35+5+5.5,IF($AI$28=" "," "," ")))))))</f>
        <v xml:space="preserve"> </v>
      </c>
      <c r="BD30" s="91" t="s">
        <v>170</v>
      </c>
      <c r="BE30" s="28"/>
      <c r="BF30" s="111" t="str">
        <f>IF($AA$33&lt;=110," ",IF($AA$33&gt;=130," ",IF(OR(OR(OR(OR($AA$32=40,$AA$32=45),$AA$32=50),$AA$32=55),$AA$32=60),$AA$32," ")))</f>
        <v xml:space="preserve"> </v>
      </c>
      <c r="BG30" s="111" t="str">
        <f>IF($AA$33&lt;=110," ",IF($AA$33&gt;=130," ",IF(OR(OR(OR(OR($AA$32=25,$AA$32=30),$AA$32=35),AA32=15),AA32=20),$AA$32," ")))</f>
        <v xml:space="preserve"> </v>
      </c>
      <c r="BH30" s="46"/>
      <c r="BI30" s="46"/>
      <c r="BJ30" s="46"/>
      <c r="BK30" s="46"/>
      <c r="BL30" s="46"/>
      <c r="BM30" s="28"/>
      <c r="BN30" s="46"/>
      <c r="BO30" s="129"/>
    </row>
    <row r="31" spans="2:67" s="123" customFormat="1" ht="20.100000000000001" customHeight="1">
      <c r="D31" s="423" t="s">
        <v>13</v>
      </c>
      <c r="E31" s="424"/>
      <c r="F31" s="424"/>
      <c r="G31" s="424"/>
      <c r="H31" s="424"/>
      <c r="I31" s="424"/>
      <c r="J31" s="424"/>
      <c r="K31" s="424"/>
      <c r="L31" s="100">
        <v>0.18</v>
      </c>
      <c r="M31" s="349" t="s">
        <v>20</v>
      </c>
      <c r="N31" s="350"/>
      <c r="O31" s="595" t="str">
        <f>IF(AND($A$1&gt;3,$A$1&lt;5),"Case4         b , t =",IF(AND($A$1&gt;5,$A$1&lt;7),"Case6         b , t =","Thickness for Case4,6 "))</f>
        <v xml:space="preserve">Thickness for Case4,6 </v>
      </c>
      <c r="P31" s="596"/>
      <c r="Q31" s="100">
        <v>0.08</v>
      </c>
      <c r="R31" s="138" t="s">
        <v>20</v>
      </c>
      <c r="S31" s="77"/>
      <c r="U31" s="46"/>
      <c r="V31" s="517" t="s">
        <v>106</v>
      </c>
      <c r="W31" s="518"/>
      <c r="X31" s="518"/>
      <c r="Y31" s="518"/>
      <c r="Z31" s="518"/>
      <c r="AA31" s="519"/>
      <c r="AB31" s="520"/>
      <c r="AC31" s="46"/>
      <c r="AD31" s="46"/>
      <c r="AE31" s="46"/>
      <c r="AF31" s="46"/>
      <c r="AG31" s="405" t="str">
        <f>IF(AND(W63="Tu &lt; Tu min",A1=5),"Torsion Reinf. Needless",IF(AND(W63="Tu &lt; Tu min",A1=6),"Torsion Reinf. Needless",IF($A$1=5,"Number for case 5",IF($A$1=6,"Number for case 6","Number for case 5 and 6"))))</f>
        <v>Number for case 5</v>
      </c>
      <c r="AH31" s="406"/>
      <c r="AI31" s="406"/>
      <c r="AJ31" s="406"/>
      <c r="AK31" s="406"/>
      <c r="AL31" s="407"/>
      <c r="AM31" s="46"/>
      <c r="AN31" s="46"/>
      <c r="AO31" s="46"/>
      <c r="AP31" s="46"/>
      <c r="AQ31" s="46"/>
      <c r="AR31" s="28"/>
      <c r="AS31" s="28"/>
      <c r="AT31" s="46"/>
      <c r="AX31" s="137"/>
      <c r="AY31" s="46"/>
      <c r="AZ31" s="46"/>
      <c r="BA31" s="46"/>
      <c r="BB31" s="98" t="str">
        <f>IF($A$1&lt;3," ",IF($AH$46=3," ",IF($AH$46=8," ",IF(OR($AH$46=6,$AH$46=7)," ",IF(AND($AH$46&gt;5,$AH$46&lt;10),10+$AA$32/2,IF($A$1&lt;3," ",IF($AI$28=3," ",IF($AI$28=8," ",IF(OR($AI$28=6,$AI$28=7)," ",IF(AND($AI$28&gt;5,$AI$28&lt;10),10+$AA$32/2,IF($AI$28=" "," "," ")))))))))))</f>
        <v xml:space="preserve"> </v>
      </c>
      <c r="BC31" s="98" t="str">
        <f>IF($A$1&lt;3," ",IF($AH$46=3," ",IF($AH$46=8," ",IF(OR($AH$46=6,$AH$46=7)," ",IF(AND($AH$46&gt;5,$AH$46&lt;10),10+$AA$35+5+5.5,IF($A$1&lt;3," ",IF($AI$28=3," ",IF($AI$28=8," ",IF(OR($AI$28=6,$AI$28=7)," ",IF(AND($AI$28&gt;5,$AI$28&lt;10),10+$AA$35+5+5.5,IF($AI$28=" "," "," ")))))))))))</f>
        <v xml:space="preserve"> </v>
      </c>
      <c r="BD31" s="91" t="s">
        <v>151</v>
      </c>
      <c r="BE31" s="28"/>
      <c r="BF31" s="46"/>
      <c r="BG31" s="46"/>
      <c r="BH31" s="46"/>
      <c r="BI31" s="46"/>
      <c r="BJ31" s="46"/>
      <c r="BK31" s="46"/>
      <c r="BL31" s="46"/>
      <c r="BM31" s="28"/>
      <c r="BN31" s="46"/>
      <c r="BO31" s="129"/>
    </row>
    <row r="32" spans="2:67" s="123" customFormat="1" ht="20.100000000000001" customHeight="1">
      <c r="D32" s="423" t="s">
        <v>14</v>
      </c>
      <c r="E32" s="424"/>
      <c r="F32" s="424"/>
      <c r="G32" s="424"/>
      <c r="H32" s="424"/>
      <c r="I32" s="424"/>
      <c r="J32" s="424"/>
      <c r="K32" s="424"/>
      <c r="L32" s="100">
        <v>0.25</v>
      </c>
      <c r="M32" s="349" t="s">
        <v>20</v>
      </c>
      <c r="N32" s="350"/>
      <c r="O32" s="139" t="s">
        <v>11</v>
      </c>
      <c r="P32" s="140"/>
      <c r="Q32" s="141">
        <f>IF($A$1=1,($L$33*100/20)*(0.4+$Q$21/7000),IF(AND($A$1&gt;1,$A$1&lt;3),($L$33*100/20)*(0.4+$Q$21/7000),IF(AND($A$1&gt;2,$A$1&lt;4),($L$33*100/20)*(0.4+$Q$21/7000),IF(AND($A$1&gt;3,$A$1&lt;5),($L$33*100/20)*(0.4+$Q$21/7000),IF(AND($A$1&gt;4,$A$1&lt;6),($L$33*100/10)*(0.4+$Q$21/7000),IF(AND($A$1&gt;5,$A$1&lt;7),($L$33*100/8)*(0.4+$Q$21/7000),"---"))))))</f>
        <v>11.142857142857142</v>
      </c>
      <c r="R32" s="142" t="s">
        <v>21</v>
      </c>
      <c r="S32" s="143"/>
      <c r="U32" s="46"/>
      <c r="V32" s="431" t="s">
        <v>59</v>
      </c>
      <c r="W32" s="521"/>
      <c r="X32" s="419" t="str">
        <f>IF(OR($A$1=1,$A$1&lt;5)," ",IF(W64="Tu max &lt; Tu","Change as beam section"," "))</f>
        <v xml:space="preserve"> </v>
      </c>
      <c r="Y32" s="420"/>
      <c r="Z32" s="420"/>
      <c r="AA32" s="144">
        <v>30</v>
      </c>
      <c r="AB32" s="145" t="s">
        <v>21</v>
      </c>
      <c r="AC32" s="46"/>
      <c r="AD32" s="46"/>
      <c r="AE32" s="46"/>
      <c r="AF32" s="46"/>
      <c r="AG32" s="285" t="s">
        <v>138</v>
      </c>
      <c r="AH32" s="121" t="s">
        <v>141</v>
      </c>
      <c r="AI32" s="96"/>
      <c r="AJ32" s="40"/>
      <c r="AK32" s="95">
        <f>IF(AA92=" "," ",MAX($AA$92/3,$AA$91/3))</f>
        <v>6.1099999999999994</v>
      </c>
      <c r="AL32" s="95" t="s">
        <v>81</v>
      </c>
      <c r="AM32" s="46"/>
      <c r="AN32" s="46"/>
      <c r="AO32" s="46"/>
      <c r="AP32" s="46"/>
      <c r="AQ32" s="46"/>
      <c r="AR32" s="28"/>
      <c r="AS32" s="28"/>
      <c r="AT32" s="46"/>
      <c r="AX32" s="137"/>
      <c r="AY32" s="46"/>
      <c r="AZ32" s="46"/>
      <c r="BA32" s="46"/>
      <c r="BB32" s="98" t="str">
        <f>IF($A$1&lt;3," ",IF(OR(OR(OR(OR(OR($AH$41=2,$AH$41=3),$AH$41=6),$AH$41=8),$AH$41=7),$AH$41=9),10+$AA$36+2,IF($AI$28=" "," ", " ")))</f>
        <v xml:space="preserve"> </v>
      </c>
      <c r="BC32" s="98" t="str">
        <f>IF($A$1&lt;3," ",IF(OR(OR(OR(OR(OR($AH$41=2,$AH$41=3),$AH$41=6),$AH$41=8),$AH$41=7),$AH$41=9),10+$AA$33/2,IF($AI$28=" "," "," ")))</f>
        <v xml:space="preserve"> </v>
      </c>
      <c r="BD32" s="28" t="s">
        <v>152</v>
      </c>
      <c r="BE32" s="28"/>
      <c r="BF32" s="146" t="str">
        <f>IF(OR(A1=1,A1=2)," ",IF(AL21=" ",W88,AI29))</f>
        <v>DB</v>
      </c>
      <c r="BG32" s="147">
        <f>IF(AL21=" ",X88,AJ29)</f>
        <v>12</v>
      </c>
      <c r="BH32" s="148">
        <f>IF(AL21=" ",Y88,AL29)</f>
        <v>9</v>
      </c>
      <c r="BI32" s="146"/>
      <c r="BJ32" s="46"/>
      <c r="BK32" s="46"/>
      <c r="BL32" s="46"/>
      <c r="BM32" s="28"/>
      <c r="BN32" s="46"/>
      <c r="BO32" s="129"/>
    </row>
    <row r="33" spans="2:67" s="123" customFormat="1" ht="20.100000000000001" customHeight="1">
      <c r="D33" s="522" t="s">
        <v>19</v>
      </c>
      <c r="E33" s="523"/>
      <c r="F33" s="523"/>
      <c r="G33" s="523"/>
      <c r="H33" s="523"/>
      <c r="I33" s="523"/>
      <c r="J33" s="523"/>
      <c r="K33" s="597"/>
      <c r="L33" s="149">
        <f>IF($A$1=1,$C$15,IF(AND($A$1&gt;1,$A$1&lt;3),$D$15,IF(AND($A$1&gt;2,$A$1&lt;4),$G$15,IF(AND($A$1&gt;3,$A$1&lt;5),$J$15,IF(AND($A$1&gt;4,$A$1&lt;6),$N$15,IF(AND($A$1&gt;5,$A$1&lt;7),$Q$15,"---"))))))</f>
        <v>1.5</v>
      </c>
      <c r="M33" s="352" t="s">
        <v>20</v>
      </c>
      <c r="N33" s="352"/>
      <c r="O33" s="139" t="s">
        <v>15</v>
      </c>
      <c r="P33" s="150"/>
      <c r="Q33" s="151">
        <f>(IF(AND(AND($Q$32&lt;8,$A$1&lt;&gt;4,$A$1&lt;&gt;6)),8/100,IF(AND($A$1&gt;3,$A$1&lt;5)," ",IF(AND($A$1&gt;5,$A$1&lt;7)," ",ROUND(IF($A$1=3,($Q$32+4)/100,IF($A$1=5,($Q$32+4)/100,IF($A$1=1,($Q$32+4)/100,IF($A$1=2,($Q$32+4)/100," ")))),2)))))</f>
        <v>0.15</v>
      </c>
      <c r="R33" s="142" t="s">
        <v>20</v>
      </c>
      <c r="S33" s="143"/>
      <c r="U33" s="46"/>
      <c r="V33" s="416" t="s">
        <v>60</v>
      </c>
      <c r="W33" s="417"/>
      <c r="X33" s="421"/>
      <c r="Y33" s="422"/>
      <c r="Z33" s="422"/>
      <c r="AA33" s="144">
        <v>60</v>
      </c>
      <c r="AB33" s="109" t="s">
        <v>21</v>
      </c>
      <c r="AC33" s="46"/>
      <c r="AD33" s="46"/>
      <c r="AE33" s="46"/>
      <c r="AF33" s="46"/>
      <c r="AG33" s="103" t="str">
        <f>IF(OR($AA$24=3000,$AA$24&gt;3000),"Provide DB DiaØ ","Provide  RB DiaØ")</f>
        <v xml:space="preserve">Provide DB DiaØ </v>
      </c>
      <c r="AH33" s="28"/>
      <c r="AI33" s="104"/>
      <c r="AJ33" s="28"/>
      <c r="AK33" s="42">
        <v>16</v>
      </c>
      <c r="AL33" s="104" t="s">
        <v>41</v>
      </c>
      <c r="AM33" s="46"/>
      <c r="AN33" s="46"/>
      <c r="AO33" s="46"/>
      <c r="AP33" s="46"/>
      <c r="AQ33" s="46"/>
      <c r="AR33" s="28"/>
      <c r="AS33" s="28"/>
      <c r="AT33" s="46"/>
      <c r="AX33" s="137"/>
      <c r="AY33" s="46"/>
      <c r="AZ33" s="46"/>
      <c r="BA33" s="46"/>
      <c r="BB33" s="98" t="str">
        <f>IF($A$1&lt;3," ",IF(OR(OR(OR(OR(OR($AH$41=2,$AH$41=3),$AH$41=6),$AH$41=8),$AH$41=7),$AH$41=9),10+$AA$32-$AA$36-1.5,IF($AI$28=" "," ", " ")))</f>
        <v xml:space="preserve"> </v>
      </c>
      <c r="BC33" s="98" t="str">
        <f>IF($A$1&lt;3," ",IF(OR(OR(OR(OR(OR($AH$41=2,$AH$41=3),$AH$41=6),$AH$41=7),$AH$41=8),$AH$41=9),10+$AA$33/2,IF($AI$28=" "," ", " ")))</f>
        <v xml:space="preserve"> </v>
      </c>
      <c r="BD33" s="91" t="s">
        <v>153</v>
      </c>
      <c r="BE33" s="28"/>
      <c r="BF33" s="46"/>
      <c r="BG33" s="46"/>
      <c r="BH33" s="46"/>
      <c r="BI33" s="46"/>
      <c r="BJ33" s="46"/>
      <c r="BK33" s="46"/>
      <c r="BL33" s="46"/>
      <c r="BM33" s="28"/>
      <c r="BN33" s="46"/>
      <c r="BO33" s="129"/>
    </row>
    <row r="34" spans="2:67" s="123" customFormat="1" ht="20.100000000000001" customHeight="1">
      <c r="D34" s="522" t="s">
        <v>44</v>
      </c>
      <c r="E34" s="523"/>
      <c r="F34" s="523"/>
      <c r="G34" s="523"/>
      <c r="H34" s="523"/>
      <c r="I34" s="523"/>
      <c r="J34" s="523"/>
      <c r="K34" s="523"/>
      <c r="L34" s="100">
        <v>2.5</v>
      </c>
      <c r="M34" s="351" t="s">
        <v>21</v>
      </c>
      <c r="N34" s="352"/>
      <c r="O34" s="357" t="str">
        <f>IF(AND($A$1&gt;3,$A$1&lt;5),"Case4         Depth, d =",IF(AND($A$1&gt;5,$A$1&lt;7),"Case6        Depth, d =","  "))</f>
        <v xml:space="preserve">  </v>
      </c>
      <c r="P34" s="358"/>
      <c r="Q34" s="152" t="str">
        <f>IF($A$1=6,($L$31+$Q$31)*100,IF($A$1=4,($L$31+$Q$31)*100,IF($A$1=5," ",IF($A$1=3," ",IF($A$1=1," "," ")))))</f>
        <v xml:space="preserve"> </v>
      </c>
      <c r="R34" s="142" t="str">
        <f>IF(AND($A$1&gt;3,$A$1&lt;5),"cm.",IF(AND($A$1&gt;5,$A$1&lt;7),"cm.","  "))</f>
        <v xml:space="preserve">  </v>
      </c>
      <c r="S34" s="153"/>
      <c r="U34" s="46"/>
      <c r="V34" s="416" t="s">
        <v>64</v>
      </c>
      <c r="W34" s="417"/>
      <c r="X34" s="154"/>
      <c r="Y34" s="48"/>
      <c r="Z34" s="48"/>
      <c r="AA34" s="144">
        <v>16</v>
      </c>
      <c r="AB34" s="109" t="s">
        <v>41</v>
      </c>
      <c r="AC34" s="46"/>
      <c r="AD34" s="46"/>
      <c r="AE34" s="46"/>
      <c r="AF34" s="46"/>
      <c r="AG34" s="103" t="str">
        <f>IF(OR($AA$24=3000,$AA$24&gt;3000),"Provide No.of DB","Provide No.of RB ")</f>
        <v>Provide No.of DB</v>
      </c>
      <c r="AH34" s="28"/>
      <c r="AI34" s="104"/>
      <c r="AJ34" s="28"/>
      <c r="AK34" s="42">
        <v>5</v>
      </c>
      <c r="AL34" s="104"/>
      <c r="AM34" s="46"/>
      <c r="AN34" s="46"/>
      <c r="AO34" s="46"/>
      <c r="AP34" s="46"/>
      <c r="AQ34" s="46"/>
      <c r="AR34" s="28"/>
      <c r="AS34" s="28"/>
      <c r="AT34" s="46"/>
      <c r="AX34" s="137"/>
      <c r="AY34" s="46"/>
      <c r="AZ34" s="46"/>
      <c r="BA34" s="46"/>
      <c r="BB34" s="98" t="str">
        <f>IF($A$1&lt;3," ",IF(OR(OR(OR($AH$41=3,$AH$41=5),$AH$41=7),$AH$41=9),10+$AA$32/2,IF($AI$28=" "," "," ")))</f>
        <v xml:space="preserve"> </v>
      </c>
      <c r="BC34" s="98" t="str">
        <f>IF($A$1&lt;3," ",IF(OR(OR(OR($AH$41=3,$AH$41=5),$AH$41=7),$AH$41=9),10+$AA$33/2,IF($AI$28=" "," "," ")))</f>
        <v xml:space="preserve"> </v>
      </c>
      <c r="BD34" s="91" t="s">
        <v>156</v>
      </c>
      <c r="BE34" s="28"/>
      <c r="BF34" s="146" t="str">
        <f>IF(OR(A1=1,A1=2)," ",IF(AL21=" ","Under","Main bar"))</f>
        <v>Under</v>
      </c>
      <c r="BG34" s="146">
        <f>IF($AL$21=" ",$AH$46,$AI$28)</f>
        <v>5</v>
      </c>
      <c r="BH34" s="146" t="str">
        <f>IF(OR(A1=1,A1=2)," ",IF($AL$21=" ",$AI$46,IF(AK37=" ",$AJ$28," ")))</f>
        <v>DB</v>
      </c>
      <c r="BI34" s="147">
        <f>IF(OR(A1=1,A1=2)," ",IF($AL$21=" ",$AJ$46,$AL$28))</f>
        <v>20</v>
      </c>
      <c r="BJ34" s="46"/>
      <c r="BK34" s="46"/>
      <c r="BL34" s="46"/>
      <c r="BM34" s="28"/>
      <c r="BN34" s="46"/>
      <c r="BO34" s="129"/>
    </row>
    <row r="35" spans="2:67" s="123" customFormat="1" ht="20.100000000000001" customHeight="1">
      <c r="D35" s="543" t="s">
        <v>45</v>
      </c>
      <c r="E35" s="544"/>
      <c r="F35" s="544"/>
      <c r="G35" s="544"/>
      <c r="H35" s="544"/>
      <c r="I35" s="544"/>
      <c r="J35" s="544"/>
      <c r="K35" s="545"/>
      <c r="L35" s="155">
        <f>(IF($A$1=6,$Q$34-$L$34-$F$57/200,IF($A$1=4,$Q$34-$L$34-$F$57/200,IF($A$1=5,$Q$33*100-$L$34-$F$57/200,IF($A$1=3,$Q$33*100-$L$34-$F$57/200,IF($A$1=2,($Q$33*100)-$L$34-$F$57/200,IF($A$1=1,$Q$33*100-$L$34-$F$57/200," ")))))))</f>
        <v>12.44</v>
      </c>
      <c r="M35" s="352" t="s">
        <v>21</v>
      </c>
      <c r="N35" s="352"/>
      <c r="O35" s="38"/>
      <c r="P35" s="130"/>
      <c r="Q35" s="38"/>
      <c r="R35" s="38"/>
      <c r="S35" s="143"/>
      <c r="U35" s="46"/>
      <c r="V35" s="385" t="s">
        <v>113</v>
      </c>
      <c r="W35" s="418"/>
      <c r="X35" s="154"/>
      <c r="Y35" s="48"/>
      <c r="Z35" s="48"/>
      <c r="AA35" s="144">
        <v>4</v>
      </c>
      <c r="AB35" s="109" t="s">
        <v>21</v>
      </c>
      <c r="AC35" s="46"/>
      <c r="AD35" s="46"/>
      <c r="AE35" s="46"/>
      <c r="AF35" s="46"/>
      <c r="AG35" s="98" t="s">
        <v>74</v>
      </c>
      <c r="AH35" s="156" t="str">
        <f>IF($AK$35&gt;$AK$32,"ok","no")</f>
        <v>ok</v>
      </c>
      <c r="AI35" s="29"/>
      <c r="AJ35" s="41"/>
      <c r="AK35" s="157">
        <f>ROUND((PI()*$AK$33^2/400*$AK$34),3)</f>
        <v>10.053000000000001</v>
      </c>
      <c r="AL35" s="108" t="s">
        <v>81</v>
      </c>
      <c r="AM35" s="46"/>
      <c r="AN35" s="46"/>
      <c r="AO35" s="46"/>
      <c r="AP35" s="46"/>
      <c r="AQ35" s="50"/>
      <c r="AR35" s="46"/>
      <c r="AS35" s="46"/>
      <c r="AT35" s="46"/>
      <c r="AX35" s="137"/>
      <c r="AY35" s="46"/>
      <c r="AZ35" s="46"/>
      <c r="BA35" s="46"/>
      <c r="BB35" s="98">
        <f>IF($A$1&lt;3," ",IF(OR(OR(OR(OR(OR($AH$41=4,$AH$41=5),$AH$41=6),$AH$41=8),$AH$41=7),$AH$41=9),10+$AA$36+2,IF($AI$28=" "," ", " ")))</f>
        <v>14.5</v>
      </c>
      <c r="BC35" s="98">
        <f>IF($A$1&lt;3," ",IF(OR(OR(OR(OR(OR($AH$41=4,$AH$41=5),$AH$41=6),$AH$41=8),$AH$41=7),$AH$41=9),10+$AA$33/2+5,IF($AI$28=" "," ", " ")))</f>
        <v>45</v>
      </c>
      <c r="BD35" s="91" t="s">
        <v>157</v>
      </c>
      <c r="BE35" s="28"/>
      <c r="BF35" s="46"/>
      <c r="BG35" s="46"/>
      <c r="BH35" s="46"/>
      <c r="BI35" s="46"/>
      <c r="BJ35" s="46"/>
      <c r="BK35" s="46"/>
      <c r="BL35" s="46"/>
      <c r="BM35" s="46"/>
      <c r="BN35" s="46"/>
      <c r="BO35" s="129"/>
    </row>
    <row r="36" spans="2:67" s="123" customFormat="1" ht="20.100000000000001" customHeight="1">
      <c r="F36" s="598"/>
      <c r="G36" s="599"/>
      <c r="H36" s="599"/>
      <c r="I36" s="599"/>
      <c r="J36" s="599"/>
      <c r="K36" s="599"/>
      <c r="L36" s="54"/>
      <c r="P36" s="158"/>
      <c r="S36" s="143"/>
      <c r="U36" s="46"/>
      <c r="V36" s="385" t="s">
        <v>114</v>
      </c>
      <c r="W36" s="418"/>
      <c r="X36" s="38"/>
      <c r="Y36" s="38"/>
      <c r="Z36" s="38"/>
      <c r="AA36" s="144">
        <v>2.5</v>
      </c>
      <c r="AB36" s="109" t="s">
        <v>21</v>
      </c>
      <c r="AC36" s="46"/>
      <c r="AD36" s="46"/>
      <c r="AE36" s="46"/>
      <c r="AF36" s="46"/>
      <c r="AG36" s="285" t="s">
        <v>145</v>
      </c>
      <c r="AH36" s="51">
        <f>IF(AND(OR($A$1=6,$A$1=5),$W$63="Tu &lt; Tu min")," ",IF(AH35="no"," ",IF(OR(A1=3,A1=4)," ",$AK$34)))</f>
        <v>5</v>
      </c>
      <c r="AI36" s="159" t="str">
        <f>IF(AND(AND($AA$24&gt;=3000,$AA$24&lt;5200),$AK$33=12),"DB",IF(AND(AND($AA$24&gt;=3000,$AA$24&lt;5200),$AK$33=16),"DB",IF(AND(AND($AA$24&gt;=3000,$AA$24&lt;5200),$AK$33=20),"DB",IF(AND(AND($AA$24&gt;=3000,$AA$24&lt;5200),$AK$33=25),"DB",IF(AND(AND($AA$24&gt;=3000,$AA$24&lt;5200),$AK$33=28),"DB",IF(AND(AND($AA$24&gt;=3000,$AA$24&lt;5200),$AK$33=32),"DB",IF(AND(AND($AA$24&lt;3000,$AA$24&lt;=2400),$AK$33=6),"RB",IF(AND(AND($AA$24&lt;3000,$AA$24&lt;=2400),$AK$33=9),"RB",IF(AND(AND($AA$24&lt;3000,$AA$24&lt;=2400),$AK$33=12),"RB",IF(AND(AND($AA$24&lt;3000,$AA$24&lt;=2400),$AK$33=15),"RB",IF(AND(AND($AA$24&lt;3000,$AA$24&lt;=2400),$AK$33=19),"RB",IF(AND(AND($AA$24&lt;3000,$AA$24&lt;=2400),$AK$33=25),"RB","--"))))))))))))</f>
        <v>DB</v>
      </c>
      <c r="AJ36" s="339">
        <f>$AK$33</f>
        <v>16</v>
      </c>
      <c r="AK36" s="339"/>
      <c r="AL36" s="157"/>
      <c r="AM36" s="46"/>
      <c r="AN36" s="46"/>
      <c r="AO36" s="46"/>
      <c r="AP36" s="46"/>
      <c r="AQ36" s="46"/>
      <c r="AR36" s="46"/>
      <c r="AS36" s="46"/>
      <c r="AT36" s="46"/>
      <c r="AX36" s="137"/>
      <c r="AY36" s="46"/>
      <c r="AZ36" s="46"/>
      <c r="BA36" s="46"/>
      <c r="BB36" s="98">
        <f>IF($A$1&lt;3," ",IF(OR(OR(OR(OR(OR($AH$41=4,$AH$41=5),$AH$41=6),$AH$41=8),$AH$41=7),$AH$41=9),10+$AA$32-$AA$36-1.5,IF($AI$28=" "," ", " ")))</f>
        <v>36</v>
      </c>
      <c r="BC36" s="98">
        <f>IF($A$1&lt;3," ",IF(OR(OR(OR(OR(OR($AH$41=4,$AH$41=5),$AH$41=6),$AH$41=8),$AH$41=7),$AH$41=9),10+$AA$33/2+5,IF($AI$28=" "," "," ")))</f>
        <v>45</v>
      </c>
      <c r="BD36" s="91" t="s">
        <v>158</v>
      </c>
      <c r="BE36" s="28"/>
      <c r="BF36" s="146" t="str">
        <f>IF(OR(A1=1,A1=2)," ",IF($AL$21=" ","Middle"," "))</f>
        <v>Middle</v>
      </c>
      <c r="BG36" s="146">
        <f>IF($AL$21=" ",$AH$41," ")</f>
        <v>4</v>
      </c>
      <c r="BH36" s="147">
        <f>IF(OR(A1=1,A1=2)," ",IF($AL$21=" ",$AJ$41," "))</f>
        <v>16</v>
      </c>
      <c r="BI36" s="146" t="str">
        <f>IF(OR(A1=1,A1=2)," ",IF($AL$21=" ",$AI$41,IF($AK$37=" "," ")))</f>
        <v>DB</v>
      </c>
      <c r="BJ36" s="46"/>
      <c r="BK36" s="46"/>
      <c r="BL36" s="46"/>
      <c r="BM36" s="46"/>
      <c r="BN36" s="46"/>
      <c r="BO36" s="129"/>
    </row>
    <row r="37" spans="2:67" s="123" customFormat="1" ht="20.100000000000001" customHeight="1">
      <c r="B37" s="14"/>
      <c r="E37" s="25"/>
      <c r="F37" s="25"/>
      <c r="G37" s="25"/>
      <c r="H37" s="25"/>
      <c r="I37" s="25"/>
      <c r="J37" s="25"/>
      <c r="K37" s="25"/>
      <c r="L37" s="25"/>
      <c r="M37" s="25"/>
      <c r="N37" s="25"/>
      <c r="S37" s="51"/>
      <c r="U37" s="46"/>
      <c r="V37" s="416" t="s">
        <v>61</v>
      </c>
      <c r="W37" s="417"/>
      <c r="X37" s="154"/>
      <c r="Y37" s="48"/>
      <c r="Z37" s="48"/>
      <c r="AA37" s="160">
        <f>ROUND($AA$33-$AA$35-$AA$34/20,0)</f>
        <v>55</v>
      </c>
      <c r="AB37" s="160" t="s">
        <v>21</v>
      </c>
      <c r="AC37" s="46"/>
      <c r="AD37" s="46"/>
      <c r="AE37" s="46"/>
      <c r="AF37" s="46"/>
      <c r="AG37" s="98" t="s">
        <v>139</v>
      </c>
      <c r="AH37" s="161" t="s">
        <v>142</v>
      </c>
      <c r="AI37" s="96"/>
      <c r="AJ37" s="40"/>
      <c r="AK37" s="95">
        <f>IF(AA92=" "," ",MAX($AA$92/3,$AA$91/3))</f>
        <v>6.1099999999999994</v>
      </c>
      <c r="AL37" s="95" t="s">
        <v>81</v>
      </c>
      <c r="AM37" s="46"/>
      <c r="AN37" s="46"/>
      <c r="AO37" s="46"/>
      <c r="AP37" s="46"/>
      <c r="AQ37" s="46"/>
      <c r="AR37" s="46"/>
      <c r="AS37" s="46"/>
      <c r="AT37" s="46"/>
      <c r="AX37" s="137"/>
      <c r="AY37" s="46"/>
      <c r="AZ37" s="46"/>
      <c r="BA37" s="46"/>
      <c r="BB37" s="98" t="str">
        <f>IF($A$1&lt;3," ",IF(OR($AH$41=8,$AH$41=9),10+$AA$32/2,IF($AI$28=" "," "," ")))</f>
        <v xml:space="preserve"> </v>
      </c>
      <c r="BC37" s="98" t="str">
        <f>IF($A$1&lt;3," ",IF(OR($AH$41=8,$AH$41=9),10+$AA$33/2+5,IF($AI$28=" "," "," ")))</f>
        <v xml:space="preserve"> </v>
      </c>
      <c r="BD37" s="91" t="s">
        <v>159</v>
      </c>
      <c r="BE37" s="28"/>
      <c r="BF37" s="46"/>
      <c r="BG37" s="46"/>
      <c r="BH37" s="46"/>
      <c r="BI37" s="46"/>
      <c r="BJ37" s="46"/>
      <c r="BK37" s="46"/>
      <c r="BL37" s="46"/>
      <c r="BM37" s="46"/>
      <c r="BN37" s="46"/>
      <c r="BO37" s="129"/>
    </row>
    <row r="38" spans="2:67" ht="20.100000000000001" customHeight="1">
      <c r="B38" s="162"/>
      <c r="D38" s="645" t="str">
        <f>IF($A$1=1,"Case1",IF(AND($A$1&gt;1,$A$1&lt;3),"Case 2",IF(AND($A$1&gt;2,$A$1&lt;4),"Case 3",IF(AND($A$1&gt;3,$A$1&lt;5),"Case 4",IF(AND($A$1&gt;4,$A$1&lt;6),"Case 5",IF(AND($A$1&gt;5,$A$1&lt;7),"Case6","---"))))))</f>
        <v>Case 5</v>
      </c>
      <c r="E38" s="646"/>
      <c r="F38" s="646"/>
      <c r="G38" s="646"/>
      <c r="H38" s="646"/>
      <c r="I38" s="646"/>
      <c r="J38" s="646"/>
      <c r="K38" s="646"/>
      <c r="L38" s="646"/>
      <c r="M38" s="646"/>
      <c r="N38" s="647"/>
      <c r="Q38" s="600"/>
      <c r="R38" s="600"/>
      <c r="S38" s="600"/>
      <c r="T38" s="163"/>
      <c r="U38" s="51"/>
      <c r="V38" s="164" t="s">
        <v>68</v>
      </c>
      <c r="W38" s="29"/>
      <c r="X38" s="41"/>
      <c r="Y38" s="41"/>
      <c r="Z38" s="41"/>
      <c r="AA38" s="165">
        <v>2.5</v>
      </c>
      <c r="AB38" s="29" t="s">
        <v>20</v>
      </c>
      <c r="AC38" s="28"/>
      <c r="AD38" s="28"/>
      <c r="AE38" s="28"/>
      <c r="AF38" s="28"/>
      <c r="AG38" s="103" t="str">
        <f>IF(OR($AA$24=3000,$AA$24&gt;3000),"Provide DB DiaØ ","Provide  RB DiaØ")</f>
        <v xml:space="preserve">Provide DB DiaØ </v>
      </c>
      <c r="AH38" s="28"/>
      <c r="AI38" s="104"/>
      <c r="AJ38" s="28"/>
      <c r="AK38" s="42">
        <v>16</v>
      </c>
      <c r="AL38" s="104" t="s">
        <v>41</v>
      </c>
      <c r="AM38" s="28"/>
      <c r="AN38" s="28"/>
      <c r="AO38" s="28"/>
      <c r="AP38" s="28"/>
      <c r="AQ38" s="28"/>
      <c r="AR38" s="28"/>
      <c r="AS38" s="28"/>
      <c r="AT38" s="28"/>
      <c r="AX38" s="90"/>
      <c r="AY38" s="28"/>
      <c r="AZ38" s="28"/>
      <c r="BA38" s="73"/>
      <c r="BB38" s="98">
        <f>IF($A$1&lt;3," ",IF(OR(OR(OR(OR(OR($AH$41=4,$AH$41=5),$AH$41=6),$AH$41=8),$AH$41=7),$AH$41=9),10+$AA$36+2,IF($AI$28=" "," "," ")))</f>
        <v>14.5</v>
      </c>
      <c r="BC38" s="98">
        <f>IF($A$1&lt;3," ",IF(OR(OR(OR(OR(OR($AH$41=4,$AH$41=5),$AH$41=6),$AH$41=8),$AH$41=7),$AH$41=9),10+$AA$33/2-5,IF($AI$28=" "," "," ")))</f>
        <v>35</v>
      </c>
      <c r="BD38" s="91" t="s">
        <v>162</v>
      </c>
      <c r="BE38" s="28"/>
      <c r="BF38" s="166" t="str">
        <f>IF(OR(A1=1,A1=2)," ",IF($AL$21=" ","Top","Fix to Strirup "))</f>
        <v>Top</v>
      </c>
      <c r="BG38" s="146">
        <f>IF($AL$21=" ",$AH$36,"2")</f>
        <v>5</v>
      </c>
      <c r="BH38" s="166" t="str">
        <f>IF(OR(A1=1,A1=2)," ",IF($AL$21=" ",$AI$36,$AJ$28))</f>
        <v>DB</v>
      </c>
      <c r="BI38" s="167">
        <f>IF(OR(A1=1,A1=2)," ",IF($AL$21=" ",$AJ$36,$AL$28))</f>
        <v>16</v>
      </c>
      <c r="BJ38" s="73"/>
      <c r="BK38" s="73"/>
      <c r="BL38" s="73"/>
      <c r="BM38" s="73"/>
      <c r="BN38" s="73"/>
      <c r="BO38" s="92"/>
    </row>
    <row r="39" spans="2:67" s="162" customFormat="1" ht="20.100000000000001" customHeight="1">
      <c r="D39" s="427" t="s">
        <v>28</v>
      </c>
      <c r="E39" s="428"/>
      <c r="F39" s="168"/>
      <c r="G39" s="169"/>
      <c r="H39" s="169"/>
      <c r="I39" s="169"/>
      <c r="J39" s="410">
        <f>(IF($A$1=1,0.5*$L$31*$L$22+$L$22*$Q$33*SQRT($L$31^2+$L$32^2)/$L$32,IF(AND($A$1&gt;1,$A$1&lt;3),$L$22*$Q$33*($L$31+$L$32)*(1/$L$32),IF(AND($A$1&gt;2,$A$1&lt;4),0.5*$L$31*$L$22+$L$22*$Q$33*SQRT($L$31^2+$L$32^2)/$L$32,IF(AND($A$1&gt;3,$A$1&lt;5),$L$22*$Q$31*($L$31+$L$32),IF(AND($A$1&gt;4,$A$1&lt;6),0.5*$L$31*$L$22+$L$22*$Q$33*SQRT($L$31^2+$L$32^2)/$L$32,IF(AND($A$1&gt;5,$A$1&lt;7),$L$22*$Q$31*($L$31+$L$32),"---"))))))+$L$28)</f>
        <v>659.60414786158162</v>
      </c>
      <c r="K39" s="411"/>
      <c r="L39" s="412"/>
      <c r="M39" s="429" t="s">
        <v>22</v>
      </c>
      <c r="N39" s="430"/>
      <c r="O39" s="441"/>
      <c r="P39" s="441"/>
      <c r="Q39" s="601"/>
      <c r="R39" s="601"/>
      <c r="S39" s="601"/>
      <c r="T39" s="170"/>
      <c r="U39" s="37"/>
      <c r="V39" s="517" t="s">
        <v>62</v>
      </c>
      <c r="W39" s="565"/>
      <c r="X39" s="277"/>
      <c r="Y39" s="273"/>
      <c r="Z39" s="273"/>
      <c r="AA39" s="278"/>
      <c r="AB39" s="20"/>
      <c r="AC39" s="37"/>
      <c r="AD39" s="37"/>
      <c r="AE39" s="37"/>
      <c r="AF39" s="37"/>
      <c r="AG39" s="103" t="str">
        <f>IF(OR($AA$24=3000,$AA$24&gt;3000),"Provide No.of DB","Provide No.of RB ")</f>
        <v>Provide No.of DB</v>
      </c>
      <c r="AH39" s="28"/>
      <c r="AI39" s="104"/>
      <c r="AJ39" s="28"/>
      <c r="AK39" s="42">
        <v>4</v>
      </c>
      <c r="AL39" s="104"/>
      <c r="AM39" s="37"/>
      <c r="AN39" s="37"/>
      <c r="AO39" s="37"/>
      <c r="AP39" s="37"/>
      <c r="AQ39" s="37"/>
      <c r="AR39" s="37"/>
      <c r="AS39" s="37"/>
      <c r="AT39" s="37"/>
      <c r="AX39" s="171"/>
      <c r="AY39" s="37"/>
      <c r="AZ39" s="37"/>
      <c r="BA39" s="37"/>
      <c r="BB39" s="98" t="str">
        <f>IF($A$1&lt;3," ",IF(OR($AH$41=8,$AH$41=9),10+$AA$32/2,IF($AI$28=" "," "," ")))</f>
        <v xml:space="preserve"> </v>
      </c>
      <c r="BC39" s="98" t="str">
        <f>IF($A$1&lt;3," ",IF(OR($AH$41=8,$AH$41=9),10+$AA$33/2-5,IF($AI$28=" "," "," ")))</f>
        <v xml:space="preserve"> </v>
      </c>
      <c r="BD39" s="91" t="s">
        <v>163</v>
      </c>
      <c r="BE39" s="28"/>
      <c r="BF39" s="37"/>
      <c r="BG39" s="37"/>
      <c r="BH39" s="37"/>
      <c r="BI39" s="37"/>
      <c r="BJ39" s="37"/>
      <c r="BK39" s="37"/>
      <c r="BL39" s="37"/>
      <c r="BM39" s="37"/>
      <c r="BN39" s="37"/>
      <c r="BO39" s="172"/>
    </row>
    <row r="40" spans="2:67" s="162" customFormat="1" ht="20.100000000000001" customHeight="1">
      <c r="D40" s="425" t="s">
        <v>29</v>
      </c>
      <c r="E40" s="426"/>
      <c r="F40" s="173"/>
      <c r="G40" s="174"/>
      <c r="H40" s="174"/>
      <c r="I40" s="174"/>
      <c r="J40" s="413">
        <f>IF($A$1=1,$L$27,IF(AND($A$1&gt;1,$A$1&lt;3),$L$27,IF(AND($A$1&gt;2,$A$1&lt;4),$L$27,IF(AND($A$1&gt;3,$A$1&lt;5),$L$27*$L$32,IF(AND($A$1&gt;4,$A$1&lt;6),$L$27,IF(AND($A$1&gt;5,$A$1&lt;7),$L$27*$L$32,"---"))))))</f>
        <v>500</v>
      </c>
      <c r="K40" s="414"/>
      <c r="L40" s="415"/>
      <c r="M40" s="433" t="s">
        <v>22</v>
      </c>
      <c r="N40" s="434"/>
      <c r="O40" s="175"/>
      <c r="P40" s="175"/>
      <c r="Q40" s="158"/>
      <c r="R40" s="158"/>
      <c r="S40" s="176"/>
      <c r="T40" s="175"/>
      <c r="U40" s="37"/>
      <c r="V40" s="431" t="s">
        <v>65</v>
      </c>
      <c r="W40" s="432"/>
      <c r="X40" s="177"/>
      <c r="Y40" s="178"/>
      <c r="Z40" s="178"/>
      <c r="AA40" s="179">
        <f>IF($A$1=3,ROUND(($AA$32/100*$AA$33/100)*$L$22*(SQRT($L$31^2+$L$32^2)/$L$32),0),IF(AND($A$1&gt;3,$A$1&lt;5),ROUND(($AA$32/100*$AA$33/100)*$L$22*(SQRT($L$31^2+$L$32^2)/$L$32),0),IF(OR($A$1=5,$A$1=6),ROUND(($AA$32/100*$AA$33/100)*$L$22*(SQRT($L$31^2+$L$32^2)/$L$32),0),"---")))</f>
        <v>532</v>
      </c>
      <c r="AB40" s="180" t="s">
        <v>78</v>
      </c>
      <c r="AC40" s="37"/>
      <c r="AD40" s="37"/>
      <c r="AE40" s="37"/>
      <c r="AF40" s="37"/>
      <c r="AG40" s="98" t="s">
        <v>74</v>
      </c>
      <c r="AH40" s="156" t="str">
        <f>IF(AK40&gt;AK37,"ok","no")</f>
        <v>ok</v>
      </c>
      <c r="AI40" s="29"/>
      <c r="AJ40" s="41"/>
      <c r="AK40" s="157">
        <f>ROUND((PI()*$AK$38^2/400*$AK$39),3)</f>
        <v>8.0419999999999998</v>
      </c>
      <c r="AL40" s="108" t="s">
        <v>81</v>
      </c>
      <c r="AM40" s="37"/>
      <c r="AN40" s="37"/>
      <c r="AO40" s="37"/>
      <c r="AP40" s="37"/>
      <c r="AQ40" s="37"/>
      <c r="AR40" s="37"/>
      <c r="AS40" s="37"/>
      <c r="AT40" s="37"/>
      <c r="AX40" s="171"/>
      <c r="AY40" s="37"/>
      <c r="AZ40" s="37"/>
      <c r="BA40" s="37"/>
      <c r="BB40" s="98">
        <f>IF($A$1&lt;3," ",IF(OR(OR(OR(OR(OR($AH$41=4,$AH$41=5),$AH$41=6),$AH$41=8),$AH$41=7),$AH$41=9),10+$AA$32-$AA$36-1.5,IF($AI$28=" "," "," ")))</f>
        <v>36</v>
      </c>
      <c r="BC40" s="98">
        <f>IF($A$1&lt;3," ",IF(OR(OR(OR(OR(OR($AH$41=4,$AH$41=5),$AH$41=6),$AH$41=8),$AH$41=7),$AH$41=9),10+$AA$33/2-5,IF($AI$28=" "," "," ")))</f>
        <v>35</v>
      </c>
      <c r="BD40" s="91" t="s">
        <v>164</v>
      </c>
      <c r="BE40" s="28"/>
      <c r="BF40" s="37"/>
      <c r="BG40" s="37"/>
      <c r="BH40" s="37"/>
      <c r="BI40" s="37"/>
      <c r="BJ40" s="37"/>
      <c r="BK40" s="37"/>
      <c r="BL40" s="37"/>
      <c r="BM40" s="37"/>
      <c r="BN40" s="37"/>
      <c r="BO40" s="172"/>
    </row>
    <row r="41" spans="2:67" s="162" customFormat="1" ht="20.100000000000001" customHeight="1">
      <c r="D41" s="408" t="s">
        <v>24</v>
      </c>
      <c r="E41" s="409"/>
      <c r="F41" s="173"/>
      <c r="G41" s="174"/>
      <c r="H41" s="174"/>
      <c r="I41" s="174"/>
      <c r="J41" s="413">
        <f>IF($A$1=1,$L$26*$J$39+$M$26*$J$40,IF(AND($A$1&gt;1,$A$1&lt;3),$J$39*$L$26+$J$40*$M$26,IF(AND($A$1&gt;2,$A$1&lt;4),$J$39*$L$26+$J$40*$M$26,IF(AND($A$1&gt;3,$A$1&lt;5),$J$39*$L$26+$J$40*$M$26,IF(AND($A$1&gt;4,$A$1&lt;6),$J$39*$L$26+$J$40*$M$26,IF(AND($A$1&gt;5,$A$1&lt;7),$J$39*$L$26+$J$40*$M$26,"---"))))))</f>
        <v>2121.3270513646885</v>
      </c>
      <c r="K41" s="414"/>
      <c r="L41" s="415"/>
      <c r="M41" s="433" t="s">
        <v>22</v>
      </c>
      <c r="N41" s="434"/>
      <c r="O41" s="175"/>
      <c r="P41" s="175"/>
      <c r="Q41" s="158"/>
      <c r="R41" s="158"/>
      <c r="S41" s="176"/>
      <c r="T41" s="175"/>
      <c r="U41" s="37"/>
      <c r="V41" s="181" t="s">
        <v>63</v>
      </c>
      <c r="W41" s="109"/>
      <c r="X41" s="53" t="str">
        <f>IF($A$1=6," W.LL="," ")</f>
        <v xml:space="preserve"> </v>
      </c>
      <c r="Y41" s="48" t="str">
        <f>IF(A1=6,$J$40*1*$Q$15/$L$32," ")</f>
        <v xml:space="preserve"> </v>
      </c>
      <c r="Z41" s="53" t="s">
        <v>66</v>
      </c>
      <c r="AA41" s="182">
        <f>IF($A$1=3,$J$43*1,IF($A$1=4,ROUND($J$43*(1/$L$32),0),IF($A$1=5,ROUND($J$43*1,0),IF($A$1=6,ROUND($J$39*$Q$15/$L$32*1,0),"---"))))</f>
        <v>3182</v>
      </c>
      <c r="AB41" s="160" t="s">
        <v>78</v>
      </c>
      <c r="AC41" s="37"/>
      <c r="AD41" s="37"/>
      <c r="AE41" s="37"/>
      <c r="AF41" s="37"/>
      <c r="AG41" s="286" t="s">
        <v>145</v>
      </c>
      <c r="AH41" s="98">
        <f>IF(AND(OR($A$1=6,$A$1=5),$W$63="Tu &lt; Tu min")," ",IF(AH40="no"," ",IF(OR(A1=3,A1=4)," ",$AK$39)))</f>
        <v>4</v>
      </c>
      <c r="AI41" s="159" t="str">
        <f>IF(AND(AND($AA$24&gt;=3000,$AA$24&lt;5200),AK38=12),"DB",IF(AND(AND($AA$24&gt;=3000,$AA$24&lt;5200),AK38=16),"DB",IF(AND(AND($AA$24&gt;=3000,$AA$24&lt;5200),AK38=20),"DB",IF(AND(AND($AA$24&gt;=3000,$AA$24&lt;5200),AK38=25),"DB",IF(AND(AND($AA$24&gt;=3000,$AA$24&lt;5200),AK38=28),"DB",IF(AND(AND($AA$24&gt;=3000,$AA$24&lt;5200),AK38=32),"DB",IF(AND(AND($AA$24&lt;3000,$AA$24&lt;=2400),AK38=6),"RB",IF(AND(AND($AA$24&lt;3000,$AA$24&lt;=2400),AK38=9),"RB",IF(AND(AND($AA$24&lt;3000,$AA$24&lt;=2400),AK38=12),"RB",IF(AND(AND($AA$24&lt;3000,$AA$24&lt;=2400),AK38=15),"RB",IF(AND(AND($AA$24&lt;3000,$AA$24&lt;=2400),AK38=19),"RB",IF(AND(AND($AA$24&lt;3000,$AA$24&lt;=2400),AK38=25),"RB","--"))))))))))))</f>
        <v>DB</v>
      </c>
      <c r="AJ41" s="339">
        <f>$AK$38</f>
        <v>16</v>
      </c>
      <c r="AK41" s="339"/>
      <c r="AL41" s="157"/>
      <c r="AM41" s="37"/>
      <c r="AN41" s="37"/>
      <c r="AO41" s="37"/>
      <c r="AP41" s="37"/>
      <c r="AQ41" s="37"/>
      <c r="AR41" s="37"/>
      <c r="AS41" s="37"/>
      <c r="AT41" s="37"/>
      <c r="AX41" s="171"/>
      <c r="AY41" s="37"/>
      <c r="AZ41" s="37"/>
      <c r="BA41" s="37"/>
      <c r="BB41" s="98">
        <f>IF($A$1&lt;3," ",IF($AH$36=3,10+$AA$32/2,IF($AH$36=7,10+$AA$32/2,IF(AND($AH$36&gt;4,$AH$36&lt;10),10+$AA$32/2,IF($AH$36=4," ",IF($AI$28=" "," "," "))))))</f>
        <v>25</v>
      </c>
      <c r="BC41" s="98">
        <f>IF($A$1&lt;3," ",IF($AH$36=3,10+$AA$33-$AA$35-1.6,IF($AH$36=7,10+$AA$33-$AA$35-1.6,IF(AND(AH36&gt;4,AH36&lt;10),10+$AA$33-$AA$35-1.6,IF($AH$36=4," ",IF($AI$28=" "," "," "))))))</f>
        <v>64.400000000000006</v>
      </c>
      <c r="BD41" s="28" t="s">
        <v>165</v>
      </c>
      <c r="BE41" s="28"/>
      <c r="BF41" s="37"/>
      <c r="BG41" s="37"/>
      <c r="BH41" s="37"/>
      <c r="BI41" s="37"/>
      <c r="BJ41" s="37"/>
      <c r="BK41" s="37"/>
      <c r="BL41" s="37"/>
      <c r="BM41" s="37"/>
      <c r="BN41" s="37"/>
      <c r="BO41" s="172"/>
    </row>
    <row r="42" spans="2:67" s="162" customFormat="1" ht="20.100000000000001" customHeight="1">
      <c r="D42" s="408" t="s">
        <v>17</v>
      </c>
      <c r="E42" s="409"/>
      <c r="F42" s="173"/>
      <c r="G42" s="174"/>
      <c r="H42" s="174"/>
      <c r="I42" s="174"/>
      <c r="J42" s="413">
        <f>IF($A$1=1,$J$41*$L$33^2/8,IF(AND($A$1&gt;1,$A$1&lt;3),$J$41*$L$33^2/8,IF(AND($A$1&gt;2,$A$1&lt;4),$J$41*$L$33^2/8,IF(AND($A$1&gt;3,$A$1&lt;5),$J$41*$L$33^2/8,IF(AND($A$1&gt;4,$A$1&lt;6),$J$41*$L$33^2/2,IF(AND($A$1&gt;5,$A$1&lt;7),$J$41*$L$33^2/2,"---"))))))</f>
        <v>2386.4929327852747</v>
      </c>
      <c r="K42" s="414"/>
      <c r="L42" s="415"/>
      <c r="M42" s="433" t="s">
        <v>25</v>
      </c>
      <c r="N42" s="434"/>
      <c r="O42" s="175"/>
      <c r="P42" s="175"/>
      <c r="Q42" s="158"/>
      <c r="R42" s="158"/>
      <c r="S42" s="176"/>
      <c r="T42" s="175"/>
      <c r="U42" s="37"/>
      <c r="V42" s="181" t="s">
        <v>24</v>
      </c>
      <c r="W42" s="109"/>
      <c r="X42" s="48"/>
      <c r="Y42" s="48"/>
      <c r="Z42" s="48"/>
      <c r="AA42" s="182">
        <f>IF($A$1=3,ROUND($L$26*$AA$40+$AA$41,0),IF($A$1=4,ROUND($L$26*$AA$40+$AA$41,0),IF($A$1=5,ROUND($L$26*$AA$40+$AA$41,0),IF($A$1=6,ROUND($L$26*($AA$40+$AA$41)+$M$26*$Y$41,0),"---"))))</f>
        <v>4086</v>
      </c>
      <c r="AB42" s="160" t="s">
        <v>78</v>
      </c>
      <c r="AC42" s="37"/>
      <c r="AD42" s="37"/>
      <c r="AE42" s="37"/>
      <c r="AF42" s="37"/>
      <c r="AG42" s="98" t="s">
        <v>140</v>
      </c>
      <c r="AH42" s="161" t="s">
        <v>142</v>
      </c>
      <c r="AI42" s="96"/>
      <c r="AJ42" s="40"/>
      <c r="AK42" s="95">
        <f>IF(AA92=" "," ",MAX($AA$92/3,$AA$91/3)+$AA$56)</f>
        <v>13.809999999999999</v>
      </c>
      <c r="AL42" s="95" t="s">
        <v>81</v>
      </c>
      <c r="AM42" s="37"/>
      <c r="AN42" s="37"/>
      <c r="AO42" s="37"/>
      <c r="AP42" s="37"/>
      <c r="AQ42" s="37"/>
      <c r="AR42" s="37"/>
      <c r="AS42" s="37"/>
      <c r="AT42" s="37"/>
      <c r="AX42" s="171"/>
      <c r="AY42" s="37"/>
      <c r="AZ42" s="37"/>
      <c r="BA42" s="37"/>
      <c r="BB42" s="98">
        <f>IF($A$1&lt;3," ",IF($AH$36=3," ",IF(AND(AH36&gt;3,AH36&lt;10),10+$AA$36+2,IF($AI$28=" "," "," "))))</f>
        <v>14.5</v>
      </c>
      <c r="BC42" s="98">
        <f>IF($A$1&lt;3," ",IF($AH$36=3," ",IF(AND(AH36&gt;3,AH36&lt;10),10+$AA$33-$AA$35-6.3,IF($AI$28=" "," "," "))))</f>
        <v>59.7</v>
      </c>
      <c r="BD42" s="28" t="s">
        <v>166</v>
      </c>
      <c r="BE42" s="28"/>
      <c r="BF42" s="37"/>
      <c r="BG42" s="37"/>
      <c r="BH42" s="37"/>
      <c r="BI42" s="37"/>
      <c r="BJ42" s="37"/>
      <c r="BK42" s="37"/>
      <c r="BL42" s="37"/>
      <c r="BM42" s="37"/>
      <c r="BN42" s="37"/>
      <c r="BO42" s="172"/>
    </row>
    <row r="43" spans="2:67" s="162" customFormat="1" ht="20.100000000000001" customHeight="1">
      <c r="D43" s="385" t="s">
        <v>67</v>
      </c>
      <c r="E43" s="386"/>
      <c r="F43" s="173"/>
      <c r="G43" s="174"/>
      <c r="H43" s="174"/>
      <c r="I43" s="174"/>
      <c r="J43" s="413">
        <f>IF($A$1=1,$J$41*$L$33/2,IF(AND($A$1&gt;1,$A$1&lt;3),$J$41*$L$33/2,IF(AND($A$1&gt;2,$A$1&lt;4),$J$41*$L$33/2,IF(AND($A$1&gt;3,$A$1&lt;5),$J$41*$L$33/2,IF(AND($A$1&gt;4,$A$1&lt;6),$J$41*$L$33,IF(AND($A$1&gt;5,$A$1&lt;7),$J$41*$L$33,"---"))))))</f>
        <v>3181.9905770470327</v>
      </c>
      <c r="K43" s="414"/>
      <c r="L43" s="415"/>
      <c r="M43" s="433" t="s">
        <v>26</v>
      </c>
      <c r="N43" s="434"/>
      <c r="O43" s="175"/>
      <c r="P43" s="175"/>
      <c r="Q43" s="158"/>
      <c r="R43" s="158"/>
      <c r="S43" s="176"/>
      <c r="T43" s="175"/>
      <c r="U43" s="37"/>
      <c r="V43" s="32" t="s">
        <v>17</v>
      </c>
      <c r="W43" s="132"/>
      <c r="X43" s="38"/>
      <c r="Y43" s="38"/>
      <c r="Z43" s="38"/>
      <c r="AA43" s="182">
        <f>IF(OR($A$1=1,$A$1&lt;3),"---",ROUND($AA$42*$AA$38^2/8,0))</f>
        <v>3192</v>
      </c>
      <c r="AB43" s="108" t="s">
        <v>76</v>
      </c>
      <c r="AC43" s="37"/>
      <c r="AD43" s="47"/>
      <c r="AE43" s="37"/>
      <c r="AF43" s="37"/>
      <c r="AG43" s="103" t="str">
        <f>IF(OR($AA$24=3000,$AA$24&gt;3000),"Provide DB DiaØ ","Provide  RB DiaØ")</f>
        <v xml:space="preserve">Provide DB DiaØ </v>
      </c>
      <c r="AH43" s="28"/>
      <c r="AI43" s="104"/>
      <c r="AJ43" s="28"/>
      <c r="AK43" s="42">
        <v>20</v>
      </c>
      <c r="AL43" s="104" t="s">
        <v>41</v>
      </c>
      <c r="AM43" s="37"/>
      <c r="AN43" s="37"/>
      <c r="AO43" s="37"/>
      <c r="AP43" s="37"/>
      <c r="AQ43" s="37"/>
      <c r="AR43" s="37"/>
      <c r="AS43" s="37"/>
      <c r="AT43" s="37"/>
      <c r="AX43" s="171"/>
      <c r="AY43" s="37"/>
      <c r="AZ43" s="37"/>
      <c r="BA43" s="37"/>
      <c r="BB43" s="98">
        <f>IF($A$1&lt;3," ",IF($AH$36=3," ",IF(AND($AH$36&gt;3,$AH$36&lt;10),10+$AA$32-$AA$36-1.5,IF($AI$28=" "," "," "))))</f>
        <v>36</v>
      </c>
      <c r="BC43" s="98">
        <f>IF($A$1&lt;3," ",IF($AH$36=3," ",IF(AND($AH$36&gt;3,$AH$36&lt;10),10+$AA$33-$AA$35-6.3,IF($AI$28=" "," "," "))))</f>
        <v>59.7</v>
      </c>
      <c r="BD43" s="28" t="s">
        <v>172</v>
      </c>
      <c r="BE43" s="28"/>
      <c r="BF43" s="37"/>
      <c r="BG43" s="37"/>
      <c r="BH43" s="37"/>
      <c r="BI43" s="37"/>
      <c r="BJ43" s="37"/>
      <c r="BK43" s="37"/>
      <c r="BL43" s="37"/>
      <c r="BM43" s="37"/>
      <c r="BN43" s="37"/>
      <c r="BO43" s="172"/>
    </row>
    <row r="44" spans="2:67" s="162" customFormat="1" ht="20.100000000000001" customHeight="1">
      <c r="D44" s="437" t="s">
        <v>32</v>
      </c>
      <c r="E44" s="438"/>
      <c r="F44" s="183"/>
      <c r="G44" s="184"/>
      <c r="H44" s="184"/>
      <c r="I44" s="184"/>
      <c r="J44" s="453">
        <f>0.85*$L$25*$L$21/$Q$21*(6120/(6120+$Q$21))</f>
        <v>3.676100352112676E-2</v>
      </c>
      <c r="K44" s="454"/>
      <c r="L44" s="455"/>
      <c r="M44" s="381"/>
      <c r="N44" s="382"/>
      <c r="O44" s="175"/>
      <c r="P44" s="175"/>
      <c r="Q44" s="158"/>
      <c r="R44" s="158"/>
      <c r="S44" s="176"/>
      <c r="T44" s="175"/>
      <c r="U44" s="52"/>
      <c r="V44" s="32" t="s">
        <v>69</v>
      </c>
      <c r="W44" s="132"/>
      <c r="X44" s="38"/>
      <c r="Y44" s="38"/>
      <c r="Z44" s="38"/>
      <c r="AA44" s="182">
        <f>IF(OR($A$1=1,$A$1&lt;3),"---",ROUND($AA$42*(($AA$38/2)-$AA$37/100),0))</f>
        <v>2860</v>
      </c>
      <c r="AB44" s="108" t="s">
        <v>77</v>
      </c>
      <c r="AC44" s="48"/>
      <c r="AD44" s="48"/>
      <c r="AE44" s="48"/>
      <c r="AF44" s="48"/>
      <c r="AG44" s="103" t="str">
        <f>IF(OR($AA$24=3000,$AA$24&gt;3000),"Provide No.of DB","Provide No.of RB ")</f>
        <v>Provide No.of DB</v>
      </c>
      <c r="AH44" s="28"/>
      <c r="AI44" s="104"/>
      <c r="AJ44" s="28"/>
      <c r="AK44" s="42">
        <v>5</v>
      </c>
      <c r="AL44" s="104"/>
      <c r="AM44" s="48"/>
      <c r="AN44" s="48"/>
      <c r="AO44" s="37"/>
      <c r="AP44" s="37"/>
      <c r="AQ44" s="37"/>
      <c r="AR44" s="37"/>
      <c r="AS44" s="48"/>
      <c r="AT44" s="48"/>
      <c r="AW44" s="48"/>
      <c r="AX44" s="185"/>
      <c r="AY44" s="37"/>
      <c r="AZ44" s="37"/>
      <c r="BA44" s="37"/>
      <c r="BB44" s="98" t="str">
        <f>IF($A$1&lt;3," ",IF($AH$36=3," ",IF($AH$36=7," ",IF(AND($AH$36&gt;5,$AH$36&lt;10),10+$AA$32/2,IF($AI$28=" "," "," ")))))</f>
        <v xml:space="preserve"> </v>
      </c>
      <c r="BC44" s="98" t="str">
        <f>IF($A$1&lt;3," ",IF($AH$36=3," ",IF($AH$36=7," ",IF(AND($AH$36&gt;5,$AH$36&lt;10),10+$AA$33-$AA$35-6.3,IF($AI$28=" "," "," ")))))</f>
        <v xml:space="preserve"> </v>
      </c>
      <c r="BD44" s="28" t="s">
        <v>169</v>
      </c>
      <c r="BE44" s="28"/>
      <c r="BF44" s="37"/>
      <c r="BG44" s="37"/>
      <c r="BH44" s="37"/>
      <c r="BI44" s="37"/>
      <c r="BJ44" s="37"/>
      <c r="BK44" s="37"/>
      <c r="BL44" s="37"/>
      <c r="BM44" s="37"/>
      <c r="BN44" s="37"/>
      <c r="BO44" s="172"/>
    </row>
    <row r="45" spans="2:67" s="162" customFormat="1" ht="20.100000000000001" customHeight="1">
      <c r="B45" s="14"/>
      <c r="D45" s="439" t="s">
        <v>31</v>
      </c>
      <c r="E45" s="440"/>
      <c r="F45" s="186">
        <f>14/$Q$21</f>
        <v>5.8333333333333336E-3</v>
      </c>
      <c r="G45" s="187" t="str">
        <f>IF(F45&lt;H45,"&lt;","&gt;")</f>
        <v>&lt;</v>
      </c>
      <c r="H45" s="188">
        <f>0.5*$J$44</f>
        <v>1.838050176056338E-2</v>
      </c>
      <c r="I45" s="189" t="str">
        <f>IF(H45&lt;J45,"&lt;","&gt;")</f>
        <v>&lt;</v>
      </c>
      <c r="J45" s="394">
        <f>0.75*$J$44</f>
        <v>2.7570752640845068E-2</v>
      </c>
      <c r="K45" s="395"/>
      <c r="L45" s="396"/>
      <c r="M45" s="379" t="str">
        <f>IF(AND($F$45&lt;$H$45,$H$45&lt;$J$45),"ok","no")</f>
        <v>ok</v>
      </c>
      <c r="N45" s="380"/>
      <c r="Q45" s="158"/>
      <c r="R45" s="158"/>
      <c r="S45" s="52"/>
      <c r="T45" s="36"/>
      <c r="U45" s="52"/>
      <c r="V45" s="32" t="s">
        <v>84</v>
      </c>
      <c r="W45" s="190">
        <f>$Q$26</f>
        <v>0.85</v>
      </c>
      <c r="X45" s="400" t="s">
        <v>85</v>
      </c>
      <c r="Y45" s="401"/>
      <c r="Z45" s="38"/>
      <c r="AA45" s="182">
        <f>IF(OR($A$1=1,$A$1=2),"---",$W$45*0.53*SQRT($AA$21)*$AA$32*$AA$37)</f>
        <v>10512.202962509811</v>
      </c>
      <c r="AB45" s="157" t="s">
        <v>77</v>
      </c>
      <c r="AC45" s="49"/>
      <c r="AD45" s="48"/>
      <c r="AE45" s="48"/>
      <c r="AF45" s="48"/>
      <c r="AG45" s="98" t="s">
        <v>74</v>
      </c>
      <c r="AH45" s="156" t="str">
        <f>IF($AK$45&gt;$AK$42,"ok","no")</f>
        <v>ok</v>
      </c>
      <c r="AI45" s="29"/>
      <c r="AJ45" s="41"/>
      <c r="AK45" s="157">
        <f>ROUND((PI()*$AK$43^2/400*$AK$44),3)</f>
        <v>15.708</v>
      </c>
      <c r="AL45" s="108" t="s">
        <v>81</v>
      </c>
      <c r="AM45" s="48"/>
      <c r="AN45" s="48"/>
      <c r="AO45" s="37"/>
      <c r="AP45" s="37"/>
      <c r="AQ45" s="37"/>
      <c r="AR45" s="37"/>
      <c r="AS45" s="48"/>
      <c r="AT45" s="48"/>
      <c r="AW45" s="48"/>
      <c r="AX45" s="185"/>
      <c r="AY45" s="37"/>
      <c r="AZ45" s="37"/>
      <c r="BA45" s="37"/>
      <c r="BB45" s="98" t="str">
        <f>IF($A$1&lt;3," ",IF($AH$36=3," ",IF(AND($AH$36&gt;6,$AH$36&lt;10),10+$AA$36+2,IF($AI$28=" "," "," "))))</f>
        <v xml:space="preserve"> </v>
      </c>
      <c r="BC45" s="98" t="str">
        <f>IF($A$1&lt;3," ",IF($AH$36=3," ",IF(AND($AH$36&gt;6,$AH$36&lt;10),10+$AA$33-$AA$35-6-5,IF($AI$28=" "," "," "))))</f>
        <v xml:space="preserve"> </v>
      </c>
      <c r="BD45" s="28" t="s">
        <v>168</v>
      </c>
      <c r="BE45" s="28"/>
      <c r="BF45" s="37"/>
      <c r="BG45" s="37"/>
      <c r="BH45" s="37"/>
      <c r="BI45" s="37"/>
      <c r="BJ45" s="37"/>
      <c r="BK45" s="37"/>
      <c r="BL45" s="37"/>
      <c r="BM45" s="37"/>
      <c r="BN45" s="37"/>
      <c r="BO45" s="172"/>
    </row>
    <row r="46" spans="2:67" ht="20.100000000000001" customHeight="1">
      <c r="D46" s="372" t="s">
        <v>107</v>
      </c>
      <c r="E46" s="378"/>
      <c r="F46" s="191"/>
      <c r="G46" s="192"/>
      <c r="H46" s="192"/>
      <c r="I46" s="192"/>
      <c r="J46" s="592">
        <f>ROUND($H$45*$Q$21*(1-0.59*$H$45*$Q$21/$L$21),2)</f>
        <v>37.36</v>
      </c>
      <c r="K46" s="593"/>
      <c r="L46" s="594"/>
      <c r="M46" s="387" t="s">
        <v>0</v>
      </c>
      <c r="N46" s="388"/>
      <c r="O46" s="123"/>
      <c r="P46" s="123"/>
      <c r="Q46" s="158"/>
      <c r="R46" s="158"/>
      <c r="S46" s="51"/>
      <c r="T46" s="46"/>
      <c r="U46" s="51"/>
      <c r="V46" s="300" t="s">
        <v>74</v>
      </c>
      <c r="W46" s="193" t="str">
        <f>IF($AA$45&gt;$AA$44,"øVc &gt;Vu","øVc&lt; Vu")</f>
        <v>øVc &gt;Vu</v>
      </c>
      <c r="X46" s="194" t="str">
        <f>IF($AA$45&gt;$AA$44,"ok","no")</f>
        <v>ok</v>
      </c>
      <c r="Y46" s="397" t="str">
        <f>IF($AA$45&gt;$AA$44,"Shear Effect can be neglected øVc&gt;Vu"," Shear Reinforced Design")</f>
        <v>Shear Effect can be neglected øVc&gt;Vu</v>
      </c>
      <c r="Z46" s="398"/>
      <c r="AA46" s="398"/>
      <c r="AB46" s="399"/>
      <c r="AC46" s="28"/>
      <c r="AD46" s="28"/>
      <c r="AE46" s="28"/>
      <c r="AF46" s="28"/>
      <c r="AG46" s="286" t="s">
        <v>145</v>
      </c>
      <c r="AH46" s="119">
        <f>IF(AND(OR($A$1=6,$A$1=5),$W$63="Tu &lt; Tu min")," ",IF(AH45="no"," ",IF(OR(A1=3,A1=4)," ",$AK$44)))</f>
        <v>5</v>
      </c>
      <c r="AI46" s="159" t="str">
        <f>IF(AND(AND($AA$24&gt;=3000,$AA$24&lt;5200),$AK$43=12),"DB",IF(AND(AND($AA$24&gt;=3000,$AA$24&lt;5200),$AK$43=16),"DB",IF(AND(AND($AA$24&gt;=3000,$AA$24&lt;5200),$AK$43=20),"DB",IF(AND(AND($AA$24&gt;=3000,$AA$24&lt;5200),$AK$43=25),"DB",IF(AND(AND($AA$24&gt;=3000,$AA$24&lt;5200),$AK$43=28),"DB",IF(AND(AND($AA$24&gt;=3000,$AA$24&lt;5200),$AK$43=32),"DB",IF(AND(AND($AA$24&lt;3000,$AA$24&lt;=2400),$AK$43=6),"RB",IF(AND(AND($AA$24&lt;3000,$AA$24&lt;=2400),$AK$43=9),"RB",IF(AND(AND($AA$24&lt;3000,$AA$24&lt;=2400),$AK$43=12),"RB",IF(AND(AND($AA$24&lt;3000,$AA$24&lt;=2400),$AK$43=15),"RB",IF(AND(AND($AA$24&lt;3000,$AA$24&lt;=2400),$AK$43=19),"RB",IF(AND(AND($AA$24&lt;3000,$AA$24&lt;=2400),$AK$43=25),"RB","--"))))))))))))</f>
        <v>DB</v>
      </c>
      <c r="AJ46" s="339">
        <f>$AK$43</f>
        <v>20</v>
      </c>
      <c r="AK46" s="339"/>
      <c r="AL46" s="157"/>
      <c r="AM46" s="28"/>
      <c r="AN46" s="28"/>
      <c r="AO46" s="28"/>
      <c r="AP46" s="28"/>
      <c r="AQ46" s="28"/>
      <c r="AR46" s="28"/>
      <c r="AS46" s="28"/>
      <c r="AT46" s="28"/>
      <c r="AX46" s="90"/>
      <c r="AY46" s="28"/>
      <c r="AZ46" s="28"/>
      <c r="BA46" s="73"/>
      <c r="BB46" s="98" t="str">
        <f>IF($A$1&lt;3," ",IF(OR(OR($AH$36=7,$AH$36=8),$AH$36=9),10+$AA$32-$AA$36-1.5,IF($AI$28=" "," "," ")))</f>
        <v xml:space="preserve"> </v>
      </c>
      <c r="BC46" s="98" t="str">
        <f>IF($A$1&lt;3," ",IF(OR(OR($AH$36=7,$AH$36=8),$AH$36=9),10+$AA$33-$AA$35-5-6,IF($AI$28=" "," "," ")))</f>
        <v xml:space="preserve"> </v>
      </c>
      <c r="BD46" s="28" t="s">
        <v>173</v>
      </c>
      <c r="BE46" s="28"/>
      <c r="BF46" s="73"/>
      <c r="BG46" s="73"/>
      <c r="BH46" s="73"/>
      <c r="BI46" s="73"/>
      <c r="BJ46" s="73"/>
      <c r="BK46" s="73"/>
      <c r="BL46" s="73"/>
      <c r="BM46" s="73"/>
      <c r="BN46" s="73"/>
      <c r="BO46" s="92"/>
    </row>
    <row r="47" spans="2:67" ht="20.100000000000001" customHeight="1">
      <c r="D47" s="372" t="s">
        <v>30</v>
      </c>
      <c r="E47" s="378"/>
      <c r="F47" s="195">
        <f>IF(A$1=1,SQRT(J$42*100/(Q$25*J$46*100)),IF(AND(A$1&gt;1,A$1&lt;3),SQRT(J$42*100/(Q$25*J$46*100)),IF(AND(A$1&gt;2,A$1&lt;4),SQRT(J$42*100/(Q$25*J$46*100)),IF(AND(A$1&gt;3,A$1&lt;5),SQRT(J$42*100/(Q$25*J$46*(Q$31*100))),IF(AND(A$1&gt;4,A$1&lt;6),SQRT(J$42*100/(Q$25*J$46*100)),IF(AND(A$1&gt;5,A$1&lt;7),SQRT(J$42*100/(Q$25*J$46*(Q$31*100))),"---"))))))</f>
        <v>8.42471829348424</v>
      </c>
      <c r="G47" s="196" t="str">
        <f>IF($F$47&lt;$H$47,"&lt;","&gt;")</f>
        <v>&lt;</v>
      </c>
      <c r="H47" s="197">
        <f>L35</f>
        <v>12.44</v>
      </c>
      <c r="I47" s="196" t="str">
        <f>IF($J$47&gt;$H$47,"&lt;","&gt;")</f>
        <v>&lt;</v>
      </c>
      <c r="J47" s="402">
        <f>(IF($A$1=1,$Q$33*100,IF($A$1=2,$Q$33*100,IF($A$1=3,$Q$33*100,IF($A$1=4,$Q$34,IF($A$1=5,$Q$33*100,IF($A$1=6,$Q$34," ")))))))</f>
        <v>15</v>
      </c>
      <c r="K47" s="403"/>
      <c r="L47" s="404"/>
      <c r="M47" s="383" t="str">
        <f>IF(AND($F$47&lt;$H$47,$H$47&lt;$J$47),"ok","no")</f>
        <v>ok</v>
      </c>
      <c r="N47" s="384"/>
      <c r="O47" s="123"/>
      <c r="P47" s="198"/>
      <c r="Q47" s="158"/>
      <c r="R47" s="158"/>
      <c r="S47" s="51"/>
      <c r="T47" s="46"/>
      <c r="U47" s="51"/>
      <c r="V47" s="38"/>
      <c r="W47" s="38"/>
      <c r="X47" s="38"/>
      <c r="Y47" s="38"/>
      <c r="Z47" s="38"/>
      <c r="AA47" s="38"/>
      <c r="AB47" s="38"/>
      <c r="AC47" s="28"/>
      <c r="AD47" s="28"/>
      <c r="AE47" s="28"/>
      <c r="AF47" s="28"/>
      <c r="AG47" s="28"/>
      <c r="AH47" s="28"/>
      <c r="AI47" s="28"/>
      <c r="AJ47" s="28"/>
      <c r="AK47" s="28"/>
      <c r="AL47" s="28"/>
      <c r="AM47" s="28"/>
      <c r="AN47" s="28"/>
      <c r="AO47" s="28"/>
      <c r="AP47" s="28"/>
      <c r="AQ47" s="28"/>
      <c r="AR47" s="28"/>
      <c r="AS47" s="28"/>
      <c r="AT47" s="28"/>
      <c r="AX47" s="90"/>
      <c r="AY47" s="28" t="str">
        <f>IF(OR($AA$32&gt;=55,$AA$32&lt;=30)," ",IF($AA$33=50,$AA$33,IF($AA$33=60,$AA$33," ")))</f>
        <v xml:space="preserve"> </v>
      </c>
      <c r="AZ47" s="28"/>
      <c r="BA47" s="73"/>
      <c r="BB47" s="98" t="str">
        <f>IF($A$1&lt;3," ",IF($AH$36=3," ",IF($AH$36=8," ",IF(OR($AH$36=6,$AH$36=7)," ",IF(AND($AH$36&gt;5,$AH$36&lt;10),10+$AA$32/2,IF($AI$28=" "," "," "))))))</f>
        <v xml:space="preserve"> </v>
      </c>
      <c r="BC47" s="98" t="str">
        <f>IF($A$1&lt;3," ",IF($AH$36=3," ",IF($AH$36=8," ",IF(OR($AH$36=6,$AH$36=7)," ",IF(AND($AH$36&gt;5,$AH$36&lt;10),10+$AA$33-$AA$35-6-5,IF($AI$28=" "," "," "))))))</f>
        <v xml:space="preserve"> </v>
      </c>
      <c r="BD47" s="28" t="s">
        <v>167</v>
      </c>
      <c r="BE47" s="28"/>
      <c r="BF47" s="73"/>
      <c r="BG47" s="73"/>
      <c r="BH47" s="73"/>
      <c r="BI47" s="73"/>
      <c r="BJ47" s="73"/>
      <c r="BK47" s="73"/>
      <c r="BL47" s="73"/>
      <c r="BM47" s="73"/>
      <c r="BN47" s="73"/>
      <c r="BO47" s="92"/>
    </row>
    <row r="48" spans="2:67" ht="20.100000000000001" customHeight="1">
      <c r="D48" s="372" t="s">
        <v>33</v>
      </c>
      <c r="E48" s="373"/>
      <c r="F48" s="199"/>
      <c r="G48" s="200"/>
      <c r="H48" s="200"/>
      <c r="I48" s="200"/>
      <c r="J48" s="456">
        <f>IF($A$1=1,$J$42*100/($Q$25*100*$H$47^2),IF(AND($A$1&gt;1,$A$1&lt;3),$J$42*100/($Q$25*100*$H$47^2),IF(AND($A$1&gt;2,$A$1&lt;4),$J$42*100/($Q$25*100*$H$47^2),IF(AND($A$1&gt;3,$A$1&lt;5),$J$42*100/($Q$25*$Q$31*100*$H$47^2),IF(AND($A$1&gt;4,$A$1&lt;6),$J$42*100/($Q$25*100*$H$47^2),IF(AND($A$1&gt;5,$A$1&lt;7),$J$42*100/($Q$25*$Q$31*100*$H$47^2),"---"))))))</f>
        <v>17.13471489003074</v>
      </c>
      <c r="K48" s="457"/>
      <c r="L48" s="458"/>
      <c r="M48" s="387" t="s">
        <v>0</v>
      </c>
      <c r="N48" s="388"/>
      <c r="O48" s="123"/>
      <c r="P48" s="123"/>
      <c r="Q48" s="158"/>
      <c r="R48" s="158"/>
      <c r="S48" s="51"/>
      <c r="T48" s="46"/>
      <c r="U48" s="51"/>
      <c r="V48" s="279" t="s">
        <v>71</v>
      </c>
      <c r="W48" s="280"/>
      <c r="X48" s="280"/>
      <c r="Y48" s="280"/>
      <c r="Z48" s="280"/>
      <c r="AA48" s="273"/>
      <c r="AB48" s="275"/>
      <c r="AC48" s="28"/>
      <c r="AD48" s="28"/>
      <c r="AE48" s="28"/>
      <c r="AF48" s="28"/>
      <c r="AG48" s="28"/>
      <c r="AH48" s="28"/>
      <c r="AI48" s="28"/>
      <c r="AJ48" s="28"/>
      <c r="AK48" s="28"/>
      <c r="AL48" s="28"/>
      <c r="AM48" s="28"/>
      <c r="AN48" s="28"/>
      <c r="AO48" s="28"/>
      <c r="AP48" s="28"/>
      <c r="AQ48" s="28"/>
      <c r="AR48" s="28"/>
      <c r="AS48" s="28"/>
      <c r="AT48" s="28"/>
      <c r="AX48" s="202"/>
      <c r="AY48" s="203"/>
      <c r="AZ48" s="203"/>
      <c r="BA48" s="204"/>
      <c r="BB48" s="204"/>
      <c r="BC48" s="204"/>
      <c r="BD48" s="204"/>
      <c r="BE48" s="204"/>
      <c r="BF48" s="204"/>
      <c r="BG48" s="204"/>
      <c r="BH48" s="204"/>
      <c r="BI48" s="204"/>
      <c r="BJ48" s="204"/>
      <c r="BK48" s="204"/>
      <c r="BL48" s="204"/>
      <c r="BM48" s="204"/>
      <c r="BN48" s="204"/>
      <c r="BO48" s="205"/>
    </row>
    <row r="49" spans="4:46" ht="20.100000000000001" customHeight="1">
      <c r="D49" s="439" t="s">
        <v>34</v>
      </c>
      <c r="E49" s="562"/>
      <c r="F49" s="206"/>
      <c r="G49" s="207"/>
      <c r="H49" s="207"/>
      <c r="I49" s="207"/>
      <c r="J49" s="459">
        <f>ROUND(IF($A$1=1,0.85*($L$21/$Q$21)*(1-SQRT(1-(2*$J$48)/(0.85*$L$21))),IF(AND($A$1&gt;1,$A$1&lt;3),0.85*($L$21/$Q$21)*(1-SQRT(1-(2*$J$48)/(0.85*$L$21))),IF(AND($A$1&gt;2,$A$1&lt;4),0.85*($L$21/$Q$21)*(1-SQRT(1-(2*$J$48)/(0.85*$L$21))),IF(AND($A$1&gt;3,$A$1&lt;5),0.85*($L$21/$Q$21)*(1-SQRT(1-(2*$J$48)/(0.85*$L$21))),IF(AND($A$1&gt;4,$A$1&lt;6),0.85*($L$21/$Q$21)*(1-SQRT(1-(2*$J$48)/(0.85*$L$21))),IF(AND($A$1&gt;5,$A$1&lt;7),0.85*($L$21/$Q$21)*(1-SQRT(1-(2*$J$48)/(0.85*$L$21))),"---")))))),4)</f>
        <v>7.6E-3</v>
      </c>
      <c r="K49" s="450"/>
      <c r="L49" s="460"/>
      <c r="M49" s="374"/>
      <c r="N49" s="375"/>
      <c r="O49" s="123"/>
      <c r="P49" s="123"/>
      <c r="Q49" s="158"/>
      <c r="R49" s="158"/>
      <c r="S49" s="51"/>
      <c r="T49" s="46"/>
      <c r="U49" s="51"/>
      <c r="V49" s="32" t="s">
        <v>101</v>
      </c>
      <c r="W49" s="208"/>
      <c r="X49" s="38"/>
      <c r="Y49" s="38"/>
      <c r="Z49" s="208"/>
      <c r="AA49" s="209">
        <f>IF(OR($A$1=1,$A$1=2),"---",(0.85*$AA$27*$AA$21/$AA$24*(6120/(6120+$AA$24))))</f>
        <v>3.232236842105262E-2</v>
      </c>
      <c r="AB49" s="31"/>
      <c r="AC49" s="28"/>
      <c r="AD49" s="28"/>
      <c r="AE49" s="28"/>
      <c r="AF49" s="28"/>
      <c r="AG49" s="28"/>
      <c r="AH49" s="28"/>
      <c r="AI49" s="28"/>
      <c r="AJ49" s="28"/>
      <c r="AK49" s="28"/>
      <c r="AL49" s="28"/>
      <c r="AM49" s="28"/>
      <c r="AN49" s="28"/>
      <c r="AO49" s="28"/>
      <c r="AP49" s="28"/>
      <c r="AQ49" s="28"/>
      <c r="AR49" s="28"/>
      <c r="AS49" s="28"/>
      <c r="AT49" s="28"/>
    </row>
    <row r="50" spans="4:46" ht="20.100000000000001" customHeight="1">
      <c r="D50" s="372" t="s">
        <v>51</v>
      </c>
      <c r="E50" s="562"/>
      <c r="F50" s="206"/>
      <c r="G50" s="207"/>
      <c r="H50" s="207"/>
      <c r="I50" s="207"/>
      <c r="J50" s="587">
        <f>ROUNDUP(IF($A$1=1,$J$43-$J$41*$H$47/100,IF(AND($A$1&gt;1,$A$1&lt;3),$J$43-$J$41*$H$47/100,IF(AND($A$1&gt;2,$A$1&lt;4),$J$43-$J$41*$H$47/100,IF(AND($A$1&gt;3,$A$1&lt;5),$J$43-$J$41*$H$47/100,IF(AND($A$1&gt;4,$A$1&lt;6),$J$43-$J$41*$H$47/100,IF(AND($A$1&gt;5,$A$1&lt;7),$J$43-$J$41*$H$47/100,"---")))))),0)</f>
        <v>2919</v>
      </c>
      <c r="K50" s="588"/>
      <c r="L50" s="589"/>
      <c r="M50" s="550" t="s">
        <v>26</v>
      </c>
      <c r="N50" s="509"/>
      <c r="O50" s="123"/>
      <c r="P50" s="123"/>
      <c r="Q50" s="158"/>
      <c r="R50" s="158"/>
      <c r="S50" s="51"/>
      <c r="T50" s="46"/>
      <c r="U50" s="51"/>
      <c r="V50" s="103" t="s">
        <v>102</v>
      </c>
      <c r="W50" s="210"/>
      <c r="X50" s="28"/>
      <c r="Y50" s="211">
        <v>0.5</v>
      </c>
      <c r="Z50" s="212" t="s">
        <v>111</v>
      </c>
      <c r="AA50" s="213">
        <f>IF(OR($A$1=1,$A$1=2),"---",$AA$49*$Y$50)</f>
        <v>1.616118421052631E-2</v>
      </c>
      <c r="AB50" s="104"/>
      <c r="AC50" s="28"/>
      <c r="AD50" s="28"/>
      <c r="AE50" s="28"/>
      <c r="AF50" s="28"/>
      <c r="AG50" s="28"/>
      <c r="AH50" s="28"/>
      <c r="AI50" s="28"/>
      <c r="AJ50" s="28"/>
      <c r="AK50" s="28"/>
      <c r="AL50" s="28"/>
      <c r="AM50" s="28"/>
      <c r="AN50" s="28"/>
      <c r="AO50" s="28"/>
      <c r="AP50" s="28"/>
      <c r="AQ50" s="28"/>
      <c r="AR50" s="28"/>
      <c r="AS50" s="28"/>
      <c r="AT50" s="28"/>
    </row>
    <row r="51" spans="4:46" ht="20.100000000000001" customHeight="1">
      <c r="D51" s="214" t="s">
        <v>50</v>
      </c>
      <c r="E51" s="215">
        <f>$Q$26</f>
        <v>0.85</v>
      </c>
      <c r="F51" s="216"/>
      <c r="G51" s="217"/>
      <c r="H51" s="217"/>
      <c r="I51" s="217"/>
      <c r="J51" s="393">
        <f>ROUNDUP(IF($A$1=1,$E$51*0.53*SQRT($L$21)*100*$H$47,IF(AND($A$1&gt;1,$A$1&lt;3),$E$51*0.53*SQRT($L$21)*100*$H$47,IF(AND($A$1&gt;2,$A$1&lt;4),$E$51*0.53*SQRT($L$21)*100*$H$47,IF(AND($A$1&gt;3,$A$1&lt;5),$E$51*0.53*SQRT($L$21)*($Q$31*100)*$H$47,IF(AND($A$1&gt;4,$A$1&lt;6),$E$51*0.53*SQRT($L$21)*100*$H$47,IF(AND($A$1&gt;5,$A$1&lt;7),$E$51*0.53*SQRT($L$21)*($Q$31*100)*$H$47,"---")))))),0)</f>
        <v>7308</v>
      </c>
      <c r="K51" s="590"/>
      <c r="L51" s="591"/>
      <c r="M51" s="550" t="s">
        <v>26</v>
      </c>
      <c r="N51" s="509"/>
      <c r="O51" s="123"/>
      <c r="P51" s="123"/>
      <c r="Q51" s="158"/>
      <c r="R51" s="158"/>
      <c r="S51" s="51"/>
      <c r="T51" s="46"/>
      <c r="U51" s="51"/>
      <c r="V51" s="218" t="s">
        <v>107</v>
      </c>
      <c r="W51" s="219"/>
      <c r="X51" s="174"/>
      <c r="Y51" s="174"/>
      <c r="Z51" s="219"/>
      <c r="AA51" s="220">
        <f>IF(OR($A$1=1,$A$1=2),"---",ROUND($AA$50*$AA$24*(1-0.59*$AA$50*$AA$24/$AA$21),2))</f>
        <v>41.55</v>
      </c>
      <c r="AB51" s="221"/>
      <c r="AC51" s="28"/>
      <c r="AD51" s="28"/>
      <c r="AE51" s="28"/>
      <c r="AF51" s="28"/>
      <c r="AG51" s="28"/>
      <c r="AH51" s="28"/>
      <c r="AI51" s="28"/>
      <c r="AJ51" s="28"/>
      <c r="AK51" s="28"/>
      <c r="AL51" s="28"/>
      <c r="AM51" s="28"/>
      <c r="AN51" s="28"/>
      <c r="AO51" s="28"/>
      <c r="AP51" s="28"/>
      <c r="AQ51" s="28"/>
      <c r="AR51" s="28"/>
      <c r="AS51" s="28"/>
      <c r="AT51" s="28"/>
    </row>
    <row r="52" spans="4:46" ht="20.100000000000001" customHeight="1">
      <c r="D52" s="506" t="s">
        <v>135</v>
      </c>
      <c r="E52" s="507"/>
      <c r="F52" s="18"/>
      <c r="G52" s="560">
        <f>J51</f>
        <v>7308</v>
      </c>
      <c r="H52" s="561"/>
      <c r="I52" s="222" t="str">
        <f>IF(G52&gt;J52,"&gt;","&lt;")</f>
        <v>&gt;</v>
      </c>
      <c r="J52" s="490">
        <f>J50</f>
        <v>2919</v>
      </c>
      <c r="K52" s="491"/>
      <c r="L52" s="351"/>
      <c r="M52" s="553" t="str">
        <f>IF(G52&gt;J52,"ok","no")</f>
        <v>ok</v>
      </c>
      <c r="N52" s="554"/>
      <c r="O52" s="123"/>
      <c r="P52" s="123"/>
      <c r="Q52" s="158"/>
      <c r="R52" s="158"/>
      <c r="S52" s="51"/>
      <c r="T52" s="46"/>
      <c r="U52" s="51"/>
      <c r="V52" s="223" t="s">
        <v>72</v>
      </c>
      <c r="W52" s="224"/>
      <c r="X52" s="225" t="s">
        <v>73</v>
      </c>
      <c r="Y52" s="201"/>
      <c r="Z52" s="224"/>
      <c r="AA52" s="226">
        <f>IF(OR($A$1=1,$A$1&lt;3),"---",ROUND(($Q$25*$AA$51*$AA$32*$AA$37^2)/100,0))</f>
        <v>33936</v>
      </c>
      <c r="AB52" s="98" t="s">
        <v>76</v>
      </c>
      <c r="AC52" s="28"/>
      <c r="AD52" s="28"/>
      <c r="AE52" s="28"/>
      <c r="AF52" s="28"/>
      <c r="AG52" s="28"/>
      <c r="AH52" s="28"/>
      <c r="AI52" s="28"/>
      <c r="AJ52" s="28"/>
      <c r="AK52" s="28"/>
      <c r="AL52" s="28"/>
      <c r="AM52" s="28"/>
      <c r="AN52" s="28"/>
      <c r="AO52" s="28"/>
      <c r="AP52" s="28"/>
      <c r="AQ52" s="28"/>
      <c r="AR52" s="28"/>
      <c r="AS52" s="28"/>
      <c r="AT52" s="28"/>
    </row>
    <row r="53" spans="4:46" ht="20.100000000000001" customHeight="1">
      <c r="D53" s="227"/>
      <c r="E53" s="227"/>
      <c r="F53" s="54"/>
      <c r="G53" s="54"/>
      <c r="H53" s="54"/>
      <c r="I53" s="54"/>
      <c r="J53" s="54"/>
      <c r="K53" s="54"/>
      <c r="L53" s="54"/>
      <c r="M53" s="123"/>
      <c r="N53" s="123"/>
      <c r="O53" s="123"/>
      <c r="P53" s="123"/>
      <c r="Q53" s="158"/>
      <c r="R53" s="158"/>
      <c r="S53" s="51"/>
      <c r="T53" s="46"/>
      <c r="U53" s="51"/>
      <c r="V53" s="299" t="s">
        <v>74</v>
      </c>
      <c r="W53" s="486" t="str">
        <f>IF(OR($A$1=1,$A$1=2)," ",IF($AA$52&gt;$AA$43,"MR&gt;Mu","MR&lt;Mu"))</f>
        <v>MR&gt;Mu</v>
      </c>
      <c r="X53" s="487"/>
      <c r="Y53" s="557" t="str">
        <f>IF(OR($A$1=1,$A$1&lt;3),"            --- ",IF($AA$43&lt;$AA$52,"Singly Reinforced Section","Doubly Reinforced Section"))</f>
        <v>Singly Reinforced Section</v>
      </c>
      <c r="Z53" s="484"/>
      <c r="AA53" s="484"/>
      <c r="AB53" s="558"/>
      <c r="AC53" s="28"/>
      <c r="AD53" s="28"/>
      <c r="AE53" s="28"/>
      <c r="AF53" s="28"/>
      <c r="AG53" s="28"/>
      <c r="AH53" s="28"/>
      <c r="AI53" s="28"/>
      <c r="AJ53" s="28"/>
      <c r="AK53" s="28"/>
      <c r="AL53" s="28"/>
      <c r="AM53" s="28"/>
      <c r="AN53" s="28"/>
      <c r="AO53" s="28"/>
      <c r="AP53" s="28"/>
      <c r="AQ53" s="28"/>
      <c r="AR53" s="28"/>
      <c r="AS53" s="28"/>
      <c r="AT53" s="28"/>
    </row>
    <row r="54" spans="4:46" ht="20.100000000000001" customHeight="1">
      <c r="D54" s="642" t="s">
        <v>39</v>
      </c>
      <c r="E54" s="643"/>
      <c r="F54" s="643"/>
      <c r="G54" s="644"/>
      <c r="H54" s="642" t="s">
        <v>40</v>
      </c>
      <c r="I54" s="643"/>
      <c r="J54" s="643"/>
      <c r="K54" s="643"/>
      <c r="L54" s="643"/>
      <c r="M54" s="643"/>
      <c r="N54" s="644"/>
      <c r="O54" s="123"/>
      <c r="P54" s="123"/>
      <c r="Q54" s="158"/>
      <c r="R54" s="158"/>
      <c r="S54" s="51"/>
      <c r="T54" s="46"/>
      <c r="U54" s="51"/>
      <c r="V54" s="30" t="s">
        <v>27</v>
      </c>
      <c r="W54" s="31"/>
      <c r="X54" s="228" t="s">
        <v>75</v>
      </c>
      <c r="Y54" s="38"/>
      <c r="Z54" s="38"/>
      <c r="AA54" s="95">
        <f>IF(OR($A$1=1,$A$1&lt;3),"---",ROUND($AA$43*100/($Q$25*$AA$32*$AA$37^2),3))</f>
        <v>3.9079999999999999</v>
      </c>
      <c r="AB54" s="98" t="s">
        <v>79</v>
      </c>
      <c r="AC54" s="28"/>
      <c r="AD54" s="28"/>
      <c r="AE54" s="28"/>
      <c r="AF54" s="28"/>
      <c r="AG54" s="28"/>
      <c r="AH54" s="28"/>
      <c r="AI54" s="28"/>
      <c r="AJ54" s="28"/>
      <c r="AK54" s="28"/>
      <c r="AL54" s="28"/>
      <c r="AM54" s="28"/>
      <c r="AN54" s="28"/>
      <c r="AO54" s="28"/>
      <c r="AP54" s="28"/>
      <c r="AQ54" s="28"/>
      <c r="AR54" s="28"/>
      <c r="AS54" s="28"/>
      <c r="AT54" s="28"/>
    </row>
    <row r="55" spans="4:46" ht="20.100000000000001" customHeight="1">
      <c r="D55" s="563" t="s">
        <v>38</v>
      </c>
      <c r="E55" s="564"/>
      <c r="F55" s="475">
        <f>ROUND(IF($A$1=1,$J$49*100*$H$47,IF(AND($A$1&gt;1,$A$1&lt;3),$J$49*100*$H$47,IF(AND($A$1&gt;2,$A$1&lt;4),$J$49*100*$H$47,IF(AND($A$1&gt;3,$A$1&lt;5),$J$49*$H$47*($Q$31*100),IF(AND($A$1&gt;4,$A$1&lt;6),$J$49*100*$H$47,IF(AND($A$1&gt;5,$A$1&lt;7),$J$49*$Q$31*100*$H$47,"---")))))),4)</f>
        <v>9.4543999999999997</v>
      </c>
      <c r="G55" s="510"/>
      <c r="H55" s="474" t="s">
        <v>46</v>
      </c>
      <c r="I55" s="474"/>
      <c r="J55" s="475">
        <f>ROUND(IF($A$1=1,0.0025*100*$Q$33*100,IF(AND($A$1&gt;1,$A$1&lt;3),0.0025*($Q$33*100)*($L$31*100+$Q$33*100),IF(AND($A$1&gt;2,$A$1&lt;4),0.0025*100*$Q$33*100,IF(AND($A$1&gt;3,$A$1&lt;5),0.0025*100*($Q$31*100),IF(AND($A$1&gt;4,$A$1&lt;6),0.0025*100*$Q$33*100,IF(AND($A$1&gt;5,$A$1&lt;7),0.0025*$Q$31*100*100,"---")))))),4)</f>
        <v>3.75</v>
      </c>
      <c r="K55" s="476"/>
      <c r="L55" s="477"/>
      <c r="M55" s="551" t="s">
        <v>37</v>
      </c>
      <c r="N55" s="552"/>
      <c r="O55" s="123"/>
      <c r="P55" s="123"/>
      <c r="Q55" s="50"/>
      <c r="R55" s="158"/>
      <c r="S55" s="51"/>
      <c r="T55" s="46"/>
      <c r="U55" s="51"/>
      <c r="V55" s="229" t="s">
        <v>82</v>
      </c>
      <c r="W55" s="230"/>
      <c r="X55" s="483" t="s">
        <v>86</v>
      </c>
      <c r="Y55" s="483"/>
      <c r="Z55" s="483"/>
      <c r="AA55" s="231">
        <f>IF(OR($A$1=1,$A$1=2),"---",0.85*($AA$21/$AA$24)*(1-SQRT(1-(2*AA$54)/(0.85*$AA$21))))</f>
        <v>1.3179940940063954E-3</v>
      </c>
      <c r="AB55" s="232" t="str">
        <f>IF(OR($A$1=1,$A$1=2),"--- ",IF(AND(14/$AA$24&lt;$AA$55,$AA$55&lt;0.75*$AA$49),"ok","no"))</f>
        <v>no</v>
      </c>
      <c r="AC55" s="28"/>
      <c r="AD55" s="28"/>
      <c r="AE55" s="28"/>
      <c r="AF55" s="28"/>
      <c r="AG55" s="28"/>
      <c r="AH55" s="28"/>
      <c r="AI55" s="28"/>
      <c r="AJ55" s="28"/>
      <c r="AK55" s="28"/>
      <c r="AL55" s="28"/>
      <c r="AM55" s="28"/>
      <c r="AN55" s="28"/>
      <c r="AO55" s="28"/>
      <c r="AP55" s="28"/>
      <c r="AQ55" s="28"/>
      <c r="AR55" s="28"/>
      <c r="AS55" s="28"/>
      <c r="AT55" s="28"/>
    </row>
    <row r="56" spans="4:46" ht="20.100000000000001" customHeight="1">
      <c r="D56" s="408" t="s">
        <v>35</v>
      </c>
      <c r="E56" s="409"/>
      <c r="F56" s="459">
        <f>ROUND(IF($A$1=1,$F$45*100*$H$47,IF(AND($A$1&gt;1,$A$1&lt;3),$F$45*100*$H$47,IF(AND($A$1&gt;2,$A$1&lt;4),$F$45*100*$H$47,IF(AND($A$1&gt;3,$A$1&lt;5),$F$45*$H$47*($Q$31*100),IF(AND($A$1&gt;4,$A$1&lt;6),$F$45*100*$H$47,IF(AND($A$1&gt;5,$A$1&lt;7),$F$45*$Q$31*100*$H$47,"---")))))),3)</f>
        <v>7.2569999999999997</v>
      </c>
      <c r="G56" s="460"/>
      <c r="H56" s="508" t="s">
        <v>37</v>
      </c>
      <c r="I56" s="509"/>
      <c r="J56" s="492"/>
      <c r="K56" s="493"/>
      <c r="L56" s="494"/>
      <c r="M56" s="508"/>
      <c r="N56" s="509"/>
      <c r="O56" s="123"/>
      <c r="P56" s="123"/>
      <c r="Q56" s="158"/>
      <c r="R56" s="158"/>
      <c r="S56" s="51"/>
      <c r="T56" s="46"/>
      <c r="U56" s="51"/>
      <c r="V56" s="115" t="s">
        <v>80</v>
      </c>
      <c r="W56" s="29"/>
      <c r="X56" s="480" t="str">
        <f>IF(OR($A$1=1,$A$1=2)," ",IF($AA$55&gt;$F$45,"  =             Pbd","use Asmin=  (14/Fy)bd"))</f>
        <v>use Asmin=  (14/Fy)bd</v>
      </c>
      <c r="Y56" s="481"/>
      <c r="Z56" s="482"/>
      <c r="AA56" s="157">
        <f>IF(OR($A$1=1,$A$1=2),"---",ROUND(IF($AA$55&gt;14/$AA$24,$AA$55*$AA$32*$AA$37,(14/$AA$24)*$AA$32*$AA$37),3))</f>
        <v>7.7</v>
      </c>
      <c r="AB56" s="98" t="s">
        <v>81</v>
      </c>
      <c r="AC56" s="28"/>
      <c r="AD56" s="28"/>
      <c r="AE56" s="28"/>
      <c r="AF56" s="28"/>
      <c r="AG56" s="28"/>
      <c r="AH56" s="28"/>
      <c r="AI56" s="28"/>
      <c r="AJ56" s="28"/>
      <c r="AK56" s="28"/>
      <c r="AL56" s="28"/>
      <c r="AM56" s="28"/>
      <c r="AN56" s="28"/>
      <c r="AO56" s="28"/>
      <c r="AP56" s="28"/>
      <c r="AQ56" s="28"/>
      <c r="AR56" s="28"/>
      <c r="AS56" s="28"/>
      <c r="AT56" s="28"/>
    </row>
    <row r="57" spans="4:46" ht="20.100000000000001" customHeight="1">
      <c r="D57" s="408" t="str">
        <f>IF(OR($Q$21=3000,$Q$21&gt;3000),"Provide DB Dia ø ","Provide   RB Dia ø ")</f>
        <v xml:space="preserve">Provide   RB Dia ø </v>
      </c>
      <c r="E57" s="409"/>
      <c r="F57" s="495">
        <v>12</v>
      </c>
      <c r="G57" s="497"/>
      <c r="H57" s="450" t="str">
        <f>IF(OR($Q$21=3000,$Q$21&gt;3000),"Provide DB Dia  ø ","Provide RB Dia   ø")</f>
        <v>Provide RB Dia   ø</v>
      </c>
      <c r="I57" s="450"/>
      <c r="J57" s="495">
        <v>9</v>
      </c>
      <c r="K57" s="496"/>
      <c r="L57" s="497"/>
      <c r="M57" s="508" t="s">
        <v>41</v>
      </c>
      <c r="N57" s="509"/>
      <c r="O57" s="123"/>
      <c r="P57" s="123"/>
      <c r="Q57" s="158"/>
      <c r="R57" s="158"/>
      <c r="S57" s="51"/>
      <c r="T57" s="46"/>
      <c r="U57" s="51"/>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row>
    <row r="58" spans="4:46" ht="20.100000000000001" customHeight="1">
      <c r="D58" s="408" t="str">
        <f>IF(OR($Q$21=3000,$Q$21&gt;3000),"Provide No.of  DB","Provide No.of RB ")</f>
        <v xml:space="preserve">Provide No.of RB </v>
      </c>
      <c r="E58" s="409"/>
      <c r="F58" s="495">
        <v>9</v>
      </c>
      <c r="G58" s="497"/>
      <c r="H58" s="386" t="str">
        <f>IF(OR($Q$21=3000,$Q$21&gt;3000),"Provide No.of  DB","Provide No.of  RB ")</f>
        <v xml:space="preserve">Provide No.of  RB </v>
      </c>
      <c r="I58" s="386"/>
      <c r="J58" s="498">
        <v>6</v>
      </c>
      <c r="K58" s="499"/>
      <c r="L58" s="500"/>
      <c r="M58" s="508" t="s">
        <v>133</v>
      </c>
      <c r="N58" s="509"/>
      <c r="O58" s="123"/>
      <c r="P58" s="123"/>
      <c r="Q58" s="158"/>
      <c r="R58" s="158"/>
      <c r="S58" s="51"/>
      <c r="T58" s="46"/>
      <c r="U58" s="51"/>
      <c r="V58" s="281" t="str">
        <f>IF(OR($A$1=1,$A$1&lt;5),"Can be neglected for Torsion Reinforced Design","Check Torsion  Effect:")</f>
        <v>Check Torsion  Effect:</v>
      </c>
      <c r="W58" s="273"/>
      <c r="X58" s="273"/>
      <c r="Y58" s="273"/>
      <c r="Z58" s="275"/>
      <c r="AA58" s="328" t="str">
        <f>IF(A1=5,"for case 5",IF(A1=6,"for case 6"," for case 5 ,6"))</f>
        <v>for case 5</v>
      </c>
      <c r="AB58" s="330"/>
      <c r="AC58" s="28"/>
      <c r="AD58" s="28"/>
      <c r="AE58" s="28"/>
      <c r="AF58" s="28"/>
      <c r="AG58" s="28"/>
      <c r="AH58" s="28"/>
      <c r="AI58" s="28"/>
      <c r="AJ58" s="28"/>
      <c r="AK58" s="28"/>
      <c r="AL58" s="28"/>
      <c r="AM58" s="28"/>
      <c r="AN58" s="28"/>
      <c r="AO58" s="28"/>
      <c r="AP58" s="28"/>
      <c r="AQ58" s="28"/>
      <c r="AR58" s="28"/>
      <c r="AS58" s="28"/>
      <c r="AT58" s="28"/>
    </row>
    <row r="59" spans="4:46" ht="20.100000000000001" customHeight="1">
      <c r="D59" s="488" t="s">
        <v>36</v>
      </c>
      <c r="E59" s="489"/>
      <c r="F59" s="504">
        <f>ROUND((PI()*$F$57^2/400*$F$58),3)</f>
        <v>10.179</v>
      </c>
      <c r="G59" s="505"/>
      <c r="H59" s="450" t="s">
        <v>47</v>
      </c>
      <c r="I59" s="450"/>
      <c r="J59" s="501">
        <f>ROUND((PI()*$J$57^2/400*$J$58),3)</f>
        <v>3.8170000000000002</v>
      </c>
      <c r="K59" s="502"/>
      <c r="L59" s="503"/>
      <c r="M59" s="550" t="s">
        <v>37</v>
      </c>
      <c r="N59" s="509"/>
      <c r="O59" s="123"/>
      <c r="P59" s="123"/>
      <c r="Q59" s="158"/>
      <c r="R59" s="158"/>
      <c r="S59" s="51"/>
      <c r="T59" s="46"/>
      <c r="U59" s="51"/>
      <c r="V59" s="580" t="s">
        <v>89</v>
      </c>
      <c r="W59" s="581"/>
      <c r="X59" s="581"/>
      <c r="Y59" s="581"/>
      <c r="Z59" s="581"/>
      <c r="AA59" s="582"/>
      <c r="AB59" s="507"/>
      <c r="AC59" s="28"/>
      <c r="AD59" s="28"/>
      <c r="AE59" s="28"/>
      <c r="AF59" s="28"/>
      <c r="AG59" s="28"/>
      <c r="AH59" s="28"/>
      <c r="AI59" s="28"/>
      <c r="AJ59" s="28"/>
      <c r="AK59" s="28"/>
      <c r="AL59" s="28"/>
      <c r="AM59" s="28"/>
      <c r="AN59" s="28"/>
      <c r="AO59" s="28"/>
      <c r="AP59" s="28"/>
      <c r="AQ59" s="28"/>
      <c r="AR59" s="28"/>
      <c r="AS59" s="28"/>
      <c r="AT59" s="28"/>
    </row>
    <row r="60" spans="4:46" ht="20.100000000000001" customHeight="1">
      <c r="D60" s="435" t="s">
        <v>48</v>
      </c>
      <c r="E60" s="436"/>
      <c r="F60" s="472" t="str">
        <f>IF(MAX($F$55:$G$56)&lt;$F$59," ok","no")</f>
        <v xml:space="preserve"> ok</v>
      </c>
      <c r="G60" s="473"/>
      <c r="H60" s="479" t="s">
        <v>187</v>
      </c>
      <c r="I60" s="479"/>
      <c r="J60" s="472" t="str">
        <f>IF(AND($A$1=4,(MAX($J$55:$J$56)&lt;$J$59))," ok",IF(AND($A$1=6,(MAX($J$55:$J$56)&lt;$J$59))," ok",IF(AND($A$1=1,$J$55&lt;$J$59),"ok",IF(OR(AND($A$1&lt;4,$A$1=5),($J$59&gt;$J$55)),"ok","no"))))</f>
        <v>ok</v>
      </c>
      <c r="K60" s="478"/>
      <c r="L60" s="473"/>
      <c r="M60" s="470"/>
      <c r="N60" s="471"/>
      <c r="O60" s="123"/>
      <c r="P60" s="123"/>
      <c r="Q60" s="158"/>
      <c r="R60" s="158"/>
      <c r="S60" s="51"/>
      <c r="T60" s="46"/>
      <c r="U60" s="51"/>
      <c r="V60" s="234" t="s">
        <v>92</v>
      </c>
      <c r="W60" s="431" t="s">
        <v>93</v>
      </c>
      <c r="X60" s="583"/>
      <c r="Y60" s="583"/>
      <c r="Z60" s="521"/>
      <c r="AA60" s="180">
        <f>IF(OR($A$1=1,$A$1&lt;5),"---",ROUND((0.13*$AA$28*SQRT($AA$21)*($AA$32^2*$AA$33))/100,0))</f>
        <v>844</v>
      </c>
      <c r="AB60" s="180" t="s">
        <v>76</v>
      </c>
      <c r="AC60" s="28"/>
      <c r="AD60" s="28"/>
      <c r="AE60" s="28"/>
      <c r="AF60" s="28"/>
      <c r="AG60" s="28"/>
      <c r="AH60" s="28"/>
      <c r="AI60" s="28"/>
      <c r="AJ60" s="28"/>
      <c r="AK60" s="28"/>
      <c r="AL60" s="28"/>
      <c r="AM60" s="28"/>
      <c r="AN60" s="28"/>
      <c r="AO60" s="28"/>
      <c r="AP60" s="28"/>
      <c r="AQ60" s="28"/>
      <c r="AR60" s="28"/>
      <c r="AS60" s="28"/>
      <c r="AT60" s="28"/>
    </row>
    <row r="61" spans="4:46" ht="20.100000000000001" customHeight="1">
      <c r="D61" s="334" t="str">
        <f>IF(AND($A$1=4,$Q$21&gt;=3000),"use DB ø.",IF(AND($A$1=4,$Q$21&lt;=3000),"use RB ø",IF(AND($A$1=6,$Q$21&gt;=3000),"use DBø",IF(AND($A$1=6,$Q$21&lt;=3000),"use RB ø ",IF(OR($A$1&gt;4,$A$1=5),"Provide spacing@","Provide spacing@ ")))))</f>
        <v>Provide spacing@</v>
      </c>
      <c r="E61" s="335"/>
      <c r="F61" s="485">
        <f>IF($A$1=1,ROUND(100/$F$58,0),IF($A$1=2,ROUND(100/$F$58,0),IF($A$1=3,ROUND(100/$F$58,0),IF($A$1=4,$F$57,IF($A$1=5,ROUND(100/$F$58,0),IF($A$1=6,$F$57))))))</f>
        <v>11</v>
      </c>
      <c r="G61" s="485"/>
      <c r="H61" s="235" t="str">
        <f>IF($A$1&lt;=3,"cm. ",IF(OR($A$1=4,$A$1=6),"Fix Conner",IF($A$1=5,"cm. ")))</f>
        <v xml:space="preserve">cm. </v>
      </c>
      <c r="I61" s="55" t="str">
        <f>IF($A$1=3,"@ ",IF($A$1=4,"@",IF(AND($A$1=2,$Q$21=3000),"use DB ø",IF(AND($A$1=2,$Q$21&lt;3000),"use RB ø","@"))))</f>
        <v>@</v>
      </c>
      <c r="J61" s="484">
        <f>IF($A$1=1,ROUND(100/$J$58,0),IF($A$1=2,$J$57,IF($A$1=3,ROUND(100/$J$58,0),IF($A$1=4,ROUND(100/$J$58,0),IF($A$1=5,ROUND(100/$J$58,0),IF($A$1=6,ROUND(100/$J$58,0)))))))</f>
        <v>17</v>
      </c>
      <c r="K61" s="484"/>
      <c r="L61" s="484"/>
      <c r="M61" s="486" t="str">
        <f>IF(OR($A$1=1,$A$1=3),"cm.",IF($A$1=2,"Fix all conner",IF($A$1=4,"cm",IF($A$1=5,"cm",IF($A$1=6,"cm")))))</f>
        <v>cm</v>
      </c>
      <c r="N61" s="487"/>
      <c r="O61" s="123"/>
      <c r="P61" s="123"/>
      <c r="Q61" s="158"/>
      <c r="R61" s="158"/>
      <c r="S61" s="51"/>
      <c r="T61" s="46"/>
      <c r="U61" s="51"/>
      <c r="V61" s="234" t="s">
        <v>91</v>
      </c>
      <c r="W61" s="416" t="s">
        <v>90</v>
      </c>
      <c r="X61" s="584"/>
      <c r="Y61" s="584"/>
      <c r="Z61" s="417"/>
      <c r="AA61" s="236">
        <f>IF(OR($A$1=1,$A$1&lt;5),"---",((1.05*$AA$28*SQRT($AA$21)*($AA$32^2*$AA$33))/SQRT(1+((0.4*$AA$44)/((($AA$32*AA$37)/($AA$32^2*$AA$33))*$AA$62*100))^2))/100)</f>
        <v>6805.1283278126621</v>
      </c>
      <c r="AB61" s="160" t="s">
        <v>76</v>
      </c>
      <c r="AC61" s="28"/>
      <c r="AD61" s="28"/>
      <c r="AE61" s="28"/>
      <c r="AF61" s="28"/>
      <c r="AG61" s="28"/>
      <c r="AH61" s="28"/>
      <c r="AI61" s="28"/>
      <c r="AJ61" s="28"/>
      <c r="AK61" s="28"/>
      <c r="AL61" s="28"/>
      <c r="AM61" s="28"/>
      <c r="AN61" s="28"/>
      <c r="AO61" s="28"/>
      <c r="AP61" s="28"/>
      <c r="AQ61" s="28"/>
      <c r="AR61" s="28"/>
      <c r="AS61" s="28"/>
      <c r="AT61" s="28"/>
    </row>
    <row r="62" spans="4:46" ht="20.100000000000001" customHeight="1">
      <c r="D62" s="123"/>
      <c r="E62" s="123"/>
      <c r="F62" s="237"/>
      <c r="G62" s="238"/>
      <c r="H62" s="238"/>
      <c r="I62" s="238"/>
      <c r="J62" s="238"/>
      <c r="K62" s="238"/>
      <c r="L62" s="238"/>
      <c r="M62" s="123"/>
      <c r="N62" s="123"/>
      <c r="O62" s="123"/>
      <c r="P62" s="123"/>
      <c r="Q62" s="158"/>
      <c r="R62" s="158"/>
      <c r="S62" s="51"/>
      <c r="T62" s="46"/>
      <c r="U62" s="51"/>
      <c r="V62" s="239" t="s">
        <v>70</v>
      </c>
      <c r="W62" s="19"/>
      <c r="X62" s="134"/>
      <c r="Y62" s="134"/>
      <c r="Z62" s="33"/>
      <c r="AA62" s="240">
        <f>IF(OR($A$1=1,$A$1&lt;4),"---",IF($A$1=5,ROUND($J$41*$N$15*($N$15/2)*(($AA$38/2)-($AA$37/100))*($N$15+$AA$38),0),IF($A$1=6,ROUND($J$41*$N$15*($N$15/2)*(($AA$38/2)-($AA$37/100))*($Q$15+$AA$38),0),"--")))</f>
        <v>6682</v>
      </c>
      <c r="AB62" s="157" t="s">
        <v>76</v>
      </c>
      <c r="AC62" s="28"/>
      <c r="AD62" s="28"/>
      <c r="AE62" s="28"/>
      <c r="AF62" s="28"/>
      <c r="AG62" s="28"/>
      <c r="AH62" s="28"/>
      <c r="AI62" s="28"/>
      <c r="AJ62" s="28"/>
      <c r="AK62" s="28"/>
      <c r="AL62" s="28"/>
      <c r="AM62" s="28"/>
      <c r="AN62" s="28"/>
      <c r="AO62" s="28"/>
      <c r="AP62" s="28"/>
      <c r="AQ62" s="28"/>
      <c r="AR62" s="28"/>
      <c r="AS62" s="28"/>
      <c r="AT62" s="28"/>
    </row>
    <row r="63" spans="4:46" ht="20.100000000000001" customHeight="1">
      <c r="D63" s="123"/>
      <c r="E63" s="123"/>
      <c r="F63" s="238"/>
      <c r="G63" s="238"/>
      <c r="H63" s="238"/>
      <c r="I63" s="238"/>
      <c r="J63" s="123"/>
      <c r="K63" s="123"/>
      <c r="L63" s="54"/>
      <c r="M63" s="123"/>
      <c r="N63" s="123"/>
      <c r="O63" s="123"/>
      <c r="P63" s="123"/>
      <c r="Q63" s="158"/>
      <c r="R63" s="158"/>
      <c r="S63" s="77"/>
      <c r="T63" s="123"/>
      <c r="U63" s="51"/>
      <c r="V63" s="287" t="s">
        <v>74</v>
      </c>
      <c r="W63" s="464" t="str">
        <f>IF(OR($A$1=1,$A$1&lt;5),"---",IF($AA$62&gt;$AA$60,"Tu &gt;Tu min","Tu &lt; Tu min"))</f>
        <v>Tu &gt;Tu min</v>
      </c>
      <c r="X63" s="465"/>
      <c r="Y63" s="466" t="str">
        <f>IF(OR($A$1=1,$A$1&lt;5),"---",IF($AA$62&gt;$AA$60,"Torsion Reinf. Needed","Torsion Reinf. Needless"))</f>
        <v>Torsion Reinf. Needed</v>
      </c>
      <c r="Z63" s="466"/>
      <c r="AA63" s="466"/>
      <c r="AB63" s="467"/>
      <c r="AC63" s="28"/>
      <c r="AD63" s="28"/>
      <c r="AE63" s="28"/>
      <c r="AF63" s="28"/>
      <c r="AG63" s="28"/>
      <c r="AH63" s="28"/>
      <c r="AI63" s="28"/>
      <c r="AJ63" s="28"/>
      <c r="AK63" s="28"/>
      <c r="AL63" s="28"/>
      <c r="AM63" s="28"/>
      <c r="AN63" s="28"/>
      <c r="AO63" s="28"/>
      <c r="AP63" s="28"/>
      <c r="AQ63" s="28"/>
      <c r="AR63" s="28"/>
      <c r="AS63" s="28"/>
      <c r="AT63" s="28"/>
    </row>
    <row r="64" spans="4:46" ht="20.100000000000001" customHeight="1">
      <c r="D64" s="123"/>
      <c r="E64" s="123"/>
      <c r="F64" s="238"/>
      <c r="G64" s="238"/>
      <c r="H64" s="238"/>
      <c r="I64" s="238"/>
      <c r="J64" s="123"/>
      <c r="K64" s="123"/>
      <c r="L64" s="54"/>
      <c r="M64" s="123"/>
      <c r="N64" s="123"/>
      <c r="O64" s="123"/>
      <c r="P64" s="123"/>
      <c r="Q64" s="158"/>
      <c r="R64" s="158"/>
      <c r="S64" s="77"/>
      <c r="T64" s="123"/>
      <c r="U64" s="51"/>
      <c r="V64" s="288" t="s">
        <v>74</v>
      </c>
      <c r="W64" s="468" t="str">
        <f>IF(OR($A$1=1,$A$1&lt;5),"---",IF(Y63="Torsion Reinf. Needless","   ",IF($AA$61&gt;$AA$62,"Tu max &gt; Tu","Tu max &lt; Tu")))</f>
        <v>Tu max &gt; Tu</v>
      </c>
      <c r="X64" s="469"/>
      <c r="Y64" s="462" t="str">
        <f>IF(OR($A$1=1,$A$1&lt;5),"---",IF($AA$61&gt;$AA$62,"Beam  Section to apply","Change as Beam Section"))</f>
        <v>Beam  Section to apply</v>
      </c>
      <c r="Z64" s="462"/>
      <c r="AA64" s="462"/>
      <c r="AB64" s="463"/>
      <c r="AC64" s="28"/>
      <c r="AD64" s="28"/>
      <c r="AE64" s="28"/>
      <c r="AF64" s="28"/>
      <c r="AG64" s="28"/>
      <c r="AH64" s="28"/>
      <c r="AI64" s="28"/>
      <c r="AJ64" s="28"/>
      <c r="AK64" s="28"/>
      <c r="AL64" s="28"/>
      <c r="AM64" s="28"/>
      <c r="AN64" s="28"/>
      <c r="AO64" s="28"/>
      <c r="AP64" s="28"/>
      <c r="AQ64" s="28"/>
      <c r="AR64" s="28"/>
      <c r="AS64" s="28"/>
      <c r="AT64" s="28"/>
    </row>
    <row r="65" spans="3:46" ht="20.100000000000001" customHeight="1">
      <c r="D65" s="123"/>
      <c r="E65" s="123"/>
      <c r="F65" s="242"/>
      <c r="G65" s="242"/>
      <c r="H65" s="242"/>
      <c r="I65" s="242"/>
      <c r="J65" s="123"/>
      <c r="K65" s="123"/>
      <c r="L65" s="54"/>
      <c r="M65" s="123"/>
      <c r="N65" s="123"/>
      <c r="U65" s="51"/>
      <c r="V65" s="233" t="str">
        <f>IF(OR($A$1=1,$A$1&lt;5),"---",IF(Y63="Torsion Reinf. Needed","Torsin and Shear Reinf. Design"," Reinf. Design Can be neglected because Tu &lt; Tu min"))</f>
        <v>Torsin and Shear Reinf. Design</v>
      </c>
      <c r="W65" s="87"/>
      <c r="X65" s="87"/>
      <c r="Y65" s="87"/>
      <c r="Z65" s="57"/>
      <c r="AA65" s="57"/>
      <c r="AB65" s="244"/>
      <c r="AC65" s="28"/>
      <c r="AD65" s="28"/>
      <c r="AE65" s="28"/>
      <c r="AF65" s="28"/>
      <c r="AG65" s="28"/>
      <c r="AH65" s="28"/>
      <c r="AI65" s="28"/>
      <c r="AJ65" s="28"/>
      <c r="AK65" s="28"/>
      <c r="AL65" s="28"/>
      <c r="AM65" s="28"/>
      <c r="AN65" s="28"/>
      <c r="AO65" s="28"/>
      <c r="AP65" s="28"/>
      <c r="AQ65" s="28"/>
      <c r="AR65" s="28"/>
      <c r="AS65" s="28"/>
      <c r="AT65" s="28"/>
    </row>
    <row r="66" spans="3:46" ht="20.100000000000001" customHeight="1">
      <c r="F66" s="238"/>
      <c r="G66" s="238"/>
      <c r="H66" s="238"/>
      <c r="I66" s="238"/>
      <c r="P66" s="246"/>
      <c r="U66" s="51"/>
      <c r="V66" s="282" t="s">
        <v>94</v>
      </c>
      <c r="W66" s="283"/>
      <c r="X66" s="283"/>
      <c r="Y66" s="283"/>
      <c r="Z66" s="284"/>
      <c r="AA66" s="284"/>
      <c r="AB66" s="24"/>
      <c r="AC66" s="28"/>
      <c r="AD66" s="28"/>
      <c r="AE66" s="28"/>
      <c r="AF66" s="28"/>
      <c r="AG66" s="28"/>
      <c r="AH66" s="28"/>
      <c r="AI66" s="28"/>
      <c r="AJ66" s="28"/>
      <c r="AK66" s="28"/>
      <c r="AL66" s="28"/>
      <c r="AM66" s="28"/>
      <c r="AN66" s="28"/>
      <c r="AO66" s="28"/>
      <c r="AP66" s="28"/>
      <c r="AQ66" s="28"/>
      <c r="AR66" s="28"/>
      <c r="AS66" s="28"/>
      <c r="AT66" s="28"/>
    </row>
    <row r="67" spans="3:46" ht="20.100000000000001" customHeight="1">
      <c r="D67" s="328" t="s">
        <v>207</v>
      </c>
      <c r="E67" s="329"/>
      <c r="F67" s="329"/>
      <c r="G67" s="329"/>
      <c r="H67" s="330"/>
      <c r="I67" s="328" t="s">
        <v>216</v>
      </c>
      <c r="J67" s="329"/>
      <c r="K67" s="329"/>
      <c r="L67" s="329"/>
      <c r="M67" s="329"/>
      <c r="N67" s="330"/>
      <c r="U67" s="51"/>
      <c r="V67" s="248" t="s">
        <v>95</v>
      </c>
      <c r="W67" s="57"/>
      <c r="X67" s="57"/>
      <c r="Y67" s="244"/>
      <c r="Z67" s="57"/>
      <c r="AA67" s="57"/>
      <c r="AB67" s="244"/>
      <c r="AC67" s="28"/>
      <c r="AD67" s="28"/>
      <c r="AE67" s="28"/>
      <c r="AF67" s="28"/>
      <c r="AG67" s="28"/>
      <c r="AH67" s="28"/>
      <c r="AI67" s="28"/>
      <c r="AJ67" s="28"/>
      <c r="AK67" s="28"/>
      <c r="AL67" s="28"/>
      <c r="AM67" s="28"/>
      <c r="AN67" s="28"/>
      <c r="AO67" s="28"/>
      <c r="AP67" s="28"/>
      <c r="AQ67" s="28"/>
      <c r="AR67" s="28"/>
      <c r="AS67" s="28"/>
      <c r="AT67" s="28"/>
    </row>
    <row r="68" spans="3:46" ht="20.100000000000001" customHeight="1">
      <c r="C68" s="54"/>
      <c r="D68" s="95" t="s">
        <v>210</v>
      </c>
      <c r="E68" s="308" t="str">
        <f>IF(AND($Q$21&gt;=3000,$A$1=1),"DB",IF(AND($Q$21&lt;3000,$A$1=1),"RB","   "))</f>
        <v xml:space="preserve">   </v>
      </c>
      <c r="F68" s="308" t="str">
        <f>IF($A$1=1,$F$57    &amp;" mm."," ")</f>
        <v xml:space="preserve"> </v>
      </c>
      <c r="G68" s="309" t="str">
        <f>IF($A$1=1,"@"," ")</f>
        <v xml:space="preserve"> </v>
      </c>
      <c r="H68" s="309" t="str">
        <f>IF($A$1=1,F$61 &amp;"  cm.","  ")</f>
        <v xml:space="preserve">  </v>
      </c>
      <c r="I68" s="310" t="str">
        <f>IF(AND($Q$21&gt;=3000,$A$1=1),"DB",IF(AND($Q$21&lt;3000,$A$1=1),"RB","   "))</f>
        <v xml:space="preserve">   </v>
      </c>
      <c r="J68" s="311" t="str">
        <f>IF($A$1=1,J57  &amp;" mm."," ")</f>
        <v xml:space="preserve"> </v>
      </c>
      <c r="K68" s="312" t="str">
        <f>IF($A$1=1,"@"," ")</f>
        <v xml:space="preserve"> </v>
      </c>
      <c r="L68" s="312" t="str">
        <f>IF($A$1=1,J$61&amp;" cm.", " ")</f>
        <v xml:space="preserve"> </v>
      </c>
      <c r="M68" s="313"/>
      <c r="N68" s="314"/>
      <c r="U68" s="51"/>
      <c r="V68" s="241" t="s">
        <v>97</v>
      </c>
      <c r="W68" s="555" t="s">
        <v>99</v>
      </c>
      <c r="X68" s="555"/>
      <c r="Y68" s="555"/>
      <c r="Z68" s="555"/>
      <c r="AA68" s="152">
        <f>IF(OR($A$1=1,$A$1&lt;5),"---",IF(W63="Tu &gt;Tu min",ROUND(((0.21*$AA$28*SQRT($AA$21)*$AA$32^2*$AA$33/SQRT(1+((0.4*$AA$44)/((($AA$32*AA$37)/($AA$32^2*$AA$33))*$AA$62*100))^2))/100),0),"---"))</f>
        <v>1361</v>
      </c>
      <c r="AB68" s="152" t="s">
        <v>76</v>
      </c>
      <c r="AC68" s="28"/>
      <c r="AD68" s="28"/>
      <c r="AE68" s="28"/>
      <c r="AF68" s="28"/>
      <c r="AG68" s="28"/>
      <c r="AH68" s="28"/>
      <c r="AI68" s="28"/>
      <c r="AJ68" s="28"/>
      <c r="AK68" s="28"/>
      <c r="AL68" s="28"/>
      <c r="AM68" s="28"/>
      <c r="AN68" s="28"/>
      <c r="AO68" s="28"/>
      <c r="AP68" s="28"/>
      <c r="AQ68" s="28"/>
      <c r="AR68" s="28"/>
      <c r="AS68" s="28"/>
      <c r="AT68" s="28"/>
    </row>
    <row r="69" spans="3:46" ht="20.100000000000001" customHeight="1">
      <c r="C69" s="54"/>
      <c r="D69" s="108" t="s">
        <v>208</v>
      </c>
      <c r="E69" s="310" t="str">
        <f>IF(AND($Q$21&gt;=3000,$A$1=2),"DB",IF(AND($Q$21&lt;3000,$A$1=2),"RB","   "))</f>
        <v xml:space="preserve">   </v>
      </c>
      <c r="F69" s="312" t="str">
        <f>IF($A$1=2,$F$57    &amp;"  mm."," ")</f>
        <v xml:space="preserve"> </v>
      </c>
      <c r="G69" s="312" t="str">
        <f>IF($A$1=2,"@"," ")</f>
        <v xml:space="preserve"> </v>
      </c>
      <c r="H69" s="312" t="str">
        <f>IF($A$1=2,F$61 &amp;"  cm.","  ")</f>
        <v xml:space="preserve">  </v>
      </c>
      <c r="I69" s="315" t="str">
        <f>IF(AND($Q$21&gt;=3000,$A$1=2),"DB",IF(AND($Q$21&lt;3000,$A$1=2),"RB","   "))</f>
        <v xml:space="preserve">   </v>
      </c>
      <c r="J69" s="312" t="str">
        <f>IF($A$1=2,J57  &amp;" mm."," ")</f>
        <v xml:space="preserve"> </v>
      </c>
      <c r="K69" s="332" t="str">
        <f>IF($A$1=2,"fix all conner"," ")</f>
        <v xml:space="preserve"> </v>
      </c>
      <c r="L69" s="332"/>
      <c r="M69" s="313"/>
      <c r="N69" s="314"/>
      <c r="U69" s="51"/>
      <c r="V69" s="241" t="s">
        <v>96</v>
      </c>
      <c r="W69" s="88"/>
      <c r="X69" s="88"/>
      <c r="Y69" s="89"/>
      <c r="Z69" s="28"/>
      <c r="AA69" s="28"/>
      <c r="AB69" s="104"/>
      <c r="AC69" s="28"/>
      <c r="AD69" s="28"/>
      <c r="AE69" s="28"/>
      <c r="AF69" s="28"/>
      <c r="AG69" s="28"/>
      <c r="AH69" s="28"/>
      <c r="AI69" s="28"/>
      <c r="AJ69" s="28"/>
      <c r="AK69" s="28"/>
      <c r="AL69" s="28"/>
      <c r="AM69" s="28"/>
      <c r="AN69" s="28"/>
      <c r="AO69" s="28"/>
      <c r="AP69" s="28"/>
      <c r="AQ69" s="28"/>
      <c r="AR69" s="28"/>
      <c r="AS69" s="28"/>
      <c r="AT69" s="28"/>
    </row>
    <row r="70" spans="3:46" ht="20.100000000000001" customHeight="1">
      <c r="C70" s="54"/>
      <c r="D70" s="108" t="s">
        <v>209</v>
      </c>
      <c r="E70" s="310" t="str">
        <f>IF(AND($Q$21&gt;=3000,$A$1=3),"DB",IF(AND($Q$21&lt;3000,$A$1=3),"RB","   "))</f>
        <v xml:space="preserve">   </v>
      </c>
      <c r="F70" s="312" t="str">
        <f>IF($A$1=3,$F$57    &amp;"mm."," ")</f>
        <v xml:space="preserve"> </v>
      </c>
      <c r="G70" s="312" t="str">
        <f>IF($A$1=3,"@"," ")</f>
        <v xml:space="preserve"> </v>
      </c>
      <c r="H70" s="312" t="str">
        <f>IF($A$1=3,F$61 &amp;" cm.","  ")</f>
        <v xml:space="preserve">  </v>
      </c>
      <c r="I70" s="315" t="str">
        <f>IF(AND($Q$21&gt;=3000,$A$1=3),"DB",IF(AND($Q$21&lt;3000,$A$1=3),"RB","   "))</f>
        <v xml:space="preserve">   </v>
      </c>
      <c r="J70" s="312" t="str">
        <f>IF($A$1=3,$J$57 &amp;" mm."," ")</f>
        <v xml:space="preserve"> </v>
      </c>
      <c r="K70" s="312" t="str">
        <f>IF($A$1=3,"@"," ")</f>
        <v xml:space="preserve"> </v>
      </c>
      <c r="L70" s="311" t="str">
        <f>IF($A$1=3,J$61&amp;"cm."," ")</f>
        <v xml:space="preserve"> </v>
      </c>
      <c r="M70" s="566" t="str">
        <f>IF($A$1=3,$Q$33*100," ")</f>
        <v xml:space="preserve"> </v>
      </c>
      <c r="N70" s="567"/>
      <c r="U70" s="51"/>
      <c r="V70" s="241" t="s">
        <v>98</v>
      </c>
      <c r="W70" s="556" t="s">
        <v>100</v>
      </c>
      <c r="X70" s="556"/>
      <c r="Y70" s="556"/>
      <c r="Z70" s="556"/>
      <c r="AA70" s="98">
        <f>IF(OR($A$1=1,$A$1&lt;5),"---",IF($W$63="Tu &gt;Tu min",ROUND(($W$45*0.53*SQRT($AA$21)*$AA$32*$AA$37)/SQRT(1+((2.5*(($AA$32*$AA$37)/($AA$32^2*$AA$33))*$AA$62)/$AA$44*100)^2),0),"---"))</f>
        <v>588</v>
      </c>
      <c r="AB70" s="98" t="s">
        <v>77</v>
      </c>
      <c r="AC70" s="28"/>
      <c r="AD70" s="28"/>
      <c r="AE70" s="28"/>
      <c r="AF70" s="28"/>
      <c r="AG70" s="28"/>
      <c r="AH70" s="28"/>
      <c r="AI70" s="28"/>
      <c r="AJ70" s="28"/>
      <c r="AK70" s="28"/>
      <c r="AL70" s="28"/>
      <c r="AM70" s="28"/>
      <c r="AN70" s="28"/>
      <c r="AO70" s="28"/>
      <c r="AP70" s="28"/>
      <c r="AQ70" s="28"/>
      <c r="AR70" s="28"/>
      <c r="AS70" s="28"/>
      <c r="AT70" s="28"/>
    </row>
    <row r="71" spans="3:46" ht="20.100000000000001" customHeight="1">
      <c r="C71" s="54"/>
      <c r="D71" s="108" t="s">
        <v>211</v>
      </c>
      <c r="E71" s="310" t="str">
        <f>IF(AND($Q$21&gt;=3000,$A$1=4),"DB",IF(AND($Q$21&lt;3000,$A$1=4),"RB","   "))</f>
        <v xml:space="preserve">   </v>
      </c>
      <c r="F71" s="312" t="str">
        <f>IF($A$1=4,$F$57    &amp;"mm."," ")</f>
        <v xml:space="preserve"> </v>
      </c>
      <c r="G71" s="332" t="str">
        <f>IF($A$1=4,"fix all conner"," ")</f>
        <v xml:space="preserve"> </v>
      </c>
      <c r="H71" s="332"/>
      <c r="I71" s="315" t="str">
        <f>IF(AND($Q$21&gt;=3000,$A$1=4),"DB",IF(AND($Q$21&lt;3000,$A$1=4),"RB","   "))</f>
        <v xml:space="preserve">   </v>
      </c>
      <c r="J71" s="312" t="str">
        <f>IF($A$1=4,$J$57  &amp;"mm."," ")</f>
        <v xml:space="preserve"> </v>
      </c>
      <c r="K71" s="312" t="str">
        <f>IF($A$1=4,"@"," ")</f>
        <v xml:space="preserve"> </v>
      </c>
      <c r="L71" s="312" t="str">
        <f>IF($A$1=4,J$61&amp;"cm."," ")</f>
        <v xml:space="preserve"> </v>
      </c>
      <c r="M71" s="313"/>
      <c r="N71" s="314"/>
      <c r="U71" s="51"/>
      <c r="V71" s="287" t="s">
        <v>74</v>
      </c>
      <c r="W71" s="559" t="str">
        <f>IF(AA44&gt;AA70,"Vu &gt;øVc","Vu&lt;øVc")</f>
        <v>Vu &gt;øVc</v>
      </c>
      <c r="X71" s="559"/>
      <c r="Y71" s="444" t="str">
        <f>IF(A1&lt;3,"---",IF(W71="Vu &gt;øVc","Shear Reinf.Needs","Can be neglected for Shear Reinf.Design"))</f>
        <v>Shear Reinf.Needs</v>
      </c>
      <c r="Z71" s="485"/>
      <c r="AA71" s="485"/>
      <c r="AB71" s="445"/>
      <c r="AC71" s="28"/>
      <c r="AD71" s="28"/>
      <c r="AE71" s="28"/>
      <c r="AF71" s="28"/>
      <c r="AG71" s="28"/>
      <c r="AH71" s="28"/>
      <c r="AI71" s="28"/>
      <c r="AJ71" s="28"/>
      <c r="AK71" s="28"/>
      <c r="AL71" s="28"/>
      <c r="AM71" s="28"/>
      <c r="AN71" s="28"/>
      <c r="AO71" s="28"/>
      <c r="AP71" s="28"/>
      <c r="AQ71" s="28"/>
      <c r="AR71" s="28"/>
      <c r="AS71" s="28"/>
      <c r="AT71" s="28"/>
    </row>
    <row r="72" spans="3:46" ht="20.100000000000001" customHeight="1">
      <c r="C72" s="54"/>
      <c r="D72" s="108" t="s">
        <v>212</v>
      </c>
      <c r="E72" s="310" t="str">
        <f>IF(AND($Q$21&gt;=3000,$A$1=5),"DB",IF(AND($Q$21&lt;3000,$A$1=5),"RB","   "))</f>
        <v>RB</v>
      </c>
      <c r="F72" s="312" t="str">
        <f>IF($A$1=5,$F$57    &amp;" mm."," ")</f>
        <v>12 mm.</v>
      </c>
      <c r="G72" s="309" t="str">
        <f>IF($A$1=5,"@"," ")</f>
        <v>@</v>
      </c>
      <c r="H72" s="309" t="str">
        <f>IF($A$1=5,F$61 &amp;"cm."," ")</f>
        <v>11cm.</v>
      </c>
      <c r="I72" s="316" t="str">
        <f>IF(AND($Q$21&gt;=3000,$A$1=5),"DB",IF(AND($Q$21&lt;3000,$A$1=5),"RB","   "))</f>
        <v>RB</v>
      </c>
      <c r="J72" s="308" t="str">
        <f>IF($A$1=5,$J$57  &amp;" mm."," ")</f>
        <v>9 mm.</v>
      </c>
      <c r="K72" s="308" t="str">
        <f>IF($A$1=5,"@"," ")</f>
        <v>@</v>
      </c>
      <c r="L72" s="308" t="str">
        <f>IF($A$1=5,J$61&amp;"cm."," ")</f>
        <v>17cm.</v>
      </c>
      <c r="M72" s="568">
        <f>IF($A$1=5,$Q$33*100," ")</f>
        <v>15</v>
      </c>
      <c r="N72" s="569"/>
      <c r="U72" s="51"/>
      <c r="V72" s="289" t="s">
        <v>128</v>
      </c>
      <c r="W72" s="248" t="s">
        <v>129</v>
      </c>
      <c r="X72" s="58"/>
      <c r="Y72" s="250"/>
      <c r="Z72" s="251"/>
      <c r="AA72" s="249" t="str">
        <f>IF(OR($A$1=1,$A$1&lt;5),"---",IF(AA70="---"," ",IF(OR($W$64="Tu max &gt; Tu",($AA$44-$AA$70)&gt;(2.1*$W$45*$AA$21^0.5*$AA$32*$AA$33)),"ok ","Change as beam")))</f>
        <v xml:space="preserve">ok </v>
      </c>
      <c r="AB72" s="104"/>
      <c r="AC72" s="28"/>
      <c r="AD72" s="28"/>
      <c r="AE72" s="28"/>
      <c r="AF72" s="28"/>
      <c r="AG72" s="28"/>
      <c r="AH72" s="28"/>
      <c r="AI72" s="28"/>
      <c r="AJ72" s="28"/>
      <c r="AK72" s="28"/>
      <c r="AL72" s="28"/>
      <c r="AM72" s="28"/>
      <c r="AN72" s="28"/>
      <c r="AO72" s="28"/>
      <c r="AP72" s="28"/>
      <c r="AQ72" s="28"/>
      <c r="AR72" s="28"/>
      <c r="AS72" s="28"/>
      <c r="AT72" s="28"/>
    </row>
    <row r="73" spans="3:46" ht="20.100000000000001" customHeight="1">
      <c r="C73" s="54"/>
      <c r="D73" s="240" t="s">
        <v>213</v>
      </c>
      <c r="E73" s="309" t="str">
        <f>IF(AND($Q$21&gt;=3000,$A$1=6),"DB",IF(AND($Q$21&lt;3000,$A$1=6),"RB","   "))</f>
        <v xml:space="preserve">   </v>
      </c>
      <c r="F73" s="309" t="str">
        <f>IF($A$1=6,$F$57    &amp;" mm."," ")</f>
        <v xml:space="preserve"> </v>
      </c>
      <c r="G73" s="333" t="str">
        <f>IF($A$1=6,"fix all conner"," ")</f>
        <v xml:space="preserve"> </v>
      </c>
      <c r="H73" s="333"/>
      <c r="I73" s="315" t="str">
        <f>IF(AND($Q$21&gt;=3000,$A$1=6),"DB",IF(AND($Q$21&lt;3000,$A$1=6),"RB","   "))</f>
        <v xml:space="preserve">   </v>
      </c>
      <c r="J73" s="312" t="str">
        <f>IF($A$1=6,J62  &amp;"   mm."," ")</f>
        <v xml:space="preserve"> </v>
      </c>
      <c r="K73" s="312" t="str">
        <f>IF($A$1=6,"@"," ")</f>
        <v xml:space="preserve"> </v>
      </c>
      <c r="L73" s="312" t="str">
        <f>IF($A$1=6,J$61&amp;" cm."," ")</f>
        <v xml:space="preserve"> </v>
      </c>
      <c r="M73" s="313"/>
      <c r="N73" s="314"/>
      <c r="U73" s="51"/>
      <c r="V73" s="548" t="str">
        <f>IF(OR($A$1=1,$A$1&lt;5),"---",IF($V$65="Torsin and Shear Reinf. Design","Compute the strirup(2 leg) area required for shear",IF(V65=" Reinf. Design Can be neglected because Tu &lt; Tu min"," ")))</f>
        <v>Compute the strirup(2 leg) area required for shear</v>
      </c>
      <c r="W73" s="549"/>
      <c r="X73" s="549"/>
      <c r="Y73" s="549"/>
      <c r="Z73" s="549"/>
      <c r="AA73" s="273" t="str">
        <f>IF(OR($A$1=1,$A$1&lt;5)," ",IF(V73="Asmin =(3.5bw)/fvy",3.5*$AA$32/$AA$25,"   "))</f>
        <v xml:space="preserve">   </v>
      </c>
      <c r="AB73" s="275"/>
      <c r="AC73" s="28"/>
      <c r="AD73" s="28"/>
      <c r="AE73" s="28"/>
      <c r="AF73" s="28"/>
      <c r="AG73" s="28"/>
      <c r="AH73" s="28"/>
      <c r="AI73" s="28"/>
      <c r="AJ73" s="28"/>
      <c r="AK73" s="28"/>
      <c r="AL73" s="28"/>
      <c r="AM73" s="28"/>
      <c r="AN73" s="28"/>
      <c r="AO73" s="28"/>
      <c r="AP73" s="28"/>
      <c r="AQ73" s="28"/>
      <c r="AR73" s="28"/>
      <c r="AS73" s="28"/>
      <c r="AT73" s="28"/>
    </row>
    <row r="74" spans="3:46" ht="20.100000000000001" customHeight="1">
      <c r="D74" s="54"/>
      <c r="E74" s="54"/>
      <c r="F74" s="54"/>
      <c r="G74" s="54"/>
      <c r="H74" s="54"/>
      <c r="I74" s="54"/>
      <c r="J74" s="54"/>
      <c r="K74" s="54"/>
      <c r="L74" s="54"/>
      <c r="M74" s="123"/>
      <c r="N74" s="123"/>
      <c r="U74" s="51"/>
      <c r="V74" s="248" t="str">
        <f>IF(OR($A$1=1,$A$1&lt;5)," ",IF($V$73="Compute the strirup(2 leg) area required for shear","Av/s=Vu-øVc/øfyd","  "))</f>
        <v>Av/s=Vu-øVc/øfyd</v>
      </c>
      <c r="W74" s="88"/>
      <c r="X74" s="88"/>
      <c r="Y74" s="88"/>
      <c r="Z74" s="88"/>
      <c r="AA74" s="252">
        <f>IF(OR($A$1=1,$A$1&lt;5)," ",IF($V$74="Av/s=Vu-øVc/øfyd",ROUND(($AA$44-$AA$70)/($W$45*$AA$25*$AA$37),2)," "))</f>
        <v>0.02</v>
      </c>
      <c r="AB74" s="253" t="s">
        <v>120</v>
      </c>
      <c r="AC74" s="28"/>
      <c r="AD74" s="28"/>
      <c r="AE74" s="28"/>
      <c r="AF74" s="28"/>
      <c r="AG74" s="28"/>
      <c r="AH74" s="28"/>
      <c r="AI74" s="28"/>
      <c r="AJ74" s="28"/>
      <c r="AK74" s="28"/>
      <c r="AL74" s="28"/>
      <c r="AM74" s="28"/>
      <c r="AN74" s="28"/>
      <c r="AO74" s="28"/>
      <c r="AP74" s="28"/>
      <c r="AQ74" s="28"/>
      <c r="AR74" s="28"/>
      <c r="AS74" s="28"/>
      <c r="AT74" s="28"/>
    </row>
    <row r="75" spans="3:46" ht="20.100000000000001" customHeight="1">
      <c r="D75" s="331"/>
      <c r="E75" s="331"/>
      <c r="F75" s="331"/>
      <c r="G75" s="331"/>
      <c r="H75" s="331"/>
      <c r="I75" s="331"/>
      <c r="J75" s="331"/>
      <c r="K75" s="331"/>
      <c r="L75" s="331"/>
      <c r="M75" s="331"/>
      <c r="N75" s="331"/>
      <c r="O75" s="331"/>
      <c r="U75" s="51"/>
      <c r="V75" s="272" t="str">
        <f>IF(OR($A$1=1,$A$1&lt;5),"---",IF($V$65="Torsin and Shear Reinf. Design","Compute the strirup area required for torsion",IF($V$65=" Reinf. Design Can be neglected because Tu &lt; Tu min"," ")))</f>
        <v>Compute the strirup area required for torsion</v>
      </c>
      <c r="W75" s="273"/>
      <c r="X75" s="273"/>
      <c r="Y75" s="273"/>
      <c r="Z75" s="273"/>
      <c r="AA75" s="273"/>
      <c r="AB75" s="275"/>
      <c r="AC75" s="28"/>
      <c r="AD75" s="28"/>
      <c r="AE75" s="28"/>
      <c r="AF75" s="28"/>
      <c r="AG75" s="28"/>
      <c r="AH75" s="28"/>
      <c r="AI75" s="28"/>
      <c r="AJ75" s="28"/>
      <c r="AK75" s="28"/>
      <c r="AL75" s="28"/>
      <c r="AM75" s="28"/>
      <c r="AN75" s="28"/>
      <c r="AO75" s="28"/>
      <c r="AP75" s="28"/>
      <c r="AQ75" s="28"/>
      <c r="AR75" s="28"/>
      <c r="AS75" s="28"/>
      <c r="AT75" s="28"/>
    </row>
    <row r="76" spans="3:46" ht="20.100000000000001" customHeight="1">
      <c r="C76" s="254"/>
      <c r="D76" s="54"/>
      <c r="E76" s="54"/>
      <c r="F76" s="54"/>
      <c r="G76" s="54"/>
      <c r="H76" s="54"/>
      <c r="I76" s="54"/>
      <c r="J76" s="54"/>
      <c r="K76" s="54"/>
      <c r="L76" s="54"/>
      <c r="M76" s="123"/>
      <c r="N76" s="123"/>
      <c r="U76" s="51"/>
      <c r="V76" s="121" t="s">
        <v>115</v>
      </c>
      <c r="W76" s="95">
        <f>IF(OR($A$1=1,$A$1&lt;5)," ",IF(AND($W$63="Tu &gt;Tu min",$W$64="Tu max &gt; Tu"),$AA$32-$AA$36*2,"---"))</f>
        <v>25</v>
      </c>
      <c r="X76" s="96" t="s">
        <v>21</v>
      </c>
      <c r="Y76" s="28"/>
      <c r="Z76" s="28"/>
      <c r="AA76" s="28"/>
      <c r="AB76" s="104"/>
      <c r="AC76" s="28"/>
      <c r="AD76" s="28"/>
      <c r="AE76" s="28"/>
      <c r="AF76" s="28"/>
      <c r="AG76" s="28"/>
      <c r="AH76" s="28"/>
      <c r="AI76" s="28"/>
      <c r="AJ76" s="28"/>
      <c r="AK76" s="28"/>
      <c r="AL76" s="28"/>
      <c r="AM76" s="28"/>
      <c r="AN76" s="28"/>
      <c r="AO76" s="28"/>
      <c r="AP76" s="28"/>
      <c r="AQ76" s="28"/>
      <c r="AR76" s="28"/>
      <c r="AS76" s="28"/>
      <c r="AT76" s="28"/>
    </row>
    <row r="77" spans="3:46" ht="20.100000000000001" customHeight="1">
      <c r="D77" s="54"/>
      <c r="E77" s="54"/>
      <c r="F77" s="54"/>
      <c r="G77" s="54"/>
      <c r="H77" s="54"/>
      <c r="I77" s="54"/>
      <c r="J77" s="54"/>
      <c r="K77" s="54"/>
      <c r="L77" s="54"/>
      <c r="M77" s="123"/>
      <c r="N77" s="123"/>
      <c r="U77" s="51"/>
      <c r="V77" s="115" t="s">
        <v>116</v>
      </c>
      <c r="W77" s="98">
        <f>IF(OR($A$1=1,$A$1&lt;5)," ",IF(AND($W$63="Tu &gt;Tu min",$W$64="Tu max &gt; Tu"),$AA$33-$AA$35*2,"---"))</f>
        <v>52</v>
      </c>
      <c r="X77" s="29" t="s">
        <v>21</v>
      </c>
      <c r="Y77" s="28"/>
      <c r="Z77" s="28"/>
      <c r="AA77" s="28"/>
      <c r="AB77" s="104"/>
      <c r="AC77" s="28"/>
      <c r="AD77" s="28"/>
      <c r="AE77" s="28"/>
      <c r="AF77" s="28"/>
      <c r="AG77" s="28"/>
      <c r="AH77" s="28"/>
      <c r="AI77" s="28"/>
      <c r="AJ77" s="28"/>
      <c r="AK77" s="28"/>
      <c r="AL77" s="28"/>
      <c r="AM77" s="28"/>
      <c r="AN77" s="28"/>
      <c r="AO77" s="28"/>
      <c r="AP77" s="28"/>
      <c r="AQ77" s="28"/>
      <c r="AR77" s="28"/>
      <c r="AS77" s="28"/>
      <c r="AT77" s="28"/>
    </row>
    <row r="78" spans="3:46" ht="20.100000000000001" customHeight="1">
      <c r="C78" s="54"/>
      <c r="D78" s="123"/>
      <c r="E78" s="123"/>
      <c r="F78" s="238"/>
      <c r="G78" s="238"/>
      <c r="H78" s="238"/>
      <c r="I78" s="238"/>
      <c r="J78" s="123"/>
      <c r="K78" s="123"/>
      <c r="L78" s="54"/>
      <c r="M78" s="123"/>
      <c r="N78" s="123"/>
      <c r="U78" s="51"/>
      <c r="V78" s="255" t="s">
        <v>117</v>
      </c>
      <c r="W78" s="40"/>
      <c r="X78" s="96"/>
      <c r="Y78" s="28"/>
      <c r="Z78" s="28"/>
      <c r="AA78" s="95">
        <f>IF(OR($A$1=1,$A$1&lt;5),"---",IF(OR($A$1=1,$A$1&lt;5),"---",IF(OR($W$76="---",$W$77="---"),"---",0.66+0.33*($W$77/$W$76))))</f>
        <v>1.3464</v>
      </c>
      <c r="AB78" s="256" t="str">
        <f>IF($AA$78="---"," ",IF(AA$78&lt;1.5,"ok","no"))</f>
        <v>ok</v>
      </c>
      <c r="AC78" s="53"/>
      <c r="AD78" s="28"/>
      <c r="AE78" s="28"/>
      <c r="AF78" s="28"/>
      <c r="AG78" s="28"/>
      <c r="AH78" s="28"/>
      <c r="AI78" s="28"/>
      <c r="AJ78" s="28"/>
      <c r="AK78" s="28"/>
      <c r="AL78" s="28"/>
      <c r="AM78" s="28"/>
      <c r="AN78" s="28"/>
      <c r="AO78" s="28"/>
      <c r="AP78" s="28"/>
      <c r="AQ78" s="28"/>
      <c r="AR78" s="28"/>
      <c r="AS78" s="28"/>
      <c r="AT78" s="28"/>
    </row>
    <row r="79" spans="3:46" ht="20.100000000000001" customHeight="1">
      <c r="D79" s="123"/>
      <c r="E79" s="123"/>
      <c r="F79" s="238"/>
      <c r="G79" s="238"/>
      <c r="H79" s="238"/>
      <c r="I79" s="238"/>
      <c r="J79" s="123"/>
      <c r="K79" s="123"/>
      <c r="L79" s="54"/>
      <c r="M79" s="123"/>
      <c r="N79" s="123"/>
      <c r="U79" s="51"/>
      <c r="V79" s="86" t="s">
        <v>119</v>
      </c>
      <c r="W79" s="257" t="s">
        <v>214</v>
      </c>
      <c r="X79" s="89"/>
      <c r="Y79" s="28"/>
      <c r="Z79" s="28"/>
      <c r="AA79" s="108">
        <f>IF(AND(AND(W76="---",W77="---"),AA78="---")," ",IF(OR($A$1=1,$A$1&lt;5)," ",ROUND(($AA$62-$AA$68)*100/($AA$78*$AA$28*$W$76*$W$77*$AA$25),3)))</f>
        <v>0.11899999999999999</v>
      </c>
      <c r="AB79" s="109" t="s">
        <v>120</v>
      </c>
      <c r="AC79" s="28"/>
      <c r="AD79" s="28"/>
      <c r="AE79" s="28"/>
      <c r="AF79" s="28"/>
      <c r="AG79" s="28"/>
      <c r="AH79" s="28"/>
      <c r="AI79" s="28"/>
      <c r="AJ79" s="28"/>
      <c r="AK79" s="28"/>
      <c r="AL79" s="28"/>
      <c r="AM79" s="28"/>
      <c r="AN79" s="28"/>
      <c r="AO79" s="28"/>
      <c r="AP79" s="28"/>
      <c r="AQ79" s="28"/>
      <c r="AR79" s="28"/>
      <c r="AS79" s="28"/>
      <c r="AT79" s="28"/>
    </row>
    <row r="80" spans="3:46" ht="20.100000000000001" customHeight="1">
      <c r="C80" s="254"/>
      <c r="D80" s="123"/>
      <c r="E80" s="123"/>
      <c r="F80" s="54"/>
      <c r="G80" s="54"/>
      <c r="H80" s="54"/>
      <c r="I80" s="54"/>
      <c r="J80" s="123"/>
      <c r="K80" s="123"/>
      <c r="L80" s="54"/>
      <c r="M80" s="123"/>
      <c r="N80" s="123"/>
      <c r="U80" s="51"/>
      <c r="V80" s="272" t="s">
        <v>121</v>
      </c>
      <c r="W80" s="273"/>
      <c r="X80" s="273"/>
      <c r="Y80" s="273"/>
      <c r="Z80" s="273"/>
      <c r="AA80" s="273"/>
      <c r="AB80" s="275"/>
      <c r="AC80" s="28"/>
      <c r="AD80" s="28"/>
      <c r="AE80" s="28"/>
      <c r="AF80" s="28"/>
      <c r="AG80" s="28"/>
      <c r="AH80" s="28"/>
      <c r="AI80" s="28"/>
      <c r="AJ80" s="28"/>
      <c r="AK80" s="28"/>
      <c r="AL80" s="28"/>
      <c r="AM80" s="28"/>
      <c r="AN80" s="28"/>
      <c r="AO80" s="28"/>
      <c r="AP80" s="28"/>
      <c r="AQ80" s="28"/>
      <c r="AR80" s="28"/>
      <c r="AS80" s="28"/>
      <c r="AT80" s="28"/>
    </row>
    <row r="81" spans="3:46" ht="20.100000000000001" customHeight="1">
      <c r="D81" s="123"/>
      <c r="E81" s="123"/>
      <c r="F81" s="238"/>
      <c r="G81" s="238"/>
      <c r="H81" s="238"/>
      <c r="I81" s="238"/>
      <c r="J81" s="123"/>
      <c r="K81" s="123"/>
      <c r="L81" s="54"/>
      <c r="M81" s="123"/>
      <c r="N81" s="123"/>
      <c r="U81" s="51"/>
      <c r="V81" s="248" t="s">
        <v>125</v>
      </c>
      <c r="W81" s="88"/>
      <c r="X81" s="89"/>
      <c r="Y81" s="28"/>
      <c r="Z81" s="28"/>
      <c r="AA81" s="258">
        <f>IF(OR($A$1=1,$A$1&lt;5)," ",IF(AA79=" "," ",$AA$74/2+$AA$79))</f>
        <v>0.129</v>
      </c>
      <c r="AB81" s="259" t="s">
        <v>120</v>
      </c>
      <c r="AC81" s="28"/>
      <c r="AD81" s="28"/>
      <c r="AE81" s="28"/>
      <c r="AF81" s="28"/>
      <c r="AG81" s="28"/>
      <c r="AH81" s="28"/>
      <c r="AI81" s="28"/>
      <c r="AJ81" s="28"/>
      <c r="AK81" s="28"/>
      <c r="AL81" s="28"/>
      <c r="AM81" s="28"/>
      <c r="AN81" s="28"/>
      <c r="AO81" s="28"/>
      <c r="AP81" s="28"/>
      <c r="AQ81" s="28"/>
      <c r="AR81" s="28"/>
      <c r="AS81" s="28"/>
      <c r="AT81" s="28"/>
    </row>
    <row r="82" spans="3:46" ht="20.100000000000001" customHeight="1">
      <c r="D82" s="123"/>
      <c r="E82" s="123"/>
      <c r="F82" s="123"/>
      <c r="G82" s="123"/>
      <c r="H82" s="123"/>
      <c r="I82" s="123"/>
      <c r="J82" s="123"/>
      <c r="K82" s="123"/>
      <c r="L82" s="54"/>
      <c r="M82" s="123"/>
      <c r="N82" s="123"/>
      <c r="U82" s="51"/>
      <c r="V82" s="86" t="s">
        <v>122</v>
      </c>
      <c r="W82" s="88"/>
      <c r="X82" s="89"/>
      <c r="Y82" s="28"/>
      <c r="Z82" s="28"/>
      <c r="AA82" s="258">
        <f>IF(OR($A$1=1,$A$1&lt;5)," ",IF(AA79=" "," ",ROUND(3.5*$AA$32/(2*$AA$25),3)))</f>
        <v>1.7999999999999999E-2</v>
      </c>
      <c r="AB82" s="108" t="s">
        <v>21</v>
      </c>
      <c r="AC82" s="28"/>
      <c r="AD82" s="28"/>
      <c r="AE82" s="28"/>
      <c r="AF82" s="28"/>
      <c r="AG82" s="28"/>
      <c r="AH82" s="28"/>
      <c r="AI82" s="28"/>
      <c r="AJ82" s="28"/>
      <c r="AK82" s="28"/>
      <c r="AL82" s="28"/>
      <c r="AM82" s="28"/>
      <c r="AN82" s="28"/>
      <c r="AO82" s="28"/>
      <c r="AP82" s="28"/>
      <c r="AQ82" s="28"/>
      <c r="AR82" s="28"/>
      <c r="AS82" s="28"/>
      <c r="AT82" s="28"/>
    </row>
    <row r="83" spans="3:46" ht="20.100000000000001" customHeight="1">
      <c r="D83" s="123"/>
      <c r="E83" s="123"/>
      <c r="F83" s="123"/>
      <c r="G83" s="123"/>
      <c r="H83" s="123"/>
      <c r="I83" s="123"/>
      <c r="J83" s="123"/>
      <c r="K83" s="123"/>
      <c r="L83" s="54"/>
      <c r="M83" s="123"/>
      <c r="N83" s="123"/>
      <c r="U83" s="51"/>
      <c r="V83" s="290" t="s">
        <v>74</v>
      </c>
      <c r="W83" s="226"/>
      <c r="X83" s="40"/>
      <c r="Y83" s="260" t="str">
        <f>IF(OR($A$1=1,$A$1&lt;5)," ",IF($AA$79=" "," ",IF($W$71="Vu&lt;øVc","As req.&lt;Asmin,Use Asmin  becauseVu&lt;øVc",IF($AA$81&gt;$AA$82,"As req.&gt;Asmin","As req.&lt;Asmin"))))</f>
        <v>As req.&gt;Asmin</v>
      </c>
      <c r="Z83" s="88"/>
      <c r="AA83" s="89"/>
      <c r="AB83" s="261" t="str">
        <f>IF(OR($A$1=1,$A$1&lt;5)," ",IF($AA$79=" "," ",IF(AA82&gt;AA81," Use As min",IF($Y$83="As req.&gt;Asmin","ok","no"))))</f>
        <v>ok</v>
      </c>
      <c r="AC83" s="28"/>
      <c r="AD83" s="28"/>
      <c r="AE83" s="28"/>
      <c r="AF83" s="28"/>
      <c r="AG83" s="28"/>
      <c r="AH83" s="28"/>
      <c r="AI83" s="28"/>
      <c r="AJ83" s="28"/>
      <c r="AK83" s="28"/>
      <c r="AL83" s="28"/>
      <c r="AM83" s="28"/>
      <c r="AN83" s="28"/>
      <c r="AO83" s="28"/>
      <c r="AP83" s="28"/>
      <c r="AQ83" s="28"/>
      <c r="AR83" s="28"/>
      <c r="AS83" s="28"/>
      <c r="AT83" s="28"/>
    </row>
    <row r="84" spans="3:46" ht="20.100000000000001" customHeight="1">
      <c r="C84" s="254"/>
      <c r="D84" s="123"/>
      <c r="E84" s="123"/>
      <c r="F84" s="123"/>
      <c r="G84" s="123"/>
      <c r="H84" s="123"/>
      <c r="I84" s="123"/>
      <c r="J84" s="123"/>
      <c r="K84" s="123"/>
      <c r="L84" s="54"/>
      <c r="M84" s="123"/>
      <c r="N84" s="123"/>
      <c r="U84" s="51"/>
      <c r="V84" s="546" t="s">
        <v>123</v>
      </c>
      <c r="W84" s="547"/>
      <c r="X84" s="648">
        <v>12</v>
      </c>
      <c r="Y84" s="201" t="s">
        <v>41</v>
      </c>
      <c r="Z84" s="89"/>
      <c r="AA84" s="226">
        <f>IF(OR($A$1=1,$A$1&lt;5)," ",IF($AA$79=" "," ",ROUND(PI()*($X$84/10)^2/4,3)))</f>
        <v>1.131</v>
      </c>
      <c r="AB84" s="160" t="s">
        <v>81</v>
      </c>
      <c r="AC84" s="28"/>
      <c r="AD84" s="28"/>
      <c r="AE84" s="28"/>
      <c r="AF84" s="28"/>
      <c r="AG84" s="28"/>
      <c r="AH84" s="28"/>
      <c r="AI84" s="28"/>
      <c r="AJ84" s="28"/>
      <c r="AK84" s="28"/>
      <c r="AL84" s="28"/>
      <c r="AM84" s="28"/>
      <c r="AN84" s="28"/>
      <c r="AO84" s="28"/>
      <c r="AP84" s="28"/>
      <c r="AQ84" s="28"/>
      <c r="AR84" s="28"/>
      <c r="AS84" s="28"/>
      <c r="AT84" s="28"/>
    </row>
    <row r="85" spans="3:46" ht="20.100000000000001" customHeight="1">
      <c r="D85" s="123"/>
      <c r="E85" s="123"/>
      <c r="F85" s="123"/>
      <c r="G85" s="123"/>
      <c r="H85" s="123"/>
      <c r="I85" s="123"/>
      <c r="J85" s="123"/>
      <c r="K85" s="123"/>
      <c r="L85" s="54"/>
      <c r="M85" s="123"/>
      <c r="N85" s="123"/>
      <c r="U85" s="51"/>
      <c r="V85" s="290" t="s">
        <v>74</v>
      </c>
      <c r="W85" s="226"/>
      <c r="X85" s="41"/>
      <c r="Y85" s="260" t="str">
        <f>IF(OR($A$1=1,$A$1&lt;5)," ",IF($AA$79=" "," ",IF(AND($W$71="Vu&lt;øVc",$AA$84&gt;$AA$82),"As prov.&gt;Asmin",IF($AA$81&lt;($AA$84),"As prov.&gt;As req.","As prov.&lt;As req."))))</f>
        <v>As prov.&gt;As req.</v>
      </c>
      <c r="Z85" s="88"/>
      <c r="AA85" s="96"/>
      <c r="AB85" s="262" t="str">
        <f>IF(OR($A$1=1,$A$1&lt;5)," ",IF($AA$79=" "," ",IF($Y$85="As prov.&gt;Asmin","ok",IF($Y$85="As prov.&gt;As req.","ok","no"))))</f>
        <v>ok</v>
      </c>
      <c r="AC85" s="28"/>
      <c r="AD85" s="28"/>
      <c r="AE85" s="28"/>
      <c r="AF85" s="28"/>
      <c r="AG85" s="28"/>
      <c r="AH85" s="28"/>
      <c r="AI85" s="28"/>
      <c r="AJ85" s="28"/>
      <c r="AK85" s="28"/>
      <c r="AL85" s="28"/>
      <c r="AM85" s="28"/>
      <c r="AN85" s="28"/>
      <c r="AO85" s="28"/>
      <c r="AP85" s="28"/>
      <c r="AQ85" s="28"/>
      <c r="AR85" s="28"/>
      <c r="AS85" s="28"/>
      <c r="AT85" s="28"/>
    </row>
    <row r="86" spans="3:46" ht="20.100000000000001" customHeight="1">
      <c r="D86" s="123"/>
      <c r="E86" s="123"/>
      <c r="F86" s="123"/>
      <c r="G86" s="123"/>
      <c r="H86" s="123"/>
      <c r="I86" s="123"/>
      <c r="J86" s="123"/>
      <c r="K86" s="123"/>
      <c r="L86" s="54"/>
      <c r="M86" s="123"/>
      <c r="N86" s="123"/>
      <c r="U86" s="51"/>
      <c r="V86" s="263" t="s">
        <v>126</v>
      </c>
      <c r="W86" s="28"/>
      <c r="X86" s="577" t="str">
        <f>IF($W$71="Vu&lt;øVc","As prov./As min","As prov./As req.")</f>
        <v>As prov./As req.</v>
      </c>
      <c r="Y86" s="577"/>
      <c r="Z86" s="577"/>
      <c r="AA86" s="95">
        <f>IF(OR($A$1=1,A1&lt;5)," ",IF(AA$81=" "," ",IF(AND($AA$81=" ",$AA$84=" ")," ",IF($Y$71="Can be neglected for Shear Reinf.Design",ROUND($AA$84/$AA$82,1),ROUND($AA$84/$AA$81,1)))))</f>
        <v>8.8000000000000007</v>
      </c>
      <c r="AB86" s="109" t="s">
        <v>21</v>
      </c>
      <c r="AC86" s="28"/>
      <c r="AD86" s="28"/>
      <c r="AE86" s="28"/>
      <c r="AF86" s="28"/>
      <c r="AG86" s="28"/>
      <c r="AH86" s="28"/>
      <c r="AI86" s="28"/>
      <c r="AJ86" s="28"/>
      <c r="AK86" s="28"/>
      <c r="AL86" s="28"/>
      <c r="AM86" s="28"/>
      <c r="AN86" s="28"/>
      <c r="AO86" s="28"/>
      <c r="AP86" s="28"/>
      <c r="AQ86" s="28"/>
      <c r="AR86" s="28"/>
      <c r="AS86" s="28"/>
      <c r="AT86" s="28"/>
    </row>
    <row r="87" spans="3:46" ht="20.100000000000001" customHeight="1">
      <c r="D87" s="123"/>
      <c r="E87" s="123"/>
      <c r="F87" s="123"/>
      <c r="G87" s="123"/>
      <c r="H87" s="123"/>
      <c r="I87" s="123"/>
      <c r="J87" s="123"/>
      <c r="K87" s="123"/>
      <c r="L87" s="54"/>
      <c r="M87" s="123"/>
      <c r="N87" s="123"/>
      <c r="U87" s="51"/>
      <c r="V87" s="234" t="s">
        <v>124</v>
      </c>
      <c r="W87" s="578" t="s">
        <v>132</v>
      </c>
      <c r="X87" s="579"/>
      <c r="Y87" s="48"/>
      <c r="Z87" s="48"/>
      <c r="AA87" s="160">
        <f>IF(OR($A$1=1,$A$1&lt;5)," ",IF($AA$79=" "," ",IF(AND($W$76="---",$W$77="---")," ",MIN((W$76+W$77)/4))))</f>
        <v>19.25</v>
      </c>
      <c r="AB87" s="109" t="s">
        <v>21</v>
      </c>
      <c r="AC87" s="28"/>
      <c r="AD87" s="28"/>
      <c r="AE87" s="28"/>
      <c r="AF87" s="28"/>
      <c r="AG87" s="28"/>
      <c r="AH87" s="28"/>
      <c r="AI87" s="28"/>
      <c r="AJ87" s="28"/>
      <c r="AK87" s="28"/>
      <c r="AL87" s="28"/>
      <c r="AM87" s="28"/>
      <c r="AN87" s="28"/>
      <c r="AO87" s="28"/>
      <c r="AP87" s="28"/>
      <c r="AQ87" s="28"/>
      <c r="AR87" s="28"/>
      <c r="AS87" s="28"/>
      <c r="AT87" s="28"/>
    </row>
    <row r="88" spans="3:46" ht="20.100000000000001" customHeight="1">
      <c r="C88" s="254"/>
      <c r="D88" s="123"/>
      <c r="E88" s="123"/>
      <c r="F88" s="123"/>
      <c r="G88" s="123"/>
      <c r="H88" s="123"/>
      <c r="I88" s="123"/>
      <c r="J88" s="123"/>
      <c r="K88" s="123"/>
      <c r="L88" s="54"/>
      <c r="M88" s="123"/>
      <c r="N88" s="123"/>
      <c r="Q88" s="264"/>
      <c r="U88" s="51"/>
      <c r="V88" s="240" t="s">
        <v>127</v>
      </c>
      <c r="W88" s="265" t="str">
        <f>IF(AND(AND($AA$25&gt;=3000,$AA$25&lt;5200),$X$84=12),"DB",IF(AND(AND($AA$25&gt;=3000,$AA$25&lt;5200),$X$84=16),"DB",IF(AND(AND($AA$25&gt;=3000,$AA$25&lt;5200),$X$84=20),"DB",IF(AND(AND($AA$25&gt;=3000,$AA$25&lt;5200),$X$84=25),"DB",IF(AND(AND($AA$25&gt;=3000,$AA$25&lt;5200),$X$84=28),"DB",IF(AND(AND($AA$25&gt;=3000,$AA$25&lt;5200),$X$84=32),"DB",IF(AND(AND($AA$25&lt;3000,$AA$25&lt;=2400),$X$84=6),"RB",IF(AND(AND($AA$25&lt;3000,$AA$25&lt;=2400),$X$84=9),"RB",IF(AND(AND($AA$25&lt;3000,$AA$25&lt;=2400),$X$84=12),"RB",IF(AND(AND($AA$25&lt;3000,$AA$25&lt;=2400),$X$84=15),"RB",IF(AND(AND($AA$25&lt;3000,$AA$25&lt;=2400),$X$84=19),"RB",IF(AND(AND($AA$25&lt;3000,$AA$25&lt;=2400),$X$84=25),"RB","--"))))))))))))</f>
        <v>DB</v>
      </c>
      <c r="X88" s="266">
        <f>IF($AA$84=" "," ",IF($AA$86=" "," ",IF($AA$87=" "," ",$X$84)))</f>
        <v>12</v>
      </c>
      <c r="Y88" s="267">
        <f>IF($AA$84=" "," ",IF($AA$86=" "," ",IF($AA$87=" "," ",ROUND(MIN(($W$76+$W$77)/4,$AA$37/2,$AA$86),0))))</f>
        <v>9</v>
      </c>
      <c r="Z88" s="41"/>
      <c r="AA88" s="240"/>
      <c r="AB88" s="247"/>
      <c r="AC88" s="28"/>
      <c r="AD88" s="28"/>
      <c r="AE88" s="28"/>
      <c r="AF88" s="28"/>
      <c r="AG88" s="28"/>
      <c r="AH88" s="28"/>
      <c r="AI88" s="28"/>
      <c r="AJ88" s="28"/>
      <c r="AK88" s="28"/>
      <c r="AL88" s="28"/>
      <c r="AM88" s="28"/>
      <c r="AN88" s="28"/>
      <c r="AO88" s="28"/>
      <c r="AP88" s="28"/>
      <c r="AQ88" s="28"/>
      <c r="AR88" s="28"/>
      <c r="AS88" s="28"/>
      <c r="AT88" s="28"/>
    </row>
    <row r="89" spans="3:46" ht="20.100000000000001" customHeight="1">
      <c r="D89" s="123"/>
      <c r="E89" s="123"/>
      <c r="F89" s="123"/>
      <c r="G89" s="123"/>
      <c r="H89" s="123"/>
      <c r="I89" s="123"/>
      <c r="J89" s="123"/>
      <c r="K89" s="123"/>
      <c r="L89" s="54"/>
      <c r="M89" s="123"/>
      <c r="N89" s="123"/>
      <c r="U89" s="51"/>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row>
    <row r="90" spans="3:46" ht="20.100000000000001" customHeight="1">
      <c r="D90" s="123"/>
      <c r="E90" s="123"/>
      <c r="F90" s="123"/>
      <c r="G90" s="123"/>
      <c r="H90" s="123"/>
      <c r="I90" s="123"/>
      <c r="J90" s="123"/>
      <c r="K90" s="123"/>
      <c r="L90" s="54"/>
      <c r="M90" s="123"/>
      <c r="N90" s="123"/>
      <c r="U90" s="51"/>
      <c r="V90" s="574" t="s">
        <v>144</v>
      </c>
      <c r="W90" s="575"/>
      <c r="X90" s="575"/>
      <c r="Y90" s="575"/>
      <c r="Z90" s="575"/>
      <c r="AA90" s="575"/>
      <c r="AB90" s="576"/>
      <c r="AC90" s="28"/>
      <c r="AD90" s="28"/>
      <c r="AE90" s="28"/>
      <c r="AF90" s="28"/>
      <c r="AG90" s="28"/>
      <c r="AH90" s="28"/>
      <c r="AI90" s="28"/>
      <c r="AJ90" s="28"/>
      <c r="AK90" s="28"/>
      <c r="AL90" s="28"/>
      <c r="AM90" s="28"/>
      <c r="AN90" s="28"/>
      <c r="AO90" s="28"/>
      <c r="AP90" s="28"/>
      <c r="AQ90" s="28"/>
      <c r="AR90" s="28"/>
      <c r="AS90" s="28"/>
      <c r="AT90" s="28"/>
    </row>
    <row r="91" spans="3:46" ht="20.100000000000001" customHeight="1">
      <c r="D91" s="123"/>
      <c r="E91" s="123"/>
      <c r="F91" s="123"/>
      <c r="G91" s="123"/>
      <c r="H91" s="123"/>
      <c r="I91" s="123"/>
      <c r="J91" s="123"/>
      <c r="K91" s="123"/>
      <c r="L91" s="54"/>
      <c r="M91" s="123"/>
      <c r="N91" s="123"/>
      <c r="Q91" s="268"/>
      <c r="U91" s="51"/>
      <c r="V91" s="95" t="s">
        <v>130</v>
      </c>
      <c r="W91" s="86" t="s">
        <v>131</v>
      </c>
      <c r="X91" s="88"/>
      <c r="Y91" s="88"/>
      <c r="Z91" s="89"/>
      <c r="AA91" s="95">
        <f>IF(OR($A$1=1,$A$1&lt;5)," ",IF($AA$79=" "," ",IF(AND($W$76="---",$W$77="---")," ",IF($W$71="Vu&lt;øVc",ROUND(2*$AA$82*($W$76+$W$77)*($AA$25/$AA$24),2),ROUND(2*$AA$79*($W$76+$W$77)*($AA$25/$AA$24),2)))))</f>
        <v>18.329999999999998</v>
      </c>
      <c r="AB91" s="95" t="s">
        <v>21</v>
      </c>
      <c r="AC91" s="28"/>
      <c r="AD91" s="28"/>
      <c r="AE91" s="28"/>
      <c r="AF91" s="28"/>
      <c r="AG91" s="28"/>
      <c r="AH91" s="28"/>
      <c r="AI91" s="28"/>
      <c r="AJ91" s="28"/>
      <c r="AK91" s="28"/>
      <c r="AL91" s="28"/>
      <c r="AM91" s="28"/>
      <c r="AN91" s="28"/>
      <c r="AO91" s="28"/>
      <c r="AP91" s="28"/>
      <c r="AQ91" s="28"/>
      <c r="AR91" s="28"/>
      <c r="AS91" s="28"/>
      <c r="AT91" s="28"/>
    </row>
    <row r="92" spans="3:46" ht="20.100000000000001" customHeight="1">
      <c r="D92" s="123"/>
      <c r="E92" s="123"/>
      <c r="F92" s="123"/>
      <c r="G92" s="123"/>
      <c r="H92" s="123"/>
      <c r="I92" s="123"/>
      <c r="J92" s="123"/>
      <c r="K92" s="123"/>
      <c r="L92" s="54"/>
      <c r="M92" s="123"/>
      <c r="N92" s="123"/>
      <c r="U92" s="51"/>
      <c r="V92" s="157" t="s">
        <v>134</v>
      </c>
      <c r="W92" s="41"/>
      <c r="X92" s="41"/>
      <c r="Y92" s="41"/>
      <c r="Z92" s="41"/>
      <c r="AA92" s="157">
        <f>IF(OR($A$1=1,$A$1&lt;5)," ",IF($AA$79=" "," ",IF(AND($W$76="---",$W$77="---")," ",ROUND(((28*$AA$32/$AA$25)*($AA$62/($AA$62+($AA$44/(3*($AA$32*$AA$37/$AA$32^2*$AA$33)))))-MAX(2*$AA$79*($AA$25/$AA$24),(3.5*$AA$32/$AA$24)*($AA$25/$AA$24)))*($W$76+$W$77),2))))</f>
        <v>3.21</v>
      </c>
      <c r="AB92" s="240" t="s">
        <v>81</v>
      </c>
      <c r="AC92" s="28"/>
      <c r="AD92" s="28"/>
      <c r="AE92" s="28"/>
      <c r="AF92" s="28"/>
      <c r="AG92" s="28"/>
      <c r="AH92" s="28"/>
      <c r="AI92" s="28"/>
      <c r="AJ92" s="28"/>
      <c r="AK92" s="28"/>
      <c r="AL92" s="28"/>
      <c r="AM92" s="28"/>
      <c r="AN92" s="28"/>
      <c r="AO92" s="28"/>
      <c r="AP92" s="28"/>
      <c r="AQ92" s="28"/>
      <c r="AR92" s="28"/>
      <c r="AS92" s="28"/>
      <c r="AT92" s="28"/>
    </row>
    <row r="93" spans="3:46" ht="20.100000000000001" customHeight="1">
      <c r="U93" s="51"/>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row>
    <row r="94" spans="3:46" ht="20.100000000000001" customHeight="1">
      <c r="AC94" s="254"/>
    </row>
    <row r="95" spans="3:46" ht="20.100000000000001" customHeight="1">
      <c r="AC95" s="254"/>
    </row>
    <row r="96" spans="3:46" ht="20.100000000000001" customHeight="1">
      <c r="AC96" s="254"/>
    </row>
    <row r="97" spans="10:29" ht="20.100000000000001" customHeight="1">
      <c r="V97" s="254"/>
      <c r="W97" s="254"/>
      <c r="X97" s="254"/>
      <c r="Y97" s="254"/>
      <c r="Z97" s="254"/>
      <c r="AA97" s="254"/>
      <c r="AB97" s="254"/>
      <c r="AC97" s="254"/>
    </row>
    <row r="98" spans="10:29" ht="20.100000000000001" customHeight="1">
      <c r="V98" s="254"/>
      <c r="W98" s="254"/>
      <c r="X98" s="254"/>
      <c r="Y98" s="254"/>
      <c r="Z98" s="254"/>
      <c r="AA98" s="254"/>
      <c r="AB98" s="254"/>
      <c r="AC98" s="254"/>
    </row>
    <row r="99" spans="10:29" ht="20.100000000000001" customHeight="1">
      <c r="V99" s="254"/>
      <c r="W99" s="254"/>
      <c r="X99" s="254"/>
      <c r="Y99" s="254"/>
      <c r="Z99" s="254"/>
      <c r="AA99" s="254"/>
      <c r="AB99" s="254"/>
      <c r="AC99" s="254"/>
    </row>
    <row r="100" spans="10:29" ht="20.100000000000001" customHeight="1" thickBot="1">
      <c r="J100" s="293"/>
      <c r="K100" s="293"/>
      <c r="L100" s="294"/>
      <c r="M100" s="293"/>
      <c r="N100" s="293"/>
      <c r="O100" s="293"/>
      <c r="P100" s="293"/>
      <c r="Q100" s="295"/>
      <c r="R100" s="295"/>
      <c r="S100" s="296"/>
      <c r="T100" s="293"/>
      <c r="U100" s="297"/>
      <c r="V100" s="298"/>
      <c r="W100" s="254"/>
      <c r="X100" s="254"/>
      <c r="Y100" s="254"/>
      <c r="Z100" s="254"/>
      <c r="AA100" s="254"/>
      <c r="AB100" s="254"/>
      <c r="AC100" s="254"/>
    </row>
    <row r="101" spans="10:29" ht="20.100000000000001" customHeight="1">
      <c r="V101" s="254"/>
      <c r="W101" s="254"/>
      <c r="X101" s="254"/>
      <c r="Y101" s="254"/>
      <c r="Z101" s="254"/>
      <c r="AA101" s="254"/>
      <c r="AB101" s="254"/>
      <c r="AC101" s="254"/>
    </row>
    <row r="102" spans="10:29" ht="20.100000000000001" customHeight="1">
      <c r="M102" s="317" t="s">
        <v>217</v>
      </c>
      <c r="N102" s="317"/>
      <c r="O102" s="317"/>
      <c r="P102" s="317"/>
      <c r="Q102" s="317"/>
      <c r="R102" s="317"/>
      <c r="V102" s="254"/>
      <c r="W102" s="254"/>
      <c r="X102" s="254"/>
      <c r="Y102" s="254"/>
      <c r="Z102" s="254"/>
      <c r="AA102" s="254"/>
      <c r="AB102" s="254"/>
      <c r="AC102" s="254"/>
    </row>
    <row r="103" spans="10:29" ht="20.100000000000001" customHeight="1">
      <c r="V103" s="254"/>
      <c r="W103" s="254"/>
      <c r="X103" s="254"/>
      <c r="Y103" s="254"/>
      <c r="Z103" s="254"/>
      <c r="AA103" s="254"/>
      <c r="AB103" s="254"/>
      <c r="AC103" s="254"/>
    </row>
    <row r="104" spans="10:29" ht="20.100000000000001" customHeight="1">
      <c r="V104" s="254"/>
      <c r="W104" s="254"/>
      <c r="X104" s="254"/>
      <c r="Y104" s="254"/>
      <c r="Z104" s="254"/>
      <c r="AA104" s="254"/>
      <c r="AB104" s="254"/>
      <c r="AC104" s="254"/>
    </row>
    <row r="105" spans="10:29" ht="20.100000000000001" customHeight="1">
      <c r="V105" s="254"/>
      <c r="W105" s="254"/>
      <c r="X105" s="254"/>
      <c r="Y105" s="254"/>
      <c r="Z105" s="254"/>
      <c r="AA105" s="254"/>
      <c r="AB105" s="254"/>
      <c r="AC105" s="254"/>
    </row>
    <row r="106" spans="10:29" ht="20.100000000000001" customHeight="1">
      <c r="V106" s="254"/>
      <c r="W106" s="254"/>
      <c r="X106" s="254"/>
      <c r="Y106" s="254"/>
      <c r="Z106" s="254"/>
      <c r="AA106" s="254"/>
      <c r="AB106" s="254"/>
      <c r="AC106" s="254"/>
    </row>
    <row r="107" spans="10:29" ht="20.100000000000001" customHeight="1">
      <c r="V107" s="254"/>
      <c r="W107" s="254"/>
      <c r="X107" s="254"/>
      <c r="Y107" s="254"/>
      <c r="Z107" s="254"/>
      <c r="AA107" s="254"/>
      <c r="AB107" s="254"/>
      <c r="AC107" s="254"/>
    </row>
    <row r="108" spans="10:29" ht="20.100000000000001" customHeight="1">
      <c r="V108" s="254"/>
      <c r="W108" s="254"/>
      <c r="X108" s="254"/>
      <c r="Y108" s="254"/>
      <c r="Z108" s="254"/>
      <c r="AA108" s="254"/>
      <c r="AB108" s="254"/>
      <c r="AC108" s="254"/>
    </row>
    <row r="109" spans="10:29" ht="20.100000000000001" customHeight="1">
      <c r="V109" s="254"/>
      <c r="W109" s="254"/>
      <c r="X109" s="254"/>
      <c r="Y109" s="254"/>
      <c r="Z109" s="254"/>
      <c r="AA109" s="254"/>
      <c r="AB109" s="254"/>
      <c r="AC109" s="254"/>
    </row>
    <row r="110" spans="10:29" ht="20.100000000000001" customHeight="1">
      <c r="AC110" s="254"/>
    </row>
    <row r="111" spans="10:29" ht="20.100000000000001" customHeight="1">
      <c r="AC111" s="254"/>
    </row>
    <row r="112" spans="10:29" ht="20.100000000000001" customHeight="1">
      <c r="AC112" s="254"/>
    </row>
    <row r="113" spans="29:29" ht="20.100000000000001" customHeight="1">
      <c r="AC113" s="254"/>
    </row>
    <row r="114" spans="29:29" ht="20.100000000000001" customHeight="1">
      <c r="AC114" s="254"/>
    </row>
    <row r="115" spans="29:29" ht="20.100000000000001" customHeight="1">
      <c r="AC115" s="254"/>
    </row>
    <row r="116" spans="29:29" ht="20.100000000000001" customHeight="1">
      <c r="AC116" s="254"/>
    </row>
    <row r="117" spans="29:29" ht="20.100000000000001" customHeight="1">
      <c r="AC117" s="254"/>
    </row>
    <row r="118" spans="29:29" ht="20.100000000000001" customHeight="1">
      <c r="AC118" s="254"/>
    </row>
    <row r="119" spans="29:29" ht="20.100000000000001" customHeight="1">
      <c r="AC119" s="254"/>
    </row>
    <row r="120" spans="29:29" ht="20.100000000000001" customHeight="1">
      <c r="AC120" s="254"/>
    </row>
    <row r="121" spans="29:29" ht="20.100000000000001" customHeight="1">
      <c r="AC121" s="254"/>
    </row>
    <row r="122" spans="29:29" ht="20.100000000000001" customHeight="1">
      <c r="AC122" s="254"/>
    </row>
    <row r="123" spans="29:29" ht="20.100000000000001" customHeight="1">
      <c r="AC123" s="254"/>
    </row>
    <row r="124" spans="29:29" ht="20.100000000000001" customHeight="1">
      <c r="AC124" s="254"/>
    </row>
    <row r="125" spans="29:29" ht="20.100000000000001" customHeight="1">
      <c r="AC125" s="254"/>
    </row>
    <row r="126" spans="29:29" ht="20.100000000000001" customHeight="1">
      <c r="AC126" s="254"/>
    </row>
    <row r="127" spans="29:29" ht="20.100000000000001" customHeight="1">
      <c r="AC127" s="254"/>
    </row>
    <row r="128" spans="29:29" ht="20.100000000000001" customHeight="1">
      <c r="AC128" s="254"/>
    </row>
    <row r="129" spans="22:29" ht="20.100000000000001" customHeight="1">
      <c r="AC129" s="254"/>
    </row>
    <row r="130" spans="22:29" ht="20.100000000000001" customHeight="1">
      <c r="AC130" s="254"/>
    </row>
    <row r="131" spans="22:29" ht="20.100000000000001" customHeight="1">
      <c r="AC131" s="254"/>
    </row>
    <row r="132" spans="22:29" ht="20.100000000000001" customHeight="1">
      <c r="AC132" s="254"/>
    </row>
    <row r="133" spans="22:29" ht="20.100000000000001" customHeight="1">
      <c r="AC133" s="254"/>
    </row>
    <row r="134" spans="22:29" ht="20.100000000000001" customHeight="1">
      <c r="AC134" s="254"/>
    </row>
    <row r="135" spans="22:29" ht="20.100000000000001" customHeight="1">
      <c r="AC135" s="254"/>
    </row>
    <row r="136" spans="22:29" ht="20.100000000000001" customHeight="1">
      <c r="AC136" s="254"/>
    </row>
    <row r="137" spans="22:29" ht="20.100000000000001" customHeight="1">
      <c r="AC137" s="254"/>
    </row>
    <row r="138" spans="22:29" ht="20.100000000000001" customHeight="1">
      <c r="AC138" s="254"/>
    </row>
    <row r="139" spans="22:29">
      <c r="AC139" s="254"/>
    </row>
    <row r="140" spans="22:29">
      <c r="V140" s="254"/>
      <c r="W140" s="254"/>
      <c r="X140" s="254"/>
      <c r="Y140" s="254"/>
      <c r="Z140" s="254"/>
      <c r="AA140" s="254"/>
      <c r="AB140" s="254"/>
      <c r="AC140" s="254"/>
    </row>
    <row r="141" spans="22:29">
      <c r="V141" s="254"/>
      <c r="W141" s="254"/>
      <c r="X141" s="254"/>
      <c r="Y141" s="254"/>
      <c r="Z141" s="254"/>
      <c r="AA141" s="254"/>
      <c r="AB141" s="254"/>
      <c r="AC141" s="254"/>
    </row>
    <row r="142" spans="22:29">
      <c r="V142" s="254"/>
      <c r="W142" s="254"/>
      <c r="X142" s="254"/>
      <c r="Y142" s="254"/>
      <c r="Z142" s="254"/>
      <c r="AA142" s="254"/>
      <c r="AB142" s="254"/>
      <c r="AC142" s="254"/>
    </row>
    <row r="143" spans="22:29">
      <c r="V143" s="254"/>
      <c r="W143" s="254"/>
      <c r="X143" s="254"/>
      <c r="Y143" s="254"/>
      <c r="Z143" s="254"/>
      <c r="AA143" s="254"/>
      <c r="AB143" s="254"/>
      <c r="AC143" s="254"/>
    </row>
    <row r="144" spans="22:29">
      <c r="V144" s="254"/>
      <c r="W144" s="254"/>
      <c r="X144" s="254"/>
      <c r="Y144" s="254"/>
      <c r="Z144" s="254"/>
      <c r="AA144" s="254"/>
      <c r="AB144" s="254"/>
      <c r="AC144" s="254"/>
    </row>
    <row r="145" spans="22:29">
      <c r="V145" s="254"/>
      <c r="W145" s="254"/>
      <c r="X145" s="254"/>
      <c r="Y145" s="254"/>
      <c r="Z145" s="254"/>
      <c r="AA145" s="254"/>
      <c r="AB145" s="254"/>
      <c r="AC145" s="254"/>
    </row>
    <row r="146" spans="22:29">
      <c r="V146" s="254"/>
      <c r="W146" s="254"/>
      <c r="X146" s="254"/>
      <c r="Y146" s="254"/>
      <c r="Z146" s="254"/>
      <c r="AA146" s="254"/>
      <c r="AB146" s="254"/>
      <c r="AC146" s="254"/>
    </row>
    <row r="147" spans="22:29">
      <c r="V147" s="254"/>
      <c r="W147" s="254"/>
      <c r="X147" s="254"/>
      <c r="Y147" s="254"/>
      <c r="Z147" s="254"/>
      <c r="AA147" s="254"/>
      <c r="AB147" s="254"/>
      <c r="AC147" s="254"/>
    </row>
    <row r="148" spans="22:29">
      <c r="V148" s="254"/>
      <c r="W148" s="254"/>
      <c r="X148" s="254"/>
      <c r="Y148" s="254"/>
      <c r="Z148" s="254"/>
      <c r="AA148" s="254"/>
      <c r="AB148" s="254"/>
      <c r="AC148" s="254"/>
    </row>
    <row r="149" spans="22:29">
      <c r="V149" s="254"/>
      <c r="W149" s="254"/>
      <c r="X149" s="254"/>
      <c r="Y149" s="254"/>
      <c r="Z149" s="254"/>
      <c r="AA149" s="254"/>
      <c r="AB149" s="254"/>
      <c r="AC149" s="254"/>
    </row>
    <row r="150" spans="22:29">
      <c r="V150" s="254"/>
      <c r="W150" s="254"/>
      <c r="X150" s="254"/>
      <c r="Y150" s="254"/>
      <c r="Z150" s="254"/>
      <c r="AA150" s="254"/>
      <c r="AB150" s="254"/>
      <c r="AC150" s="254"/>
    </row>
    <row r="151" spans="22:29">
      <c r="V151" s="254"/>
      <c r="W151" s="254"/>
      <c r="X151" s="254"/>
      <c r="Y151" s="254"/>
      <c r="Z151" s="254"/>
      <c r="AA151" s="254"/>
      <c r="AB151" s="254"/>
      <c r="AC151" s="254"/>
    </row>
    <row r="152" spans="22:29">
      <c r="V152" s="254"/>
      <c r="W152" s="254"/>
      <c r="X152" s="254"/>
      <c r="Y152" s="254"/>
      <c r="Z152" s="254"/>
      <c r="AA152" s="254"/>
      <c r="AB152" s="254"/>
      <c r="AC152" s="254"/>
    </row>
    <row r="153" spans="22:29">
      <c r="V153" s="254"/>
      <c r="W153" s="254"/>
      <c r="X153" s="254"/>
      <c r="Y153" s="254"/>
      <c r="Z153" s="254"/>
      <c r="AA153" s="254"/>
      <c r="AB153" s="254"/>
      <c r="AC153" s="254"/>
    </row>
    <row r="154" spans="22:29">
      <c r="V154" s="254"/>
      <c r="W154" s="254"/>
      <c r="X154" s="254"/>
      <c r="Y154" s="254"/>
      <c r="Z154" s="254"/>
      <c r="AA154" s="254"/>
      <c r="AB154" s="254"/>
      <c r="AC154" s="254"/>
    </row>
    <row r="155" spans="22:29">
      <c r="V155" s="254"/>
      <c r="W155" s="254"/>
      <c r="X155" s="254"/>
      <c r="Y155" s="254"/>
      <c r="Z155" s="254"/>
      <c r="AA155" s="254"/>
      <c r="AB155" s="254"/>
      <c r="AC155" s="254"/>
    </row>
  </sheetData>
  <sheetProtection password="CA4D" sheet="1" objects="1" scenarios="1"/>
  <protectedRanges>
    <protectedRange password="CA4D" sqref="C15 D15 G15 J15 N15 Q15 L21 L22 L26 M26 Q26 Q25 L28 L31 L32 L34 Q31 L27 F57 F58 J57 J58 Y50 AA38 AA36 AA33 AA32 AA35 AA34 AA28 AA25 AA24 AA21 X84 AK44 AK43 AK39 AK38 AK34 AK33 AL24 AL23 AL22 Q21" name="kung"/>
  </protectedRanges>
  <mergeCells count="206">
    <mergeCell ref="BK20:BL20"/>
    <mergeCell ref="BM20:BN20"/>
    <mergeCell ref="V90:AB90"/>
    <mergeCell ref="X86:Z86"/>
    <mergeCell ref="W87:X87"/>
    <mergeCell ref="J14:M14"/>
    <mergeCell ref="G14:I14"/>
    <mergeCell ref="M51:N51"/>
    <mergeCell ref="V59:AB59"/>
    <mergeCell ref="W60:Z60"/>
    <mergeCell ref="W61:Z61"/>
    <mergeCell ref="O25:P25"/>
    <mergeCell ref="J50:L50"/>
    <mergeCell ref="J51:L51"/>
    <mergeCell ref="J46:L46"/>
    <mergeCell ref="E30:R30"/>
    <mergeCell ref="O31:P31"/>
    <mergeCell ref="D33:K33"/>
    <mergeCell ref="F36:K36"/>
    <mergeCell ref="Q38:S38"/>
    <mergeCell ref="Q39:S39"/>
    <mergeCell ref="D25:K25"/>
    <mergeCell ref="D14:F14"/>
    <mergeCell ref="G15:I15"/>
    <mergeCell ref="M50:N50"/>
    <mergeCell ref="W71:X71"/>
    <mergeCell ref="Y71:AB71"/>
    <mergeCell ref="G52:H52"/>
    <mergeCell ref="D50:E50"/>
    <mergeCell ref="D55:E55"/>
    <mergeCell ref="D49:E49"/>
    <mergeCell ref="V39:W39"/>
    <mergeCell ref="W53:X53"/>
    <mergeCell ref="M70:N70"/>
    <mergeCell ref="V84:W84"/>
    <mergeCell ref="V73:Z73"/>
    <mergeCell ref="M59:N59"/>
    <mergeCell ref="M56:N56"/>
    <mergeCell ref="M57:N57"/>
    <mergeCell ref="M55:N55"/>
    <mergeCell ref="M52:N52"/>
    <mergeCell ref="M58:N58"/>
    <mergeCell ref="W68:Z68"/>
    <mergeCell ref="W70:Z70"/>
    <mergeCell ref="Y53:AB53"/>
    <mergeCell ref="M72:N72"/>
    <mergeCell ref="A2:B2"/>
    <mergeCell ref="V36:W36"/>
    <mergeCell ref="AG19:AM19"/>
    <mergeCell ref="V20:AB20"/>
    <mergeCell ref="D41:E41"/>
    <mergeCell ref="M40:N40"/>
    <mergeCell ref="M41:N41"/>
    <mergeCell ref="V31:AB31"/>
    <mergeCell ref="V32:W32"/>
    <mergeCell ref="D34:K34"/>
    <mergeCell ref="M35:N35"/>
    <mergeCell ref="D29:R29"/>
    <mergeCell ref="AG29:AH29"/>
    <mergeCell ref="AG28:AH28"/>
    <mergeCell ref="Q14:S14"/>
    <mergeCell ref="O21:P21"/>
    <mergeCell ref="O22:P22"/>
    <mergeCell ref="Q25:R25"/>
    <mergeCell ref="N14:P14"/>
    <mergeCell ref="J15:M15"/>
    <mergeCell ref="D15:F15"/>
    <mergeCell ref="N15:P15"/>
    <mergeCell ref="D35:K35"/>
    <mergeCell ref="D59:E59"/>
    <mergeCell ref="D54:G54"/>
    <mergeCell ref="H54:N54"/>
    <mergeCell ref="J52:L52"/>
    <mergeCell ref="D56:E56"/>
    <mergeCell ref="D58:E58"/>
    <mergeCell ref="F56:G56"/>
    <mergeCell ref="J56:L56"/>
    <mergeCell ref="J57:L57"/>
    <mergeCell ref="J58:L58"/>
    <mergeCell ref="J59:L59"/>
    <mergeCell ref="F59:G59"/>
    <mergeCell ref="F57:G57"/>
    <mergeCell ref="D52:E52"/>
    <mergeCell ref="F58:G58"/>
    <mergeCell ref="D57:E57"/>
    <mergeCell ref="H56:I56"/>
    <mergeCell ref="F55:G55"/>
    <mergeCell ref="Y64:AB64"/>
    <mergeCell ref="W63:X63"/>
    <mergeCell ref="Y63:AB63"/>
    <mergeCell ref="W64:X64"/>
    <mergeCell ref="M60:N60"/>
    <mergeCell ref="F60:G60"/>
    <mergeCell ref="H55:I55"/>
    <mergeCell ref="H58:I58"/>
    <mergeCell ref="H59:I59"/>
    <mergeCell ref="J55:L55"/>
    <mergeCell ref="J60:L60"/>
    <mergeCell ref="H60:I60"/>
    <mergeCell ref="X56:Z56"/>
    <mergeCell ref="X55:Z55"/>
    <mergeCell ref="J61:L61"/>
    <mergeCell ref="F61:G61"/>
    <mergeCell ref="M61:N61"/>
    <mergeCell ref="D60:E60"/>
    <mergeCell ref="D44:E44"/>
    <mergeCell ref="D45:E45"/>
    <mergeCell ref="O39:P39"/>
    <mergeCell ref="AG24:AH24"/>
    <mergeCell ref="AG25:AH25"/>
    <mergeCell ref="AL27:AM27"/>
    <mergeCell ref="AG27:AK27"/>
    <mergeCell ref="AA58:AB58"/>
    <mergeCell ref="AL28:AM28"/>
    <mergeCell ref="AL29:AM29"/>
    <mergeCell ref="H57:I57"/>
    <mergeCell ref="AI24:AK24"/>
    <mergeCell ref="AJ29:AK29"/>
    <mergeCell ref="AJ28:AK28"/>
    <mergeCell ref="J41:L41"/>
    <mergeCell ref="J42:L42"/>
    <mergeCell ref="J43:L43"/>
    <mergeCell ref="J44:L44"/>
    <mergeCell ref="J48:L48"/>
    <mergeCell ref="J49:L49"/>
    <mergeCell ref="M33:N33"/>
    <mergeCell ref="M28:N28"/>
    <mergeCell ref="AJ41:AK41"/>
    <mergeCell ref="AJ46:AK46"/>
    <mergeCell ref="AG31:AL31"/>
    <mergeCell ref="D38:N38"/>
    <mergeCell ref="M31:N31"/>
    <mergeCell ref="D46:E46"/>
    <mergeCell ref="D42:E42"/>
    <mergeCell ref="J39:L39"/>
    <mergeCell ref="J40:L40"/>
    <mergeCell ref="V33:W33"/>
    <mergeCell ref="V35:W35"/>
    <mergeCell ref="V37:W37"/>
    <mergeCell ref="V34:W34"/>
    <mergeCell ref="X32:Z33"/>
    <mergeCell ref="D32:K32"/>
    <mergeCell ref="D40:E40"/>
    <mergeCell ref="D39:E39"/>
    <mergeCell ref="M39:N39"/>
    <mergeCell ref="D31:K31"/>
    <mergeCell ref="V40:W40"/>
    <mergeCell ref="M43:N43"/>
    <mergeCell ref="M42:N42"/>
    <mergeCell ref="M46:N46"/>
    <mergeCell ref="M48:N48"/>
    <mergeCell ref="D27:K27"/>
    <mergeCell ref="D28:K28"/>
    <mergeCell ref="M27:N27"/>
    <mergeCell ref="J45:L45"/>
    <mergeCell ref="Y46:AB46"/>
    <mergeCell ref="X45:Y45"/>
    <mergeCell ref="J47:L47"/>
    <mergeCell ref="V17:X17"/>
    <mergeCell ref="AJ36:AK36"/>
    <mergeCell ref="D17:F17"/>
    <mergeCell ref="D22:K22"/>
    <mergeCell ref="BB19:BC19"/>
    <mergeCell ref="AG22:AH22"/>
    <mergeCell ref="E19:R19"/>
    <mergeCell ref="Q15:S15"/>
    <mergeCell ref="M26:N26"/>
    <mergeCell ref="M32:N32"/>
    <mergeCell ref="M34:N34"/>
    <mergeCell ref="M25:N25"/>
    <mergeCell ref="M21:N21"/>
    <mergeCell ref="M22:N22"/>
    <mergeCell ref="O34:P34"/>
    <mergeCell ref="O20:R20"/>
    <mergeCell ref="D20:N20"/>
    <mergeCell ref="D21:K21"/>
    <mergeCell ref="Q26:R26"/>
    <mergeCell ref="Q27:R27"/>
    <mergeCell ref="D23:R23"/>
    <mergeCell ref="AG23:AH23"/>
    <mergeCell ref="D26:K26"/>
    <mergeCell ref="E24:R24"/>
    <mergeCell ref="M102:R102"/>
    <mergeCell ref="C2:E2"/>
    <mergeCell ref="C1:E1"/>
    <mergeCell ref="F1:S1"/>
    <mergeCell ref="F2:J2"/>
    <mergeCell ref="I67:N67"/>
    <mergeCell ref="D67:H67"/>
    <mergeCell ref="N75:O75"/>
    <mergeCell ref="K69:L69"/>
    <mergeCell ref="G71:H71"/>
    <mergeCell ref="G73:H73"/>
    <mergeCell ref="D75:E75"/>
    <mergeCell ref="F75:G75"/>
    <mergeCell ref="H75:I75"/>
    <mergeCell ref="J75:K75"/>
    <mergeCell ref="L75:M75"/>
    <mergeCell ref="D61:E61"/>
    <mergeCell ref="D48:E48"/>
    <mergeCell ref="M49:N49"/>
    <mergeCell ref="D47:E47"/>
    <mergeCell ref="M45:N45"/>
    <mergeCell ref="M44:N44"/>
    <mergeCell ref="M47:N47"/>
    <mergeCell ref="D43:E43"/>
  </mergeCells>
  <conditionalFormatting sqref="C62">
    <cfRule type="iconSet" priority="3">
      <iconSet iconSet="4TrafficLights">
        <cfvo type="percent" val="0"/>
        <cfvo type="percent" val="25"/>
        <cfvo type="percent" val="50"/>
        <cfvo type="percent" val="75"/>
      </iconSet>
    </cfRule>
  </conditionalFormatting>
  <conditionalFormatting sqref="P69">
    <cfRule type="iconSet" priority="2">
      <iconSet iconSet="4TrafficLights">
        <cfvo type="percent" val="0"/>
        <cfvo type="percent" val="25"/>
        <cfvo type="percent" val="50"/>
        <cfvo type="percent" val="75"/>
      </iconSet>
    </cfRule>
  </conditionalFormatting>
  <conditionalFormatting sqref="R60">
    <cfRule type="iconSet" priority="1">
      <iconSet iconSet="4RedToBlack">
        <cfvo type="percent" val="0"/>
        <cfvo type="percent" val="25"/>
        <cfvo type="percent" val="50"/>
        <cfvo type="percent" val="75"/>
      </iconSet>
    </cfRule>
  </conditionalFormatting>
  <dataValidations count="9">
    <dataValidation type="list" allowBlank="1" showInputMessage="1" showErrorMessage="1" sqref="AK43 AK38 AK33 X84 AL24 AL22 F57:G57 J57:L57">
      <formula1>"6,9,12,15,16,19,20,25,28,32"</formula1>
    </dataValidation>
    <dataValidation type="list" allowBlank="1" showInputMessage="1" showErrorMessage="1" sqref="F58:G58 J58:L58">
      <formula1>"1,2,3,4,5,6,7,8,9,10,11,12,13,14,15,16,17"</formula1>
    </dataValidation>
    <dataValidation type="list" allowBlank="1" showInputMessage="1" showErrorMessage="1" sqref="A1">
      <formula1>"1,2,3,4,5,6"</formula1>
    </dataValidation>
    <dataValidation type="list" allowBlank="1" showInputMessage="1" showErrorMessage="1" sqref="Y50">
      <formula1>"0.1,0.2,0.3,0.4,0.5,0.6,0.7,0.8,0.9,1"</formula1>
    </dataValidation>
    <dataValidation type="list" allowBlank="1" showInputMessage="1" showErrorMessage="1" sqref="L26">
      <formula1>"1.4,1.7"</formula1>
    </dataValidation>
    <dataValidation type="list" allowBlank="1" showInputMessage="1" showErrorMessage="1" sqref="M26:N26">
      <formula1>"1.7,2.0"</formula1>
    </dataValidation>
    <dataValidation type="list" allowBlank="1" showInputMessage="1" showErrorMessage="1" sqref="AA32">
      <formula1>"15,20,25,30,35,40,45,50,55,60"</formula1>
    </dataValidation>
    <dataValidation type="list" allowBlank="1" showInputMessage="1" showErrorMessage="1" sqref="AA33">
      <formula1>"30,40,50,60,70,80,90,100,110,120"</formula1>
    </dataValidation>
    <dataValidation type="list" allowBlank="1" showInputMessage="1" showErrorMessage="1" sqref="AK34 AK39 AK44 AL23">
      <formula1>"1,2,3,4,5,6,7,8,9"</formula1>
    </dataValidation>
  </dataValidations>
  <pageMargins left="0.7" right="0.7" top="0.75" bottom="0.75" header="0.3" footer="0.3"/>
  <pageSetup paperSize="8" scale="10" fitToWidth="3" fitToHeight="4" orientation="portrait" r:id="rId1"/>
  <ignoredErrors>
    <ignoredError sqref="H45 BB38 BC39 E69" formula="1"/>
  </ignoredErrors>
  <drawing r:id="rId2"/>
  <legacyDrawing r:id="rId3"/>
</worksheet>
</file>

<file path=xl/worksheets/sheet2.xml><?xml version="1.0" encoding="utf-8"?>
<worksheet xmlns="http://schemas.openxmlformats.org/spreadsheetml/2006/main" xmlns:r="http://schemas.openxmlformats.org/officeDocument/2006/relationships">
  <sheetPr codeName="Sheet3">
    <pageSetUpPr fitToPage="1"/>
  </sheetPr>
  <dimension ref="A4:BQ272"/>
  <sheetViews>
    <sheetView showGridLines="0" tabSelected="1" topLeftCell="A98" zoomScale="98" zoomScaleNormal="98" workbookViewId="0">
      <selection activeCell="A131" sqref="A131:R161"/>
    </sheetView>
  </sheetViews>
  <sheetFormatPr defaultRowHeight="14.25" outlineLevelCol="1"/>
  <cols>
    <col min="2" max="14" width="5.625" customWidth="1"/>
    <col min="20" max="36" width="5.625" customWidth="1"/>
    <col min="62" max="68" width="0" hidden="1" customWidth="1" outlineLevel="1"/>
    <col min="69" max="69" width="9" collapsed="1"/>
  </cols>
  <sheetData>
    <row r="4" spans="1:18" ht="15" thickBot="1"/>
    <row r="5" spans="1:18" ht="18" customHeight="1" thickBot="1">
      <c r="A5" s="61">
        <v>1</v>
      </c>
      <c r="B5" s="26"/>
      <c r="C5" s="26"/>
      <c r="D5" s="26"/>
      <c r="E5" s="26"/>
      <c r="F5" s="26"/>
      <c r="G5" s="26"/>
      <c r="H5" s="26"/>
      <c r="I5" s="26"/>
      <c r="J5" s="26"/>
      <c r="K5" s="26"/>
      <c r="L5" s="26"/>
      <c r="M5" s="26"/>
      <c r="N5" s="26"/>
      <c r="O5" s="26"/>
      <c r="P5" s="26"/>
      <c r="Q5" s="26"/>
      <c r="R5" s="26"/>
    </row>
    <row r="6" spans="1:18" ht="14.25" customHeight="1">
      <c r="A6" s="615"/>
      <c r="B6" s="616"/>
      <c r="C6" s="616"/>
      <c r="D6" s="616"/>
      <c r="E6" s="616"/>
      <c r="F6" s="616"/>
      <c r="G6" s="616"/>
      <c r="H6" s="616"/>
      <c r="I6" s="616"/>
      <c r="J6" s="616"/>
      <c r="K6" s="616"/>
      <c r="L6" s="616"/>
      <c r="M6" s="616"/>
      <c r="N6" s="616"/>
      <c r="O6" s="616"/>
      <c r="P6" s="616"/>
      <c r="Q6" s="616"/>
      <c r="R6" s="617"/>
    </row>
    <row r="7" spans="1:18" ht="14.25" customHeight="1">
      <c r="A7" s="618"/>
      <c r="B7" s="619"/>
      <c r="C7" s="619"/>
      <c r="D7" s="619"/>
      <c r="E7" s="619"/>
      <c r="F7" s="619"/>
      <c r="G7" s="619"/>
      <c r="H7" s="619"/>
      <c r="I7" s="619"/>
      <c r="J7" s="619"/>
      <c r="K7" s="619"/>
      <c r="L7" s="619"/>
      <c r="M7" s="619"/>
      <c r="N7" s="619"/>
      <c r="O7" s="619"/>
      <c r="P7" s="619"/>
      <c r="Q7" s="619"/>
      <c r="R7" s="620"/>
    </row>
    <row r="8" spans="1:18" ht="14.25" customHeight="1">
      <c r="A8" s="618"/>
      <c r="B8" s="619"/>
      <c r="C8" s="619"/>
      <c r="D8" s="619"/>
      <c r="E8" s="619"/>
      <c r="F8" s="619"/>
      <c r="G8" s="619"/>
      <c r="H8" s="619"/>
      <c r="I8" s="619"/>
      <c r="J8" s="619"/>
      <c r="K8" s="619"/>
      <c r="L8" s="619"/>
      <c r="M8" s="619"/>
      <c r="N8" s="619"/>
      <c r="O8" s="619"/>
      <c r="P8" s="619"/>
      <c r="Q8" s="619"/>
      <c r="R8" s="620"/>
    </row>
    <row r="9" spans="1:18" ht="14.25" customHeight="1">
      <c r="A9" s="618"/>
      <c r="B9" s="619"/>
      <c r="C9" s="619"/>
      <c r="D9" s="619"/>
      <c r="E9" s="619"/>
      <c r="F9" s="619"/>
      <c r="G9" s="619"/>
      <c r="H9" s="619"/>
      <c r="I9" s="619"/>
      <c r="J9" s="619"/>
      <c r="K9" s="619"/>
      <c r="L9" s="619"/>
      <c r="M9" s="619"/>
      <c r="N9" s="619"/>
      <c r="O9" s="619"/>
      <c r="P9" s="619"/>
      <c r="Q9" s="619"/>
      <c r="R9" s="620"/>
    </row>
    <row r="10" spans="1:18" ht="14.25" customHeight="1">
      <c r="A10" s="618"/>
      <c r="B10" s="619"/>
      <c r="C10" s="619"/>
      <c r="D10" s="619"/>
      <c r="E10" s="619"/>
      <c r="F10" s="619"/>
      <c r="G10" s="619"/>
      <c r="H10" s="619"/>
      <c r="I10" s="619"/>
      <c r="J10" s="619"/>
      <c r="K10" s="619"/>
      <c r="L10" s="619"/>
      <c r="M10" s="619"/>
      <c r="N10" s="619"/>
      <c r="O10" s="619"/>
      <c r="P10" s="619"/>
      <c r="Q10" s="619"/>
      <c r="R10" s="620"/>
    </row>
    <row r="11" spans="1:18" ht="14.25" customHeight="1">
      <c r="A11" s="618"/>
      <c r="B11" s="619"/>
      <c r="C11" s="619"/>
      <c r="D11" s="619"/>
      <c r="E11" s="619"/>
      <c r="F11" s="619"/>
      <c r="G11" s="619"/>
      <c r="H11" s="619"/>
      <c r="I11" s="619"/>
      <c r="J11" s="619"/>
      <c r="K11" s="619"/>
      <c r="L11" s="619"/>
      <c r="M11" s="619"/>
      <c r="N11" s="619"/>
      <c r="O11" s="619"/>
      <c r="P11" s="619"/>
      <c r="Q11" s="619"/>
      <c r="R11" s="620"/>
    </row>
    <row r="12" spans="1:18" ht="14.25" customHeight="1">
      <c r="A12" s="618"/>
      <c r="B12" s="619"/>
      <c r="C12" s="619"/>
      <c r="D12" s="619"/>
      <c r="E12" s="619"/>
      <c r="F12" s="619"/>
      <c r="G12" s="619"/>
      <c r="H12" s="619"/>
      <c r="I12" s="619"/>
      <c r="J12" s="619"/>
      <c r="K12" s="619"/>
      <c r="L12" s="619"/>
      <c r="M12" s="619"/>
      <c r="N12" s="619"/>
      <c r="O12" s="619"/>
      <c r="P12" s="619"/>
      <c r="Q12" s="619"/>
      <c r="R12" s="620"/>
    </row>
    <row r="13" spans="1:18" ht="14.25" customHeight="1">
      <c r="A13" s="618"/>
      <c r="B13" s="619"/>
      <c r="C13" s="619"/>
      <c r="D13" s="619"/>
      <c r="E13" s="619"/>
      <c r="F13" s="619"/>
      <c r="G13" s="619"/>
      <c r="H13" s="619"/>
      <c r="I13" s="619"/>
      <c r="J13" s="619"/>
      <c r="K13" s="619"/>
      <c r="L13" s="619"/>
      <c r="M13" s="619"/>
      <c r="N13" s="619"/>
      <c r="O13" s="619"/>
      <c r="P13" s="619"/>
      <c r="Q13" s="619"/>
      <c r="R13" s="620"/>
    </row>
    <row r="14" spans="1:18" ht="14.25" customHeight="1">
      <c r="A14" s="618"/>
      <c r="B14" s="619"/>
      <c r="C14" s="619"/>
      <c r="D14" s="619"/>
      <c r="E14" s="619"/>
      <c r="F14" s="619"/>
      <c r="G14" s="619"/>
      <c r="H14" s="619"/>
      <c r="I14" s="619"/>
      <c r="J14" s="619"/>
      <c r="K14" s="619"/>
      <c r="L14" s="619"/>
      <c r="M14" s="619"/>
      <c r="N14" s="619"/>
      <c r="O14" s="619"/>
      <c r="P14" s="619"/>
      <c r="Q14" s="619"/>
      <c r="R14" s="620"/>
    </row>
    <row r="15" spans="1:18" ht="14.25" customHeight="1">
      <c r="A15" s="618"/>
      <c r="B15" s="619"/>
      <c r="C15" s="619"/>
      <c r="D15" s="619"/>
      <c r="E15" s="619"/>
      <c r="F15" s="619"/>
      <c r="G15" s="619"/>
      <c r="H15" s="619"/>
      <c r="I15" s="619"/>
      <c r="J15" s="619"/>
      <c r="K15" s="619"/>
      <c r="L15" s="619"/>
      <c r="M15" s="619"/>
      <c r="N15" s="619"/>
      <c r="O15" s="619"/>
      <c r="P15" s="619"/>
      <c r="Q15" s="619"/>
      <c r="R15" s="620"/>
    </row>
    <row r="16" spans="1:18" ht="14.25" customHeight="1">
      <c r="A16" s="618"/>
      <c r="B16" s="619"/>
      <c r="C16" s="619"/>
      <c r="D16" s="619"/>
      <c r="E16" s="619"/>
      <c r="F16" s="619"/>
      <c r="G16" s="619"/>
      <c r="H16" s="619"/>
      <c r="I16" s="619"/>
      <c r="J16" s="619"/>
      <c r="K16" s="619"/>
      <c r="L16" s="619"/>
      <c r="M16" s="619"/>
      <c r="N16" s="619"/>
      <c r="O16" s="619"/>
      <c r="P16" s="619"/>
      <c r="Q16" s="619"/>
      <c r="R16" s="620"/>
    </row>
    <row r="17" spans="1:18" ht="14.25" customHeight="1">
      <c r="A17" s="618"/>
      <c r="B17" s="619"/>
      <c r="C17" s="619"/>
      <c r="D17" s="619"/>
      <c r="E17" s="619"/>
      <c r="F17" s="619"/>
      <c r="G17" s="619"/>
      <c r="H17" s="619"/>
      <c r="I17" s="619"/>
      <c r="J17" s="619"/>
      <c r="K17" s="619"/>
      <c r="L17" s="619"/>
      <c r="M17" s="619"/>
      <c r="N17" s="619"/>
      <c r="O17" s="619"/>
      <c r="P17" s="619"/>
      <c r="Q17" s="619"/>
      <c r="R17" s="620"/>
    </row>
    <row r="18" spans="1:18" ht="14.25" customHeight="1">
      <c r="A18" s="618"/>
      <c r="B18" s="619"/>
      <c r="C18" s="619"/>
      <c r="D18" s="619"/>
      <c r="E18" s="619"/>
      <c r="F18" s="619"/>
      <c r="G18" s="619"/>
      <c r="H18" s="619"/>
      <c r="I18" s="619"/>
      <c r="J18" s="619"/>
      <c r="K18" s="619"/>
      <c r="L18" s="619"/>
      <c r="M18" s="619"/>
      <c r="N18" s="619"/>
      <c r="O18" s="619"/>
      <c r="P18" s="619"/>
      <c r="Q18" s="619"/>
      <c r="R18" s="620"/>
    </row>
    <row r="19" spans="1:18" ht="14.25" customHeight="1">
      <c r="A19" s="618"/>
      <c r="B19" s="619"/>
      <c r="C19" s="619"/>
      <c r="D19" s="619"/>
      <c r="E19" s="619"/>
      <c r="F19" s="619"/>
      <c r="G19" s="619"/>
      <c r="H19" s="619"/>
      <c r="I19" s="619"/>
      <c r="J19" s="619"/>
      <c r="K19" s="619"/>
      <c r="L19" s="619"/>
      <c r="M19" s="619"/>
      <c r="N19" s="619"/>
      <c r="O19" s="619"/>
      <c r="P19" s="619"/>
      <c r="Q19" s="619"/>
      <c r="R19" s="620"/>
    </row>
    <row r="20" spans="1:18" ht="14.25" customHeight="1">
      <c r="A20" s="618"/>
      <c r="B20" s="619"/>
      <c r="C20" s="619"/>
      <c r="D20" s="619"/>
      <c r="E20" s="619"/>
      <c r="F20" s="619"/>
      <c r="G20" s="619"/>
      <c r="H20" s="619"/>
      <c r="I20" s="619"/>
      <c r="J20" s="619"/>
      <c r="K20" s="619"/>
      <c r="L20" s="619"/>
      <c r="M20" s="619"/>
      <c r="N20" s="619"/>
      <c r="O20" s="619"/>
      <c r="P20" s="619"/>
      <c r="Q20" s="619"/>
      <c r="R20" s="620"/>
    </row>
    <row r="21" spans="1:18" ht="14.25" customHeight="1">
      <c r="A21" s="618"/>
      <c r="B21" s="619"/>
      <c r="C21" s="619"/>
      <c r="D21" s="619"/>
      <c r="E21" s="619"/>
      <c r="F21" s="619"/>
      <c r="G21" s="619"/>
      <c r="H21" s="619"/>
      <c r="I21" s="619"/>
      <c r="J21" s="619"/>
      <c r="K21" s="619"/>
      <c r="L21" s="619"/>
      <c r="M21" s="619"/>
      <c r="N21" s="619"/>
      <c r="O21" s="619"/>
      <c r="P21" s="619"/>
      <c r="Q21" s="619"/>
      <c r="R21" s="620"/>
    </row>
    <row r="22" spans="1:18" ht="14.25" customHeight="1">
      <c r="A22" s="618"/>
      <c r="B22" s="619"/>
      <c r="C22" s="619"/>
      <c r="D22" s="619"/>
      <c r="E22" s="619"/>
      <c r="F22" s="619"/>
      <c r="G22" s="619"/>
      <c r="H22" s="619"/>
      <c r="I22" s="619"/>
      <c r="J22" s="619"/>
      <c r="K22" s="619"/>
      <c r="L22" s="619"/>
      <c r="M22" s="619"/>
      <c r="N22" s="619"/>
      <c r="O22" s="619"/>
      <c r="P22" s="619"/>
      <c r="Q22" s="619"/>
      <c r="R22" s="620"/>
    </row>
    <row r="23" spans="1:18" ht="14.25" customHeight="1">
      <c r="A23" s="618"/>
      <c r="B23" s="619"/>
      <c r="C23" s="619"/>
      <c r="D23" s="619"/>
      <c r="E23" s="619"/>
      <c r="F23" s="619"/>
      <c r="G23" s="619"/>
      <c r="H23" s="619"/>
      <c r="I23" s="619"/>
      <c r="J23" s="619"/>
      <c r="K23" s="619"/>
      <c r="L23" s="619"/>
      <c r="M23" s="619"/>
      <c r="N23" s="619"/>
      <c r="O23" s="619"/>
      <c r="P23" s="619"/>
      <c r="Q23" s="619"/>
      <c r="R23" s="620"/>
    </row>
    <row r="24" spans="1:18" ht="14.25" customHeight="1">
      <c r="A24" s="618"/>
      <c r="B24" s="619"/>
      <c r="C24" s="619"/>
      <c r="D24" s="619"/>
      <c r="E24" s="619"/>
      <c r="F24" s="619"/>
      <c r="G24" s="619"/>
      <c r="H24" s="619"/>
      <c r="I24" s="619"/>
      <c r="J24" s="619"/>
      <c r="K24" s="619"/>
      <c r="L24" s="619"/>
      <c r="M24" s="619"/>
      <c r="N24" s="619"/>
      <c r="O24" s="619"/>
      <c r="P24" s="619"/>
      <c r="Q24" s="619"/>
      <c r="R24" s="620"/>
    </row>
    <row r="25" spans="1:18" ht="14.25" customHeight="1">
      <c r="A25" s="618"/>
      <c r="B25" s="619"/>
      <c r="C25" s="619"/>
      <c r="D25" s="619"/>
      <c r="E25" s="619"/>
      <c r="F25" s="619"/>
      <c r="G25" s="619"/>
      <c r="H25" s="619"/>
      <c r="I25" s="619"/>
      <c r="J25" s="619"/>
      <c r="K25" s="619"/>
      <c r="L25" s="619"/>
      <c r="M25" s="619"/>
      <c r="N25" s="619"/>
      <c r="O25" s="619"/>
      <c r="P25" s="619"/>
      <c r="Q25" s="619"/>
      <c r="R25" s="620"/>
    </row>
    <row r="26" spans="1:18" ht="14.25" customHeight="1">
      <c r="A26" s="618"/>
      <c r="B26" s="619"/>
      <c r="C26" s="619"/>
      <c r="D26" s="619"/>
      <c r="E26" s="619"/>
      <c r="F26" s="619"/>
      <c r="G26" s="619"/>
      <c r="H26" s="619"/>
      <c r="I26" s="619"/>
      <c r="J26" s="619"/>
      <c r="K26" s="619"/>
      <c r="L26" s="619"/>
      <c r="M26" s="619"/>
      <c r="N26" s="619"/>
      <c r="O26" s="619"/>
      <c r="P26" s="619"/>
      <c r="Q26" s="619"/>
      <c r="R26" s="620"/>
    </row>
    <row r="27" spans="1:18" ht="14.25" customHeight="1">
      <c r="A27" s="618"/>
      <c r="B27" s="619"/>
      <c r="C27" s="619"/>
      <c r="D27" s="619"/>
      <c r="E27" s="619"/>
      <c r="F27" s="619"/>
      <c r="G27" s="619"/>
      <c r="H27" s="619"/>
      <c r="I27" s="619"/>
      <c r="J27" s="619"/>
      <c r="K27" s="619"/>
      <c r="L27" s="619"/>
      <c r="M27" s="619"/>
      <c r="N27" s="619"/>
      <c r="O27" s="619"/>
      <c r="P27" s="619"/>
      <c r="Q27" s="619"/>
      <c r="R27" s="620"/>
    </row>
    <row r="28" spans="1:18" ht="14.25" customHeight="1">
      <c r="A28" s="618"/>
      <c r="B28" s="619"/>
      <c r="C28" s="619"/>
      <c r="D28" s="619"/>
      <c r="E28" s="619"/>
      <c r="F28" s="619"/>
      <c r="G28" s="619"/>
      <c r="H28" s="619"/>
      <c r="I28" s="619"/>
      <c r="J28" s="619"/>
      <c r="K28" s="619"/>
      <c r="L28" s="619"/>
      <c r="M28" s="619"/>
      <c r="N28" s="619"/>
      <c r="O28" s="619"/>
      <c r="P28" s="619"/>
      <c r="Q28" s="619"/>
      <c r="R28" s="620"/>
    </row>
    <row r="29" spans="1:18" ht="14.25" customHeight="1">
      <c r="A29" s="618"/>
      <c r="B29" s="619"/>
      <c r="C29" s="619"/>
      <c r="D29" s="619"/>
      <c r="E29" s="619"/>
      <c r="F29" s="619"/>
      <c r="G29" s="619"/>
      <c r="H29" s="619"/>
      <c r="I29" s="619"/>
      <c r="J29" s="619"/>
      <c r="K29" s="619"/>
      <c r="L29" s="619"/>
      <c r="M29" s="619"/>
      <c r="N29" s="619"/>
      <c r="O29" s="619"/>
      <c r="P29" s="619"/>
      <c r="Q29" s="619"/>
      <c r="R29" s="620"/>
    </row>
    <row r="30" spans="1:18" ht="14.25" customHeight="1">
      <c r="A30" s="618"/>
      <c r="B30" s="619"/>
      <c r="C30" s="619"/>
      <c r="D30" s="619"/>
      <c r="E30" s="619"/>
      <c r="F30" s="619"/>
      <c r="G30" s="619"/>
      <c r="H30" s="619"/>
      <c r="I30" s="619"/>
      <c r="J30" s="619"/>
      <c r="K30" s="619"/>
      <c r="L30" s="619"/>
      <c r="M30" s="619"/>
      <c r="N30" s="619"/>
      <c r="O30" s="619"/>
      <c r="P30" s="619"/>
      <c r="Q30" s="619"/>
      <c r="R30" s="620"/>
    </row>
    <row r="31" spans="1:18" ht="14.25" customHeight="1">
      <c r="A31" s="618"/>
      <c r="B31" s="619"/>
      <c r="C31" s="619"/>
      <c r="D31" s="619"/>
      <c r="E31" s="619"/>
      <c r="F31" s="619"/>
      <c r="G31" s="619"/>
      <c r="H31" s="619"/>
      <c r="I31" s="619"/>
      <c r="J31" s="619"/>
      <c r="K31" s="619"/>
      <c r="L31" s="619"/>
      <c r="M31" s="619"/>
      <c r="N31" s="619"/>
      <c r="O31" s="619"/>
      <c r="P31" s="619"/>
      <c r="Q31" s="619"/>
      <c r="R31" s="620"/>
    </row>
    <row r="32" spans="1:18" ht="14.25" customHeight="1">
      <c r="A32" s="618"/>
      <c r="B32" s="619"/>
      <c r="C32" s="619"/>
      <c r="D32" s="619"/>
      <c r="E32" s="619"/>
      <c r="F32" s="619"/>
      <c r="G32" s="619"/>
      <c r="H32" s="619"/>
      <c r="I32" s="619"/>
      <c r="J32" s="619"/>
      <c r="K32" s="619"/>
      <c r="L32" s="619"/>
      <c r="M32" s="619"/>
      <c r="N32" s="619"/>
      <c r="O32" s="619"/>
      <c r="P32" s="619"/>
      <c r="Q32" s="619"/>
      <c r="R32" s="620"/>
    </row>
    <row r="33" spans="1:19" ht="14.25" customHeight="1">
      <c r="A33" s="618"/>
      <c r="B33" s="619"/>
      <c r="C33" s="619"/>
      <c r="D33" s="619"/>
      <c r="E33" s="619"/>
      <c r="F33" s="619"/>
      <c r="G33" s="619"/>
      <c r="H33" s="619"/>
      <c r="I33" s="619"/>
      <c r="J33" s="619"/>
      <c r="K33" s="619"/>
      <c r="L33" s="619"/>
      <c r="M33" s="619"/>
      <c r="N33" s="619"/>
      <c r="O33" s="619"/>
      <c r="P33" s="619"/>
      <c r="Q33" s="619"/>
      <c r="R33" s="620"/>
    </row>
    <row r="34" spans="1:19" ht="14.25" customHeight="1">
      <c r="A34" s="618"/>
      <c r="B34" s="619"/>
      <c r="C34" s="619"/>
      <c r="D34" s="619"/>
      <c r="E34" s="619"/>
      <c r="F34" s="619"/>
      <c r="G34" s="619"/>
      <c r="H34" s="619"/>
      <c r="I34" s="619"/>
      <c r="J34" s="619"/>
      <c r="K34" s="619"/>
      <c r="L34" s="619"/>
      <c r="M34" s="619"/>
      <c r="N34" s="619"/>
      <c r="O34" s="619"/>
      <c r="P34" s="619"/>
      <c r="Q34" s="619"/>
      <c r="R34" s="620"/>
    </row>
    <row r="35" spans="1:19" ht="15" customHeight="1" thickBot="1">
      <c r="A35" s="621"/>
      <c r="B35" s="622"/>
      <c r="C35" s="622"/>
      <c r="D35" s="622"/>
      <c r="E35" s="622"/>
      <c r="F35" s="622"/>
      <c r="G35" s="622"/>
      <c r="H35" s="622"/>
      <c r="I35" s="622"/>
      <c r="J35" s="622"/>
      <c r="K35" s="622"/>
      <c r="L35" s="622"/>
      <c r="M35" s="622"/>
      <c r="N35" s="622"/>
      <c r="O35" s="622"/>
      <c r="P35" s="622"/>
      <c r="Q35" s="622"/>
      <c r="R35" s="623"/>
    </row>
    <row r="36" spans="1:19" ht="18.75" thickBot="1">
      <c r="A36" s="61">
        <v>2</v>
      </c>
      <c r="B36" s="26"/>
      <c r="C36" s="26"/>
      <c r="D36" s="26"/>
      <c r="E36" s="26"/>
      <c r="F36" s="26"/>
      <c r="G36" s="26"/>
      <c r="H36" s="26"/>
      <c r="I36" s="26"/>
      <c r="J36" s="26"/>
      <c r="K36" s="26"/>
      <c r="L36" s="26"/>
      <c r="M36" s="26"/>
      <c r="N36" s="26"/>
      <c r="O36" s="26"/>
      <c r="P36" s="26"/>
      <c r="Q36" s="26"/>
      <c r="R36" s="26"/>
      <c r="S36" s="26"/>
    </row>
    <row r="37" spans="1:19">
      <c r="A37" s="624"/>
      <c r="B37" s="625"/>
      <c r="C37" s="625"/>
      <c r="D37" s="625"/>
      <c r="E37" s="625"/>
      <c r="F37" s="625"/>
      <c r="G37" s="625"/>
      <c r="H37" s="625"/>
      <c r="I37" s="625"/>
      <c r="J37" s="625"/>
      <c r="K37" s="625"/>
      <c r="L37" s="625"/>
      <c r="M37" s="625"/>
      <c r="N37" s="625"/>
      <c r="O37" s="625"/>
      <c r="P37" s="625"/>
      <c r="Q37" s="625"/>
      <c r="R37" s="626"/>
    </row>
    <row r="38" spans="1:19">
      <c r="A38" s="627"/>
      <c r="B38" s="628"/>
      <c r="C38" s="628"/>
      <c r="D38" s="628"/>
      <c r="E38" s="628"/>
      <c r="F38" s="628"/>
      <c r="G38" s="628"/>
      <c r="H38" s="628"/>
      <c r="I38" s="628"/>
      <c r="J38" s="628"/>
      <c r="K38" s="628"/>
      <c r="L38" s="628"/>
      <c r="M38" s="628"/>
      <c r="N38" s="628"/>
      <c r="O38" s="628"/>
      <c r="P38" s="628"/>
      <c r="Q38" s="628"/>
      <c r="R38" s="629"/>
    </row>
    <row r="39" spans="1:19">
      <c r="A39" s="627"/>
      <c r="B39" s="628"/>
      <c r="C39" s="628"/>
      <c r="D39" s="628"/>
      <c r="E39" s="628"/>
      <c r="F39" s="628"/>
      <c r="G39" s="628"/>
      <c r="H39" s="628"/>
      <c r="I39" s="628"/>
      <c r="J39" s="628"/>
      <c r="K39" s="628"/>
      <c r="L39" s="628"/>
      <c r="M39" s="628"/>
      <c r="N39" s="628"/>
      <c r="O39" s="628"/>
      <c r="P39" s="628"/>
      <c r="Q39" s="628"/>
      <c r="R39" s="629"/>
    </row>
    <row r="40" spans="1:19">
      <c r="A40" s="627"/>
      <c r="B40" s="628"/>
      <c r="C40" s="628"/>
      <c r="D40" s="628"/>
      <c r="E40" s="628"/>
      <c r="F40" s="628"/>
      <c r="G40" s="628"/>
      <c r="H40" s="628"/>
      <c r="I40" s="628"/>
      <c r="J40" s="628"/>
      <c r="K40" s="628"/>
      <c r="L40" s="628"/>
      <c r="M40" s="628"/>
      <c r="N40" s="628"/>
      <c r="O40" s="628"/>
      <c r="P40" s="628"/>
      <c r="Q40" s="628"/>
      <c r="R40" s="629"/>
    </row>
    <row r="41" spans="1:19">
      <c r="A41" s="627"/>
      <c r="B41" s="628"/>
      <c r="C41" s="628"/>
      <c r="D41" s="628"/>
      <c r="E41" s="628"/>
      <c r="F41" s="628"/>
      <c r="G41" s="628"/>
      <c r="H41" s="628"/>
      <c r="I41" s="628"/>
      <c r="J41" s="628"/>
      <c r="K41" s="628"/>
      <c r="L41" s="628"/>
      <c r="M41" s="628"/>
      <c r="N41" s="628"/>
      <c r="O41" s="628"/>
      <c r="P41" s="628"/>
      <c r="Q41" s="628"/>
      <c r="R41" s="629"/>
    </row>
    <row r="42" spans="1:19">
      <c r="A42" s="627"/>
      <c r="B42" s="628"/>
      <c r="C42" s="628"/>
      <c r="D42" s="628"/>
      <c r="E42" s="628"/>
      <c r="F42" s="628"/>
      <c r="G42" s="628"/>
      <c r="H42" s="628"/>
      <c r="I42" s="628"/>
      <c r="J42" s="628"/>
      <c r="K42" s="628"/>
      <c r="L42" s="628"/>
      <c r="M42" s="628"/>
      <c r="N42" s="628"/>
      <c r="O42" s="628"/>
      <c r="P42" s="628"/>
      <c r="Q42" s="628"/>
      <c r="R42" s="629"/>
    </row>
    <row r="43" spans="1:19">
      <c r="A43" s="627"/>
      <c r="B43" s="628"/>
      <c r="C43" s="628"/>
      <c r="D43" s="628"/>
      <c r="E43" s="628"/>
      <c r="F43" s="628"/>
      <c r="G43" s="628"/>
      <c r="H43" s="628"/>
      <c r="I43" s="628"/>
      <c r="J43" s="628"/>
      <c r="K43" s="628"/>
      <c r="L43" s="628"/>
      <c r="M43" s="628"/>
      <c r="N43" s="628"/>
      <c r="O43" s="628"/>
      <c r="P43" s="628"/>
      <c r="Q43" s="628"/>
      <c r="R43" s="629"/>
    </row>
    <row r="44" spans="1:19">
      <c r="A44" s="627"/>
      <c r="B44" s="628"/>
      <c r="C44" s="628"/>
      <c r="D44" s="628"/>
      <c r="E44" s="628"/>
      <c r="F44" s="628"/>
      <c r="G44" s="628"/>
      <c r="H44" s="628"/>
      <c r="I44" s="628"/>
      <c r="J44" s="628"/>
      <c r="K44" s="628"/>
      <c r="L44" s="628"/>
      <c r="M44" s="628"/>
      <c r="N44" s="628"/>
      <c r="O44" s="628"/>
      <c r="P44" s="628"/>
      <c r="Q44" s="628"/>
      <c r="R44" s="629"/>
    </row>
    <row r="45" spans="1:19">
      <c r="A45" s="627"/>
      <c r="B45" s="628"/>
      <c r="C45" s="628"/>
      <c r="D45" s="628"/>
      <c r="E45" s="628"/>
      <c r="F45" s="628"/>
      <c r="G45" s="628"/>
      <c r="H45" s="628"/>
      <c r="I45" s="628"/>
      <c r="J45" s="628"/>
      <c r="K45" s="628"/>
      <c r="L45" s="628"/>
      <c r="M45" s="628"/>
      <c r="N45" s="628"/>
      <c r="O45" s="628"/>
      <c r="P45" s="628"/>
      <c r="Q45" s="628"/>
      <c r="R45" s="629"/>
    </row>
    <row r="46" spans="1:19">
      <c r="A46" s="627"/>
      <c r="B46" s="628"/>
      <c r="C46" s="628"/>
      <c r="D46" s="628"/>
      <c r="E46" s="628"/>
      <c r="F46" s="628"/>
      <c r="G46" s="628"/>
      <c r="H46" s="628"/>
      <c r="I46" s="628"/>
      <c r="J46" s="628"/>
      <c r="K46" s="628"/>
      <c r="L46" s="628"/>
      <c r="M46" s="628"/>
      <c r="N46" s="628"/>
      <c r="O46" s="628"/>
      <c r="P46" s="628"/>
      <c r="Q46" s="628"/>
      <c r="R46" s="629"/>
    </row>
    <row r="47" spans="1:19">
      <c r="A47" s="627"/>
      <c r="B47" s="628"/>
      <c r="C47" s="628"/>
      <c r="D47" s="628"/>
      <c r="E47" s="628"/>
      <c r="F47" s="628"/>
      <c r="G47" s="628"/>
      <c r="H47" s="628"/>
      <c r="I47" s="628"/>
      <c r="J47" s="628"/>
      <c r="K47" s="628"/>
      <c r="L47" s="628"/>
      <c r="M47" s="628"/>
      <c r="N47" s="628"/>
      <c r="O47" s="628"/>
      <c r="P47" s="628"/>
      <c r="Q47" s="628"/>
      <c r="R47" s="629"/>
    </row>
    <row r="48" spans="1:19">
      <c r="A48" s="627"/>
      <c r="B48" s="628"/>
      <c r="C48" s="628"/>
      <c r="D48" s="628"/>
      <c r="E48" s="628"/>
      <c r="F48" s="628"/>
      <c r="G48" s="628"/>
      <c r="H48" s="628"/>
      <c r="I48" s="628"/>
      <c r="J48" s="628"/>
      <c r="K48" s="628"/>
      <c r="L48" s="628"/>
      <c r="M48" s="628"/>
      <c r="N48" s="628"/>
      <c r="O48" s="628"/>
      <c r="P48" s="628"/>
      <c r="Q48" s="628"/>
      <c r="R48" s="629"/>
    </row>
    <row r="49" spans="1:18">
      <c r="A49" s="627"/>
      <c r="B49" s="628"/>
      <c r="C49" s="628"/>
      <c r="D49" s="628"/>
      <c r="E49" s="628"/>
      <c r="F49" s="628"/>
      <c r="G49" s="628"/>
      <c r="H49" s="628"/>
      <c r="I49" s="628"/>
      <c r="J49" s="628"/>
      <c r="K49" s="628"/>
      <c r="L49" s="628"/>
      <c r="M49" s="628"/>
      <c r="N49" s="628"/>
      <c r="O49" s="628"/>
      <c r="P49" s="628"/>
      <c r="Q49" s="628"/>
      <c r="R49" s="629"/>
    </row>
    <row r="50" spans="1:18">
      <c r="A50" s="627"/>
      <c r="B50" s="628"/>
      <c r="C50" s="628"/>
      <c r="D50" s="628"/>
      <c r="E50" s="628"/>
      <c r="F50" s="628"/>
      <c r="G50" s="628"/>
      <c r="H50" s="628"/>
      <c r="I50" s="628"/>
      <c r="J50" s="628"/>
      <c r="K50" s="628"/>
      <c r="L50" s="628"/>
      <c r="M50" s="628"/>
      <c r="N50" s="628"/>
      <c r="O50" s="628"/>
      <c r="P50" s="628"/>
      <c r="Q50" s="628"/>
      <c r="R50" s="629"/>
    </row>
    <row r="51" spans="1:18">
      <c r="A51" s="627"/>
      <c r="B51" s="628"/>
      <c r="C51" s="628"/>
      <c r="D51" s="628"/>
      <c r="E51" s="628"/>
      <c r="F51" s="628"/>
      <c r="G51" s="628"/>
      <c r="H51" s="628"/>
      <c r="I51" s="628"/>
      <c r="J51" s="628"/>
      <c r="K51" s="628"/>
      <c r="L51" s="628"/>
      <c r="M51" s="628"/>
      <c r="N51" s="628"/>
      <c r="O51" s="628"/>
      <c r="P51" s="628"/>
      <c r="Q51" s="628"/>
      <c r="R51" s="629"/>
    </row>
    <row r="52" spans="1:18">
      <c r="A52" s="627"/>
      <c r="B52" s="628"/>
      <c r="C52" s="628"/>
      <c r="D52" s="628"/>
      <c r="E52" s="628"/>
      <c r="F52" s="628"/>
      <c r="G52" s="628"/>
      <c r="H52" s="628"/>
      <c r="I52" s="628"/>
      <c r="J52" s="628"/>
      <c r="K52" s="628"/>
      <c r="L52" s="628"/>
      <c r="M52" s="628"/>
      <c r="N52" s="628"/>
      <c r="O52" s="628"/>
      <c r="P52" s="628"/>
      <c r="Q52" s="628"/>
      <c r="R52" s="629"/>
    </row>
    <row r="53" spans="1:18">
      <c r="A53" s="627"/>
      <c r="B53" s="628"/>
      <c r="C53" s="628"/>
      <c r="D53" s="628"/>
      <c r="E53" s="628"/>
      <c r="F53" s="628"/>
      <c r="G53" s="628"/>
      <c r="H53" s="628"/>
      <c r="I53" s="628"/>
      <c r="J53" s="628"/>
      <c r="K53" s="628"/>
      <c r="L53" s="628"/>
      <c r="M53" s="628"/>
      <c r="N53" s="628"/>
      <c r="O53" s="628"/>
      <c r="P53" s="628"/>
      <c r="Q53" s="628"/>
      <c r="R53" s="629"/>
    </row>
    <row r="54" spans="1:18">
      <c r="A54" s="627"/>
      <c r="B54" s="628"/>
      <c r="C54" s="628"/>
      <c r="D54" s="628"/>
      <c r="E54" s="628"/>
      <c r="F54" s="628"/>
      <c r="G54" s="628"/>
      <c r="H54" s="628"/>
      <c r="I54" s="628"/>
      <c r="J54" s="628"/>
      <c r="K54" s="628"/>
      <c r="L54" s="628"/>
      <c r="M54" s="628"/>
      <c r="N54" s="628"/>
      <c r="O54" s="628"/>
      <c r="P54" s="628"/>
      <c r="Q54" s="628"/>
      <c r="R54" s="629"/>
    </row>
    <row r="55" spans="1:18">
      <c r="A55" s="627"/>
      <c r="B55" s="628"/>
      <c r="C55" s="628"/>
      <c r="D55" s="628"/>
      <c r="E55" s="628"/>
      <c r="F55" s="628"/>
      <c r="G55" s="628"/>
      <c r="H55" s="628"/>
      <c r="I55" s="628"/>
      <c r="J55" s="628"/>
      <c r="K55" s="628"/>
      <c r="L55" s="628"/>
      <c r="M55" s="628"/>
      <c r="N55" s="628"/>
      <c r="O55" s="628"/>
      <c r="P55" s="628"/>
      <c r="Q55" s="628"/>
      <c r="R55" s="629"/>
    </row>
    <row r="56" spans="1:18">
      <c r="A56" s="627"/>
      <c r="B56" s="628"/>
      <c r="C56" s="628"/>
      <c r="D56" s="628"/>
      <c r="E56" s="628"/>
      <c r="F56" s="628"/>
      <c r="G56" s="628"/>
      <c r="H56" s="628"/>
      <c r="I56" s="628"/>
      <c r="J56" s="628"/>
      <c r="K56" s="628"/>
      <c r="L56" s="628"/>
      <c r="M56" s="628"/>
      <c r="N56" s="628"/>
      <c r="O56" s="628"/>
      <c r="P56" s="628"/>
      <c r="Q56" s="628"/>
      <c r="R56" s="629"/>
    </row>
    <row r="57" spans="1:18">
      <c r="A57" s="627"/>
      <c r="B57" s="628"/>
      <c r="C57" s="628"/>
      <c r="D57" s="628"/>
      <c r="E57" s="628"/>
      <c r="F57" s="628"/>
      <c r="G57" s="628"/>
      <c r="H57" s="628"/>
      <c r="I57" s="628"/>
      <c r="J57" s="628"/>
      <c r="K57" s="628"/>
      <c r="L57" s="628"/>
      <c r="M57" s="628"/>
      <c r="N57" s="628"/>
      <c r="O57" s="628"/>
      <c r="P57" s="628"/>
      <c r="Q57" s="628"/>
      <c r="R57" s="629"/>
    </row>
    <row r="58" spans="1:18">
      <c r="A58" s="627"/>
      <c r="B58" s="628"/>
      <c r="C58" s="628"/>
      <c r="D58" s="628"/>
      <c r="E58" s="628"/>
      <c r="F58" s="628"/>
      <c r="G58" s="628"/>
      <c r="H58" s="628"/>
      <c r="I58" s="628"/>
      <c r="J58" s="628"/>
      <c r="K58" s="628"/>
      <c r="L58" s="628"/>
      <c r="M58" s="628"/>
      <c r="N58" s="628"/>
      <c r="O58" s="628"/>
      <c r="P58" s="628"/>
      <c r="Q58" s="628"/>
      <c r="R58" s="629"/>
    </row>
    <row r="59" spans="1:18">
      <c r="A59" s="627"/>
      <c r="B59" s="628"/>
      <c r="C59" s="628"/>
      <c r="D59" s="628"/>
      <c r="E59" s="628"/>
      <c r="F59" s="628"/>
      <c r="G59" s="628"/>
      <c r="H59" s="628"/>
      <c r="I59" s="628"/>
      <c r="J59" s="628"/>
      <c r="K59" s="628"/>
      <c r="L59" s="628"/>
      <c r="M59" s="628"/>
      <c r="N59" s="628"/>
      <c r="O59" s="628"/>
      <c r="P59" s="628"/>
      <c r="Q59" s="628"/>
      <c r="R59" s="629"/>
    </row>
    <row r="60" spans="1:18">
      <c r="A60" s="627"/>
      <c r="B60" s="628"/>
      <c r="C60" s="628"/>
      <c r="D60" s="628"/>
      <c r="E60" s="628"/>
      <c r="F60" s="628"/>
      <c r="G60" s="628"/>
      <c r="H60" s="628"/>
      <c r="I60" s="628"/>
      <c r="J60" s="628"/>
      <c r="K60" s="628"/>
      <c r="L60" s="628"/>
      <c r="M60" s="628"/>
      <c r="N60" s="628"/>
      <c r="O60" s="628"/>
      <c r="P60" s="628"/>
      <c r="Q60" s="628"/>
      <c r="R60" s="629"/>
    </row>
    <row r="61" spans="1:18">
      <c r="A61" s="627"/>
      <c r="B61" s="628"/>
      <c r="C61" s="628"/>
      <c r="D61" s="628"/>
      <c r="E61" s="628"/>
      <c r="F61" s="628"/>
      <c r="G61" s="628"/>
      <c r="H61" s="628"/>
      <c r="I61" s="628"/>
      <c r="J61" s="628"/>
      <c r="K61" s="628"/>
      <c r="L61" s="628"/>
      <c r="M61" s="628"/>
      <c r="N61" s="628"/>
      <c r="O61" s="628"/>
      <c r="P61" s="628"/>
      <c r="Q61" s="628"/>
      <c r="R61" s="629"/>
    </row>
    <row r="62" spans="1:18">
      <c r="A62" s="627"/>
      <c r="B62" s="628"/>
      <c r="C62" s="628"/>
      <c r="D62" s="628"/>
      <c r="E62" s="628"/>
      <c r="F62" s="628"/>
      <c r="G62" s="628"/>
      <c r="H62" s="628"/>
      <c r="I62" s="628"/>
      <c r="J62" s="628"/>
      <c r="K62" s="628"/>
      <c r="L62" s="628"/>
      <c r="M62" s="628"/>
      <c r="N62" s="628"/>
      <c r="O62" s="628"/>
      <c r="P62" s="628"/>
      <c r="Q62" s="628"/>
      <c r="R62" s="629"/>
    </row>
    <row r="63" spans="1:18">
      <c r="A63" s="627"/>
      <c r="B63" s="628"/>
      <c r="C63" s="628"/>
      <c r="D63" s="628"/>
      <c r="E63" s="628"/>
      <c r="F63" s="628"/>
      <c r="G63" s="628"/>
      <c r="H63" s="628"/>
      <c r="I63" s="628"/>
      <c r="J63" s="628"/>
      <c r="K63" s="628"/>
      <c r="L63" s="628"/>
      <c r="M63" s="628"/>
      <c r="N63" s="628"/>
      <c r="O63" s="628"/>
      <c r="P63" s="628"/>
      <c r="Q63" s="628"/>
      <c r="R63" s="629"/>
    </row>
    <row r="64" spans="1:18">
      <c r="A64" s="627"/>
      <c r="B64" s="628"/>
      <c r="C64" s="628"/>
      <c r="D64" s="628"/>
      <c r="E64" s="628"/>
      <c r="F64" s="628"/>
      <c r="G64" s="628"/>
      <c r="H64" s="628"/>
      <c r="I64" s="628"/>
      <c r="J64" s="628"/>
      <c r="K64" s="628"/>
      <c r="L64" s="628"/>
      <c r="M64" s="628"/>
      <c r="N64" s="628"/>
      <c r="O64" s="628"/>
      <c r="P64" s="628"/>
      <c r="Q64" s="628"/>
      <c r="R64" s="629"/>
    </row>
    <row r="65" spans="1:68">
      <c r="A65" s="627"/>
      <c r="B65" s="628"/>
      <c r="C65" s="628"/>
      <c r="D65" s="628"/>
      <c r="E65" s="628"/>
      <c r="F65" s="628"/>
      <c r="G65" s="628"/>
      <c r="H65" s="628"/>
      <c r="I65" s="628"/>
      <c r="J65" s="628"/>
      <c r="K65" s="628"/>
      <c r="L65" s="628"/>
      <c r="M65" s="628"/>
      <c r="N65" s="628"/>
      <c r="O65" s="628"/>
      <c r="P65" s="628"/>
      <c r="Q65" s="628"/>
      <c r="R65" s="629"/>
    </row>
    <row r="66" spans="1:68">
      <c r="A66" s="627"/>
      <c r="B66" s="628"/>
      <c r="C66" s="628"/>
      <c r="D66" s="628"/>
      <c r="E66" s="628"/>
      <c r="F66" s="628"/>
      <c r="G66" s="628"/>
      <c r="H66" s="628"/>
      <c r="I66" s="628"/>
      <c r="J66" s="628"/>
      <c r="K66" s="628"/>
      <c r="L66" s="628"/>
      <c r="M66" s="628"/>
      <c r="N66" s="628"/>
      <c r="O66" s="628"/>
      <c r="P66" s="628"/>
      <c r="Q66" s="628"/>
      <c r="R66" s="629"/>
    </row>
    <row r="67" spans="1:68">
      <c r="A67" s="627"/>
      <c r="B67" s="628"/>
      <c r="C67" s="628"/>
      <c r="D67" s="628"/>
      <c r="E67" s="628"/>
      <c r="F67" s="628"/>
      <c r="G67" s="628"/>
      <c r="H67" s="628"/>
      <c r="I67" s="628"/>
      <c r="J67" s="628"/>
      <c r="K67" s="628"/>
      <c r="L67" s="628"/>
      <c r="M67" s="628"/>
      <c r="N67" s="628"/>
      <c r="O67" s="628"/>
      <c r="P67" s="628"/>
      <c r="Q67" s="628"/>
      <c r="R67" s="629"/>
    </row>
    <row r="68" spans="1:68" ht="15" thickBot="1">
      <c r="A68" s="630"/>
      <c r="B68" s="631"/>
      <c r="C68" s="631"/>
      <c r="D68" s="631"/>
      <c r="E68" s="631"/>
      <c r="F68" s="631"/>
      <c r="G68" s="631"/>
      <c r="H68" s="631"/>
      <c r="I68" s="631"/>
      <c r="J68" s="631"/>
      <c r="K68" s="631"/>
      <c r="L68" s="631"/>
      <c r="M68" s="631"/>
      <c r="N68" s="631"/>
      <c r="O68" s="631"/>
      <c r="P68" s="631"/>
      <c r="Q68" s="631"/>
      <c r="R68" s="632"/>
    </row>
    <row r="69" spans="1:68" ht="18.75" thickBot="1">
      <c r="A69" s="61">
        <v>3</v>
      </c>
      <c r="B69" s="26"/>
      <c r="C69" s="26"/>
      <c r="D69" s="26"/>
      <c r="E69" s="26"/>
      <c r="F69" s="26"/>
      <c r="G69" s="26"/>
      <c r="H69" s="26"/>
      <c r="I69" s="26"/>
      <c r="J69" s="26"/>
      <c r="K69" s="26"/>
      <c r="L69" s="26"/>
      <c r="M69" s="26"/>
      <c r="N69" s="26"/>
      <c r="O69" s="26"/>
      <c r="P69" s="26"/>
      <c r="Q69" s="26"/>
      <c r="R69" s="26"/>
      <c r="S69" s="26"/>
    </row>
    <row r="70" spans="1:68">
      <c r="A70" s="615"/>
      <c r="B70" s="616"/>
      <c r="C70" s="616"/>
      <c r="D70" s="616"/>
      <c r="E70" s="616"/>
      <c r="F70" s="616"/>
      <c r="G70" s="616"/>
      <c r="H70" s="616"/>
      <c r="I70" s="616"/>
      <c r="J70" s="616"/>
      <c r="K70" s="616"/>
      <c r="L70" s="616"/>
      <c r="M70" s="616"/>
      <c r="N70" s="616"/>
      <c r="O70" s="616"/>
      <c r="P70" s="616"/>
      <c r="Q70" s="616"/>
      <c r="R70" s="617"/>
    </row>
    <row r="71" spans="1:68">
      <c r="A71" s="618"/>
      <c r="B71" s="619"/>
      <c r="C71" s="619"/>
      <c r="D71" s="619"/>
      <c r="E71" s="619"/>
      <c r="F71" s="619"/>
      <c r="G71" s="619"/>
      <c r="H71" s="619"/>
      <c r="I71" s="619"/>
      <c r="J71" s="619"/>
      <c r="K71" s="619"/>
      <c r="L71" s="619"/>
      <c r="M71" s="619"/>
      <c r="N71" s="619"/>
      <c r="O71" s="619"/>
      <c r="P71" s="619"/>
      <c r="Q71" s="619"/>
      <c r="R71" s="620"/>
    </row>
    <row r="72" spans="1:68">
      <c r="A72" s="618"/>
      <c r="B72" s="619"/>
      <c r="C72" s="619"/>
      <c r="D72" s="619"/>
      <c r="E72" s="619"/>
      <c r="F72" s="619"/>
      <c r="G72" s="619"/>
      <c r="H72" s="619"/>
      <c r="I72" s="619"/>
      <c r="J72" s="619"/>
      <c r="K72" s="619"/>
      <c r="L72" s="619"/>
      <c r="M72" s="619"/>
      <c r="N72" s="619"/>
      <c r="O72" s="619"/>
      <c r="P72" s="619"/>
      <c r="Q72" s="619"/>
      <c r="R72" s="620"/>
    </row>
    <row r="73" spans="1:68">
      <c r="A73" s="618"/>
      <c r="B73" s="619"/>
      <c r="C73" s="619"/>
      <c r="D73" s="619"/>
      <c r="E73" s="619"/>
      <c r="F73" s="619"/>
      <c r="G73" s="619"/>
      <c r="H73" s="619"/>
      <c r="I73" s="619"/>
      <c r="J73" s="619"/>
      <c r="K73" s="619"/>
      <c r="L73" s="619"/>
      <c r="M73" s="619"/>
      <c r="N73" s="619"/>
      <c r="O73" s="619"/>
      <c r="P73" s="619"/>
      <c r="Q73" s="619"/>
      <c r="R73" s="620"/>
    </row>
    <row r="74" spans="1:68">
      <c r="A74" s="618"/>
      <c r="B74" s="619"/>
      <c r="C74" s="619"/>
      <c r="D74" s="619"/>
      <c r="E74" s="619"/>
      <c r="F74" s="619"/>
      <c r="G74" s="619"/>
      <c r="H74" s="619"/>
      <c r="I74" s="619"/>
      <c r="J74" s="619"/>
      <c r="K74" s="619"/>
      <c r="L74" s="619"/>
      <c r="M74" s="619"/>
      <c r="N74" s="619"/>
      <c r="O74" s="619"/>
      <c r="P74" s="619"/>
      <c r="Q74" s="619"/>
      <c r="R74" s="620"/>
    </row>
    <row r="75" spans="1:68">
      <c r="A75" s="618"/>
      <c r="B75" s="619"/>
      <c r="C75" s="619"/>
      <c r="D75" s="619"/>
      <c r="E75" s="619"/>
      <c r="F75" s="619"/>
      <c r="G75" s="619"/>
      <c r="H75" s="619"/>
      <c r="I75" s="619"/>
      <c r="J75" s="619"/>
      <c r="K75" s="619"/>
      <c r="L75" s="619"/>
      <c r="M75" s="619"/>
      <c r="N75" s="619"/>
      <c r="O75" s="619"/>
      <c r="P75" s="619"/>
      <c r="Q75" s="619"/>
      <c r="R75" s="620"/>
    </row>
    <row r="76" spans="1:68">
      <c r="A76" s="618"/>
      <c r="B76" s="619"/>
      <c r="C76" s="619"/>
      <c r="D76" s="619"/>
      <c r="E76" s="619"/>
      <c r="F76" s="619"/>
      <c r="G76" s="619"/>
      <c r="H76" s="619"/>
      <c r="I76" s="619"/>
      <c r="J76" s="619"/>
      <c r="K76" s="619"/>
      <c r="L76" s="619"/>
      <c r="M76" s="619"/>
      <c r="N76" s="619"/>
      <c r="O76" s="619"/>
      <c r="P76" s="619"/>
      <c r="Q76" s="619"/>
      <c r="R76" s="620"/>
    </row>
    <row r="77" spans="1:68">
      <c r="A77" s="618"/>
      <c r="B77" s="619"/>
      <c r="C77" s="619"/>
      <c r="D77" s="619"/>
      <c r="E77" s="619"/>
      <c r="F77" s="619"/>
      <c r="G77" s="619"/>
      <c r="H77" s="619"/>
      <c r="I77" s="619"/>
      <c r="J77" s="619"/>
      <c r="K77" s="619"/>
      <c r="L77" s="619"/>
      <c r="M77" s="619"/>
      <c r="N77" s="619"/>
      <c r="O77" s="619"/>
      <c r="P77" s="619"/>
      <c r="Q77" s="619"/>
      <c r="R77" s="620"/>
    </row>
    <row r="78" spans="1:68">
      <c r="A78" s="618"/>
      <c r="B78" s="619"/>
      <c r="C78" s="619"/>
      <c r="D78" s="619"/>
      <c r="E78" s="619"/>
      <c r="F78" s="619"/>
      <c r="G78" s="619"/>
      <c r="H78" s="619"/>
      <c r="I78" s="619"/>
      <c r="J78" s="619"/>
      <c r="K78" s="619"/>
      <c r="L78" s="619"/>
      <c r="M78" s="619"/>
      <c r="N78" s="619"/>
      <c r="O78" s="619"/>
      <c r="P78" s="619"/>
      <c r="Q78" s="619"/>
      <c r="R78" s="620"/>
    </row>
    <row r="79" spans="1:68">
      <c r="A79" s="618"/>
      <c r="B79" s="619"/>
      <c r="C79" s="619"/>
      <c r="D79" s="619"/>
      <c r="E79" s="619"/>
      <c r="F79" s="619"/>
      <c r="G79" s="619"/>
      <c r="H79" s="619"/>
      <c r="I79" s="619"/>
      <c r="J79" s="619"/>
      <c r="K79" s="619"/>
      <c r="L79" s="619"/>
      <c r="M79" s="619"/>
      <c r="N79" s="619"/>
      <c r="O79" s="619"/>
      <c r="P79" s="619"/>
      <c r="Q79" s="619"/>
      <c r="R79" s="620"/>
    </row>
    <row r="80" spans="1:68">
      <c r="A80" s="618"/>
      <c r="B80" s="619"/>
      <c r="C80" s="619"/>
      <c r="D80" s="619"/>
      <c r="E80" s="619"/>
      <c r="F80" s="619"/>
      <c r="G80" s="619"/>
      <c r="H80" s="619"/>
      <c r="I80" s="619"/>
      <c r="J80" s="619"/>
      <c r="K80" s="619"/>
      <c r="L80" s="619"/>
      <c r="M80" s="619"/>
      <c r="N80" s="619"/>
      <c r="O80" s="619"/>
      <c r="P80" s="619"/>
      <c r="Q80" s="619"/>
      <c r="R80" s="620"/>
      <c r="BL80" t="s">
        <v>206</v>
      </c>
      <c r="BP80" t="s">
        <v>13</v>
      </c>
    </row>
    <row r="81" spans="1:68">
      <c r="A81" s="618"/>
      <c r="B81" s="619"/>
      <c r="C81" s="619"/>
      <c r="D81" s="619"/>
      <c r="E81" s="619"/>
      <c r="F81" s="619"/>
      <c r="G81" s="619"/>
      <c r="H81" s="619"/>
      <c r="I81" s="619"/>
      <c r="J81" s="619"/>
      <c r="K81" s="619"/>
      <c r="L81" s="619"/>
      <c r="M81" s="619"/>
      <c r="N81" s="619"/>
      <c r="O81" s="619"/>
      <c r="P81" s="619"/>
      <c r="Q81" s="619"/>
      <c r="R81" s="620"/>
    </row>
    <row r="82" spans="1:68">
      <c r="A82" s="618"/>
      <c r="B82" s="619"/>
      <c r="C82" s="619"/>
      <c r="D82" s="619"/>
      <c r="E82" s="619"/>
      <c r="F82" s="619"/>
      <c r="G82" s="619"/>
      <c r="H82" s="619"/>
      <c r="I82" s="619"/>
      <c r="J82" s="619"/>
      <c r="K82" s="619"/>
      <c r="L82" s="619"/>
      <c r="M82" s="619"/>
      <c r="N82" s="619"/>
      <c r="O82" s="619"/>
      <c r="P82" s="619"/>
      <c r="Q82" s="619"/>
      <c r="R82" s="620"/>
      <c r="BK82" t="s">
        <v>146</v>
      </c>
      <c r="BL82" t="s">
        <v>147</v>
      </c>
      <c r="BO82" t="s">
        <v>146</v>
      </c>
      <c r="BP82" t="s">
        <v>147</v>
      </c>
    </row>
    <row r="83" spans="1:68">
      <c r="A83" s="618"/>
      <c r="B83" s="619"/>
      <c r="C83" s="619"/>
      <c r="D83" s="619"/>
      <c r="E83" s="619"/>
      <c r="F83" s="619"/>
      <c r="G83" s="619"/>
      <c r="H83" s="619"/>
      <c r="I83" s="619"/>
      <c r="J83" s="619"/>
      <c r="K83" s="619"/>
      <c r="L83" s="619"/>
      <c r="M83" s="619"/>
      <c r="N83" s="619"/>
      <c r="O83" s="619"/>
      <c r="P83" s="619"/>
      <c r="Q83" s="619"/>
      <c r="R83" s="620"/>
      <c r="BK83" t="str">
        <f>IF(AND('desigh Stairs'!$A$1=3,'desigh Stairs'!AI28&lt;10),0.2," ")</f>
        <v xml:space="preserve"> </v>
      </c>
      <c r="BL83" t="str">
        <f>IF(AND('desigh Stairs'!$A$1=3,'desigh Stairs'!AI28&lt;10),0.6," ")</f>
        <v xml:space="preserve"> </v>
      </c>
      <c r="BM83" t="s">
        <v>190</v>
      </c>
      <c r="BO83" t="str">
        <f>IF(AND('desigh Stairs'!$AL$21='desigh Stairs'!$AL$21,'desigh Stairs'!$A$1=3),5.13," ")</f>
        <v xml:space="preserve"> </v>
      </c>
      <c r="BP83" t="str">
        <f>IF(AND('desigh Stairs'!$AL$21='desigh Stairs'!$AL$21,'desigh Stairs'!$A$1=3),0.6," ")</f>
        <v xml:space="preserve"> </v>
      </c>
    </row>
    <row r="84" spans="1:68">
      <c r="A84" s="618"/>
      <c r="B84" s="619"/>
      <c r="C84" s="619"/>
      <c r="D84" s="619"/>
      <c r="E84" s="619"/>
      <c r="F84" s="619"/>
      <c r="G84" s="619"/>
      <c r="H84" s="619"/>
      <c r="I84" s="619"/>
      <c r="J84" s="619"/>
      <c r="K84" s="619"/>
      <c r="L84" s="619"/>
      <c r="M84" s="619"/>
      <c r="N84" s="619"/>
      <c r="O84" s="619"/>
      <c r="P84" s="619"/>
      <c r="Q84" s="619"/>
      <c r="R84" s="620"/>
      <c r="BK84" t="str">
        <f>IF(AND(AND('desigh Stairs'!$A$1=3,'desigh Stairs'!AI28&lt;&gt;2),'desigh Stairs'!AI28&lt;&gt;3),0.2," ")</f>
        <v xml:space="preserve"> </v>
      </c>
      <c r="BL84" t="str">
        <f>IF(AND(AND('desigh Stairs'!$A$1=3,'desigh Stairs'!AI28&lt;&gt;2),'desigh Stairs'!AI28&lt;&gt;3),1," ")</f>
        <v xml:space="preserve"> </v>
      </c>
      <c r="BM84" t="s">
        <v>191</v>
      </c>
      <c r="BO84" t="str">
        <f>IF(AND('desigh Stairs'!$AL$21='desigh Stairs'!$AL$21,'desigh Stairs'!$A$1=3),5.13," ")</f>
        <v xml:space="preserve"> </v>
      </c>
      <c r="BP84" t="str">
        <f>IF(AND('desigh Stairs'!$AL$21='desigh Stairs'!$AL$21,'desigh Stairs'!$A$1=3),1," ")</f>
        <v xml:space="preserve"> </v>
      </c>
    </row>
    <row r="85" spans="1:68">
      <c r="A85" s="618"/>
      <c r="B85" s="619"/>
      <c r="C85" s="619"/>
      <c r="D85" s="619"/>
      <c r="E85" s="619"/>
      <c r="F85" s="619"/>
      <c r="G85" s="619"/>
      <c r="H85" s="619"/>
      <c r="I85" s="619"/>
      <c r="J85" s="619"/>
      <c r="K85" s="619"/>
      <c r="L85" s="619"/>
      <c r="M85" s="619"/>
      <c r="N85" s="619"/>
      <c r="O85" s="619"/>
      <c r="P85" s="619"/>
      <c r="Q85" s="619"/>
      <c r="R85" s="620"/>
      <c r="BK85" t="str">
        <f>IF(AND('desigh Stairs'!$A$1=3,'desigh Stairs'!AI28&lt;&gt;2),0.44," ")</f>
        <v xml:space="preserve"> </v>
      </c>
      <c r="BL85" t="str">
        <f>IF(AND('desigh Stairs'!$A$1=3,'desigh Stairs'!AI28&lt;&gt;2),0.6," ")</f>
        <v xml:space="preserve"> </v>
      </c>
      <c r="BM85" t="s">
        <v>189</v>
      </c>
      <c r="BO85" t="str">
        <f>IF(AND('desigh Stairs'!$AL$21='desigh Stairs'!$AL$21,'desigh Stairs'!$A$1=3),5.35," ")</f>
        <v xml:space="preserve"> </v>
      </c>
      <c r="BP85" t="str">
        <f>IF(AND('desigh Stairs'!$AL$21='desigh Stairs'!$AL$21,'desigh Stairs'!$A$1=3),0.6," ")</f>
        <v xml:space="preserve"> </v>
      </c>
    </row>
    <row r="86" spans="1:68">
      <c r="A86" s="618"/>
      <c r="B86" s="619"/>
      <c r="C86" s="619"/>
      <c r="D86" s="619"/>
      <c r="E86" s="619"/>
      <c r="F86" s="619"/>
      <c r="G86" s="619"/>
      <c r="H86" s="619"/>
      <c r="I86" s="619"/>
      <c r="J86" s="619"/>
      <c r="K86" s="619"/>
      <c r="L86" s="619"/>
      <c r="M86" s="619"/>
      <c r="N86" s="619"/>
      <c r="O86" s="619"/>
      <c r="P86" s="619"/>
      <c r="Q86" s="619"/>
      <c r="R86" s="620"/>
      <c r="BK86" t="str">
        <f>IF(AND('desigh Stairs'!$AL$21='desigh Stairs'!$AL$21,'desigh Stairs'!$A$1=3),0.65," ")</f>
        <v xml:space="preserve"> </v>
      </c>
      <c r="BL86" t="str">
        <f>IF(AND('desigh Stairs'!$AL$21='desigh Stairs'!$AL$21,'desigh Stairs'!$A$1=3),0.6," ")</f>
        <v xml:space="preserve"> </v>
      </c>
      <c r="BM86" t="s">
        <v>188</v>
      </c>
      <c r="BO86" t="str">
        <f>IF(AND('desigh Stairs'!$AL$21='desigh Stairs'!$AL$21,'desigh Stairs'!$A$1=3),5.59," ")</f>
        <v xml:space="preserve"> </v>
      </c>
      <c r="BP86" t="str">
        <f>IF(AND('desigh Stairs'!$AL$21='desigh Stairs'!$AL$21,'desigh Stairs'!$A$1=3),0.6," ")</f>
        <v xml:space="preserve"> </v>
      </c>
    </row>
    <row r="87" spans="1:68">
      <c r="A87" s="618"/>
      <c r="B87" s="619"/>
      <c r="C87" s="619"/>
      <c r="D87" s="619"/>
      <c r="E87" s="619"/>
      <c r="F87" s="619"/>
      <c r="G87" s="619"/>
      <c r="H87" s="619"/>
      <c r="I87" s="619"/>
      <c r="J87" s="619"/>
      <c r="K87" s="619"/>
      <c r="L87" s="619"/>
      <c r="M87" s="619"/>
      <c r="N87" s="619"/>
      <c r="O87" s="619"/>
      <c r="P87" s="619"/>
      <c r="Q87" s="619"/>
      <c r="R87" s="620"/>
      <c r="BO87" t="str">
        <f>IF(AND('desigh Stairs'!$AL$21='desigh Stairs'!$AL$21,'desigh Stairs'!$A$1=3),5.35," ")</f>
        <v xml:space="preserve"> </v>
      </c>
      <c r="BP87" t="str">
        <f>IF(AND('desigh Stairs'!$AL$21='desigh Stairs'!$AL$21,'desigh Stairs'!$A$1=3),1," ")</f>
        <v xml:space="preserve"> </v>
      </c>
    </row>
    <row r="88" spans="1:68">
      <c r="A88" s="618"/>
      <c r="B88" s="619"/>
      <c r="C88" s="619"/>
      <c r="D88" s="619"/>
      <c r="E88" s="619"/>
      <c r="F88" s="619"/>
      <c r="G88" s="619"/>
      <c r="H88" s="619"/>
      <c r="I88" s="619"/>
      <c r="J88" s="619"/>
      <c r="K88" s="619"/>
      <c r="L88" s="619"/>
      <c r="M88" s="619"/>
      <c r="N88" s="619"/>
      <c r="O88" s="619"/>
      <c r="P88" s="619"/>
      <c r="Q88" s="619"/>
      <c r="R88" s="620"/>
      <c r="BJ88" t="s">
        <v>140</v>
      </c>
      <c r="BK88" t="str">
        <f>IF(AND('desigh Stairs'!$AL$21='desigh Stairs'!$AL$21,'desigh Stairs'!$A$1=3),0.65," ")</f>
        <v xml:space="preserve"> </v>
      </c>
      <c r="BL88" t="str">
        <f>IF(AND('desigh Stairs'!$AL$21='desigh Stairs'!$AL$21,'desigh Stairs'!$A$1=3),1," ")</f>
        <v xml:space="preserve"> </v>
      </c>
      <c r="BM88" t="s">
        <v>192</v>
      </c>
      <c r="BO88" t="str">
        <f>IF(AND('desigh Stairs'!$AL$21='desigh Stairs'!$AL$21,'desigh Stairs'!$A$1=3),5.59," ")</f>
        <v xml:space="preserve"> </v>
      </c>
      <c r="BP88" t="str">
        <f>IF(AND('desigh Stairs'!$AL$21='desigh Stairs'!$AL$21,'desigh Stairs'!$A$1=3),1," ")</f>
        <v xml:space="preserve"> </v>
      </c>
    </row>
    <row r="89" spans="1:68">
      <c r="A89" s="618"/>
      <c r="B89" s="619"/>
      <c r="C89" s="619"/>
      <c r="D89" s="619"/>
      <c r="E89" s="619"/>
      <c r="F89" s="619"/>
      <c r="G89" s="619"/>
      <c r="H89" s="619"/>
      <c r="I89" s="619"/>
      <c r="J89" s="619"/>
      <c r="K89" s="619"/>
      <c r="L89" s="619"/>
      <c r="M89" s="619"/>
      <c r="N89" s="619"/>
      <c r="O89" s="619"/>
      <c r="P89" s="619"/>
      <c r="Q89" s="619"/>
      <c r="R89" s="620"/>
      <c r="BK89" t="str">
        <f>IF(AND('desigh Stairs'!$AL$21='desigh Stairs'!$AL$21,'desigh Stairs'!$A$1=3),0.2," ")</f>
        <v xml:space="preserve"> </v>
      </c>
      <c r="BL89" t="str">
        <f>IF(AND('desigh Stairs'!$AL$21='desigh Stairs'!$AL$21,'desigh Stairs'!$A$1=3),1.4," ")</f>
        <v xml:space="preserve"> </v>
      </c>
      <c r="BM89" t="s">
        <v>193</v>
      </c>
      <c r="BO89" t="str">
        <f>IF(AND('desigh Stairs'!$AL$21='desigh Stairs'!$AL$21,'desigh Stairs'!$A$1=3),5.13," ")</f>
        <v xml:space="preserve"> </v>
      </c>
      <c r="BP89" t="str">
        <f>IF(AND('desigh Stairs'!$AL$21='desigh Stairs'!$AL$21,'desigh Stairs'!$A$1=3),1.4," ")</f>
        <v xml:space="preserve"> </v>
      </c>
    </row>
    <row r="90" spans="1:68">
      <c r="A90" s="618"/>
      <c r="B90" s="619"/>
      <c r="C90" s="619"/>
      <c r="D90" s="619"/>
      <c r="E90" s="619"/>
      <c r="F90" s="619"/>
      <c r="G90" s="619"/>
      <c r="H90" s="619"/>
      <c r="I90" s="619"/>
      <c r="J90" s="619"/>
      <c r="K90" s="619"/>
      <c r="L90" s="619"/>
      <c r="M90" s="619"/>
      <c r="N90" s="619"/>
      <c r="O90" s="619"/>
      <c r="P90" s="619"/>
      <c r="Q90" s="619"/>
      <c r="R90" s="620"/>
      <c r="BK90" t="str">
        <f>IF(AND('desigh Stairs'!$AL$21='desigh Stairs'!$AL$21,'desigh Stairs'!$A$1=3),0.44," ")</f>
        <v xml:space="preserve"> </v>
      </c>
      <c r="BL90" t="str">
        <f>IF(AND('desigh Stairs'!$AL$21='desigh Stairs'!$AL$21,'desigh Stairs'!$A$1=3),1," ")</f>
        <v xml:space="preserve"> </v>
      </c>
      <c r="BM90" t="s">
        <v>194</v>
      </c>
      <c r="BO90" t="str">
        <f>IF(AND('desigh Stairs'!$AL$21='desigh Stairs'!$AL$21,'desigh Stairs'!$A$1=3),5.35," ")</f>
        <v xml:space="preserve"> </v>
      </c>
      <c r="BP90" t="str">
        <f>IF(AND('desigh Stairs'!$AL$21='desigh Stairs'!$AL$21,'desigh Stairs'!$A$1=3),1," ")</f>
        <v xml:space="preserve"> </v>
      </c>
    </row>
    <row r="91" spans="1:68">
      <c r="A91" s="618"/>
      <c r="B91" s="619"/>
      <c r="C91" s="619"/>
      <c r="D91" s="619"/>
      <c r="E91" s="619"/>
      <c r="F91" s="619"/>
      <c r="G91" s="619"/>
      <c r="H91" s="619"/>
      <c r="I91" s="619"/>
      <c r="J91" s="619"/>
      <c r="K91" s="619"/>
      <c r="L91" s="619"/>
      <c r="M91" s="619"/>
      <c r="N91" s="619"/>
      <c r="O91" s="619"/>
      <c r="P91" s="619"/>
      <c r="Q91" s="619"/>
      <c r="R91" s="620"/>
      <c r="BK91" t="str">
        <f>IF(AND('desigh Stairs'!$AL$21='desigh Stairs'!$AL$21,'desigh Stairs'!$A$1=3),0.65," ")</f>
        <v xml:space="preserve"> </v>
      </c>
      <c r="BL91" t="str">
        <f>IF(AND('desigh Stairs'!$AL$21='desigh Stairs'!$AL$21,'desigh Stairs'!$A$1=3),1," ")</f>
        <v xml:space="preserve"> </v>
      </c>
      <c r="BM91" t="s">
        <v>192</v>
      </c>
      <c r="BO91" t="str">
        <f>IF(AND('desigh Stairs'!$AL$21='desigh Stairs'!$AL$21,'desigh Stairs'!$A$1=3),5.59," ")</f>
        <v xml:space="preserve"> </v>
      </c>
      <c r="BP91" t="str">
        <f>IF(AND('desigh Stairs'!$AL$21='desigh Stairs'!$AL$21,'desigh Stairs'!$A$1=3),1," ")</f>
        <v xml:space="preserve"> </v>
      </c>
    </row>
    <row r="92" spans="1:68">
      <c r="A92" s="618"/>
      <c r="B92" s="619"/>
      <c r="C92" s="619"/>
      <c r="D92" s="619"/>
      <c r="E92" s="619"/>
      <c r="F92" s="619"/>
      <c r="G92" s="619"/>
      <c r="H92" s="619"/>
      <c r="I92" s="619"/>
      <c r="J92" s="619"/>
      <c r="K92" s="619"/>
      <c r="L92" s="619"/>
      <c r="M92" s="619"/>
      <c r="N92" s="619"/>
      <c r="O92" s="619"/>
      <c r="P92" s="619"/>
      <c r="Q92" s="619"/>
      <c r="R92" s="620"/>
      <c r="BK92" t="str">
        <f>IF(AND('desigh Stairs'!$AL$21='desigh Stairs'!$AL$21,'desigh Stairs'!$A$1=3),0.44," ")</f>
        <v xml:space="preserve"> </v>
      </c>
      <c r="BL92" t="str">
        <f>IF(AND('desigh Stairs'!$AL$21='desigh Stairs'!$AL$21,'desigh Stairs'!$A$1=3),1.4," ")</f>
        <v xml:space="preserve"> </v>
      </c>
      <c r="BM92" t="s">
        <v>196</v>
      </c>
      <c r="BO92" t="str">
        <f>IF(AND('desigh Stairs'!$AL$21='desigh Stairs'!$AL$21,'desigh Stairs'!$A$1=3),5.35," ")</f>
        <v xml:space="preserve"> </v>
      </c>
      <c r="BP92" t="str">
        <f>IF(AND('desigh Stairs'!$AL$21='desigh Stairs'!$AL$21,'desigh Stairs'!$A$1=3),1.4," ")</f>
        <v xml:space="preserve"> </v>
      </c>
    </row>
    <row r="93" spans="1:68">
      <c r="A93" s="618"/>
      <c r="B93" s="619"/>
      <c r="C93" s="619"/>
      <c r="D93" s="619"/>
      <c r="E93" s="619"/>
      <c r="F93" s="619"/>
      <c r="G93" s="619"/>
      <c r="H93" s="619"/>
      <c r="I93" s="619"/>
      <c r="J93" s="619"/>
      <c r="K93" s="619"/>
      <c r="L93" s="619"/>
      <c r="M93" s="619"/>
      <c r="N93" s="619"/>
      <c r="O93" s="619"/>
      <c r="P93" s="619"/>
      <c r="Q93" s="619"/>
      <c r="R93" s="620"/>
      <c r="BK93" t="str">
        <f>IF(AND('desigh Stairs'!$AL$21='desigh Stairs'!$AL$21,'desigh Stairs'!$A$1=3),0.65," ")</f>
        <v xml:space="preserve"> </v>
      </c>
      <c r="BL93" t="str">
        <f>IF(AND('desigh Stairs'!$AL$21='desigh Stairs'!$AL$21,'desigh Stairs'!$A$1=3),1.4," ")</f>
        <v xml:space="preserve"> </v>
      </c>
      <c r="BM93" t="s">
        <v>195</v>
      </c>
      <c r="BO93" t="str">
        <f>IF(AND('desigh Stairs'!$AL$21='desigh Stairs'!$AL$21,'desigh Stairs'!$A$1=3),5.59," ")</f>
        <v xml:space="preserve"> </v>
      </c>
      <c r="BP93" t="str">
        <f>IF(AND('desigh Stairs'!$AL$21='desigh Stairs'!$AL$21,'desigh Stairs'!$A$1=3),1.4," ")</f>
        <v xml:space="preserve"> </v>
      </c>
    </row>
    <row r="94" spans="1:68">
      <c r="A94" s="618"/>
      <c r="B94" s="619"/>
      <c r="C94" s="619"/>
      <c r="D94" s="619"/>
      <c r="E94" s="619"/>
      <c r="F94" s="619"/>
      <c r="G94" s="619"/>
      <c r="H94" s="619"/>
      <c r="I94" s="619"/>
      <c r="J94" s="619"/>
      <c r="K94" s="619"/>
      <c r="L94" s="619"/>
      <c r="M94" s="619"/>
      <c r="N94" s="619"/>
      <c r="O94" s="619"/>
      <c r="P94" s="619"/>
      <c r="Q94" s="619"/>
      <c r="R94" s="620"/>
      <c r="BK94" t="s">
        <v>146</v>
      </c>
      <c r="BL94" t="s">
        <v>147</v>
      </c>
    </row>
    <row r="95" spans="1:68">
      <c r="A95" s="618"/>
      <c r="B95" s="619"/>
      <c r="C95" s="619"/>
      <c r="D95" s="619"/>
      <c r="E95" s="619"/>
      <c r="F95" s="619"/>
      <c r="G95" s="619"/>
      <c r="H95" s="619"/>
      <c r="I95" s="619"/>
      <c r="J95" s="619"/>
      <c r="K95" s="619"/>
      <c r="L95" s="619"/>
      <c r="M95" s="619"/>
      <c r="N95" s="619"/>
      <c r="O95" s="619"/>
      <c r="P95" s="619"/>
      <c r="Q95" s="619"/>
      <c r="R95" s="620"/>
      <c r="BJ95" t="s">
        <v>138</v>
      </c>
      <c r="BK95" t="str">
        <f>IF(AND('desigh Stairs'!$AL$21='desigh Stairs'!$AL$21,'desigh Stairs'!$A$1=3),0.21," ")</f>
        <v xml:space="preserve"> </v>
      </c>
      <c r="BL95" t="str">
        <f>IF(AND('desigh Stairs'!$AL$21='desigh Stairs'!$AL$21,'desigh Stairs'!$A$1=3),5.2," ")</f>
        <v xml:space="preserve"> </v>
      </c>
      <c r="BM95" t="s">
        <v>197</v>
      </c>
      <c r="BO95" t="str">
        <f>IF(AND('desigh Stairs'!$AL$21='desigh Stairs'!$AL$21,'desigh Stairs'!$A$1=3),5.13," ")</f>
        <v xml:space="preserve"> </v>
      </c>
      <c r="BP95" t="str">
        <f>IF(AND('desigh Stairs'!$AL$21='desigh Stairs'!$AL$21,'desigh Stairs'!$A$1=3),5.2," ")</f>
        <v xml:space="preserve"> </v>
      </c>
    </row>
    <row r="96" spans="1:68">
      <c r="A96" s="618"/>
      <c r="B96" s="619"/>
      <c r="C96" s="619"/>
      <c r="D96" s="619"/>
      <c r="E96" s="619"/>
      <c r="F96" s="619"/>
      <c r="G96" s="619"/>
      <c r="H96" s="619"/>
      <c r="I96" s="619"/>
      <c r="J96" s="619"/>
      <c r="K96" s="619"/>
      <c r="L96" s="619"/>
      <c r="M96" s="619"/>
      <c r="N96" s="619"/>
      <c r="O96" s="619"/>
      <c r="P96" s="619"/>
      <c r="Q96" s="619"/>
      <c r="R96" s="620"/>
      <c r="BK96" t="str">
        <f>IF(AND('desigh Stairs'!$AL$21='desigh Stairs'!$AL$21,'desigh Stairs'!$A$1=3),0.21," ")</f>
        <v xml:space="preserve"> </v>
      </c>
      <c r="BL96" t="str">
        <f>IF(AND('desigh Stairs'!$AL$21='desigh Stairs'!$AL$21,'desigh Stairs'!$A$1=3),4.8," ")</f>
        <v xml:space="preserve"> </v>
      </c>
      <c r="BM96" t="s">
        <v>200</v>
      </c>
      <c r="BO96" t="str">
        <f>IF(AND('desigh Stairs'!$AL$21='desigh Stairs'!$AL$21,'desigh Stairs'!$A$1=3),5.13," ")</f>
        <v xml:space="preserve"> </v>
      </c>
      <c r="BP96" t="str">
        <f>IF(AND('desigh Stairs'!$AL$21='desigh Stairs'!$AL$21,'desigh Stairs'!$A$1=3),4.8," ")</f>
        <v xml:space="preserve"> </v>
      </c>
    </row>
    <row r="97" spans="1:68" ht="15" thickBot="1">
      <c r="A97" s="621"/>
      <c r="B97" s="622"/>
      <c r="C97" s="622"/>
      <c r="D97" s="622"/>
      <c r="E97" s="622"/>
      <c r="F97" s="622"/>
      <c r="G97" s="622"/>
      <c r="H97" s="622"/>
      <c r="I97" s="622"/>
      <c r="J97" s="622"/>
      <c r="K97" s="622"/>
      <c r="L97" s="622"/>
      <c r="M97" s="622"/>
      <c r="N97" s="622"/>
      <c r="O97" s="622"/>
      <c r="P97" s="622"/>
      <c r="Q97" s="622"/>
      <c r="R97" s="623"/>
      <c r="BK97" t="str">
        <f>IF(AND('desigh Stairs'!$AL$21='desigh Stairs'!$AL$21,'desigh Stairs'!$A$1=3),0.21," ")</f>
        <v xml:space="preserve"> </v>
      </c>
      <c r="BL97" t="str">
        <f>IF(AND('desigh Stairs'!$AL$21='desigh Stairs'!$AL$21,'desigh Stairs'!$A$1=3),4.4," ")</f>
        <v xml:space="preserve"> </v>
      </c>
      <c r="BM97" t="s">
        <v>201</v>
      </c>
      <c r="BO97" t="str">
        <f>IF(AND('desigh Stairs'!$AL$21='desigh Stairs'!$AL$21,'desigh Stairs'!$A$1=3),5.13," ")</f>
        <v xml:space="preserve"> </v>
      </c>
      <c r="BP97" t="str">
        <f>IF(AND('desigh Stairs'!$AL$21='desigh Stairs'!$AL$21,'desigh Stairs'!$A$1=3),4.4," ")</f>
        <v xml:space="preserve"> </v>
      </c>
    </row>
    <row r="98" spans="1:68" ht="18.75" thickBot="1">
      <c r="A98" s="61">
        <v>4</v>
      </c>
      <c r="B98" s="26"/>
      <c r="C98" s="26"/>
      <c r="D98" s="26"/>
      <c r="E98" s="26"/>
      <c r="F98" s="26"/>
      <c r="G98" s="26"/>
      <c r="H98" s="26"/>
      <c r="I98" s="26"/>
      <c r="J98" s="26"/>
      <c r="K98" s="26"/>
      <c r="L98" s="26"/>
      <c r="M98" s="26"/>
      <c r="N98" s="26"/>
      <c r="O98" s="26"/>
      <c r="P98" s="26"/>
      <c r="Q98" s="26"/>
      <c r="R98" s="26"/>
      <c r="S98" s="26"/>
      <c r="BK98" t="str">
        <f>IF(AND('desigh Stairs'!$AL$21='desigh Stairs'!$AL$21,'desigh Stairs'!$A$1=3),0.44," ")</f>
        <v xml:space="preserve"> </v>
      </c>
      <c r="BL98" t="str">
        <f>IF(AND('desigh Stairs'!$AL$21='desigh Stairs'!$AL$21,'desigh Stairs'!$A$1=3),5.2," ")</f>
        <v xml:space="preserve"> </v>
      </c>
      <c r="BM98" t="s">
        <v>198</v>
      </c>
      <c r="BO98" t="str">
        <f>IF(AND('desigh Stairs'!$AL$21='desigh Stairs'!$AL$21,'desigh Stairs'!$A$1=3),5.35," ")</f>
        <v xml:space="preserve"> </v>
      </c>
      <c r="BP98" t="str">
        <f>IF(AND('desigh Stairs'!$AL$21='desigh Stairs'!$AL$21,'desigh Stairs'!$A$1=3),5.2," ")</f>
        <v xml:space="preserve"> </v>
      </c>
    </row>
    <row r="99" spans="1:68">
      <c r="A99" s="615"/>
      <c r="B99" s="616"/>
      <c r="C99" s="616"/>
      <c r="D99" s="616"/>
      <c r="E99" s="616"/>
      <c r="F99" s="616"/>
      <c r="G99" s="616"/>
      <c r="H99" s="616"/>
      <c r="I99" s="616"/>
      <c r="J99" s="616"/>
      <c r="K99" s="616"/>
      <c r="L99" s="616"/>
      <c r="M99" s="616"/>
      <c r="N99" s="616"/>
      <c r="O99" s="616"/>
      <c r="P99" s="616"/>
      <c r="Q99" s="616"/>
      <c r="R99" s="617"/>
      <c r="BK99" t="str">
        <f>IF(AND('desigh Stairs'!$AL$21='desigh Stairs'!$AL$21,'desigh Stairs'!$A$1=3),0.44," ")</f>
        <v xml:space="preserve"> </v>
      </c>
      <c r="BL99" t="str">
        <f>IF(AND('desigh Stairs'!$AL$21='desigh Stairs'!$AL$21,'desigh Stairs'!$A$1=3),4.8," ")</f>
        <v xml:space="preserve"> </v>
      </c>
      <c r="BM99" t="s">
        <v>202</v>
      </c>
      <c r="BO99" t="str">
        <f>IF(AND('desigh Stairs'!$AL$21='desigh Stairs'!$AL$21,'desigh Stairs'!$A$1=3),5.35," ")</f>
        <v xml:space="preserve"> </v>
      </c>
      <c r="BP99" t="str">
        <f>IF(AND('desigh Stairs'!$AL$21='desigh Stairs'!$AL$21,'desigh Stairs'!$A$1=3),4.8," ")</f>
        <v xml:space="preserve"> </v>
      </c>
    </row>
    <row r="100" spans="1:68">
      <c r="A100" s="618"/>
      <c r="B100" s="619"/>
      <c r="C100" s="619"/>
      <c r="D100" s="619"/>
      <c r="E100" s="619"/>
      <c r="F100" s="619"/>
      <c r="G100" s="619"/>
      <c r="H100" s="619"/>
      <c r="I100" s="619"/>
      <c r="J100" s="619"/>
      <c r="K100" s="619"/>
      <c r="L100" s="619"/>
      <c r="M100" s="619"/>
      <c r="N100" s="619"/>
      <c r="O100" s="619"/>
      <c r="P100" s="619"/>
      <c r="Q100" s="619"/>
      <c r="R100" s="620"/>
      <c r="BK100" t="str">
        <f>IF(AND('desigh Stairs'!$AL$21='desigh Stairs'!$AL$21,'desigh Stairs'!$A$1=3),0.44," ")</f>
        <v xml:space="preserve"> </v>
      </c>
      <c r="BL100" t="str">
        <f>IF(AND('desigh Stairs'!$AL$21='desigh Stairs'!$AL$21,'desigh Stairs'!$A$1=3),4.4," ")</f>
        <v xml:space="preserve"> </v>
      </c>
      <c r="BM100" t="s">
        <v>203</v>
      </c>
      <c r="BO100" t="str">
        <f>IF(AND('desigh Stairs'!$AL$21='desigh Stairs'!$AL$21,'desigh Stairs'!$A$1=3),5.35," ")</f>
        <v xml:space="preserve"> </v>
      </c>
      <c r="BP100" t="str">
        <f>IF(AND('desigh Stairs'!$AL$21='desigh Stairs'!$AL$21,'desigh Stairs'!$A$1=3),4.4," ")</f>
        <v xml:space="preserve"> </v>
      </c>
    </row>
    <row r="101" spans="1:68">
      <c r="A101" s="618"/>
      <c r="B101" s="619"/>
      <c r="C101" s="619"/>
      <c r="D101" s="619"/>
      <c r="E101" s="619"/>
      <c r="F101" s="619"/>
      <c r="G101" s="619"/>
      <c r="H101" s="619"/>
      <c r="I101" s="619"/>
      <c r="J101" s="619"/>
      <c r="K101" s="619"/>
      <c r="L101" s="619"/>
      <c r="M101" s="619"/>
      <c r="N101" s="619"/>
      <c r="O101" s="619"/>
      <c r="P101" s="619"/>
      <c r="Q101" s="619"/>
      <c r="R101" s="620"/>
      <c r="BK101" t="str">
        <f>IF(AND('desigh Stairs'!$AL$21='desigh Stairs'!$AL$21,'desigh Stairs'!$A$1=3),0.65," ")</f>
        <v xml:space="preserve"> </v>
      </c>
      <c r="BL101" t="str">
        <f>IF(AND('desigh Stairs'!$AL$21='desigh Stairs'!$AL$21,'desigh Stairs'!$A$1=3),5.2," ")</f>
        <v xml:space="preserve"> </v>
      </c>
      <c r="BM101" t="s">
        <v>199</v>
      </c>
      <c r="BO101" t="str">
        <f>IF(AND('desigh Stairs'!$AL$21='desigh Stairs'!$AL$21,'desigh Stairs'!$A$1=3),5.59," ")</f>
        <v xml:space="preserve"> </v>
      </c>
      <c r="BP101" t="str">
        <f>IF(AND('desigh Stairs'!$AL$21='desigh Stairs'!$AL$21,'desigh Stairs'!$A$1=3),5.2," ")</f>
        <v xml:space="preserve"> </v>
      </c>
    </row>
    <row r="102" spans="1:68">
      <c r="A102" s="618"/>
      <c r="B102" s="619"/>
      <c r="C102" s="619"/>
      <c r="D102" s="619"/>
      <c r="E102" s="619"/>
      <c r="F102" s="619"/>
      <c r="G102" s="619"/>
      <c r="H102" s="619"/>
      <c r="I102" s="619"/>
      <c r="J102" s="619"/>
      <c r="K102" s="619"/>
      <c r="L102" s="619"/>
      <c r="M102" s="619"/>
      <c r="N102" s="619"/>
      <c r="O102" s="619"/>
      <c r="P102" s="619"/>
      <c r="Q102" s="619"/>
      <c r="R102" s="620"/>
      <c r="BK102" t="str">
        <f>IF(AND('desigh Stairs'!$AL$21='desigh Stairs'!$AL$21,'desigh Stairs'!$A$1=3),0.65," ")</f>
        <v xml:space="preserve"> </v>
      </c>
      <c r="BL102" t="str">
        <f>IF(AND('desigh Stairs'!$AL$21='desigh Stairs'!$AL$21,'desigh Stairs'!$A$1=3),4.8," ")</f>
        <v xml:space="preserve"> </v>
      </c>
      <c r="BM102" t="s">
        <v>204</v>
      </c>
      <c r="BO102" t="str">
        <f>IF(AND('desigh Stairs'!$AL$21='desigh Stairs'!$AL$21,'desigh Stairs'!$A$1=3),5.59," ")</f>
        <v xml:space="preserve"> </v>
      </c>
      <c r="BP102" t="str">
        <f>IF(AND('desigh Stairs'!$AL$21='desigh Stairs'!$AL$21,'desigh Stairs'!$A$1=3),4.8," ")</f>
        <v xml:space="preserve"> </v>
      </c>
    </row>
    <row r="103" spans="1:68">
      <c r="A103" s="618"/>
      <c r="B103" s="619"/>
      <c r="C103" s="619"/>
      <c r="D103" s="619"/>
      <c r="E103" s="619"/>
      <c r="F103" s="619"/>
      <c r="G103" s="619"/>
      <c r="H103" s="619"/>
      <c r="I103" s="619"/>
      <c r="J103" s="619"/>
      <c r="K103" s="619"/>
      <c r="L103" s="619"/>
      <c r="M103" s="619"/>
      <c r="N103" s="619"/>
      <c r="O103" s="619"/>
      <c r="P103" s="619"/>
      <c r="Q103" s="619"/>
      <c r="R103" s="620"/>
      <c r="BK103" t="str">
        <f>IF(AND('desigh Stairs'!$AL$21='desigh Stairs'!$AL$21,'desigh Stairs'!$A$1=3),0.65," ")</f>
        <v xml:space="preserve"> </v>
      </c>
      <c r="BL103" t="str">
        <f>IF(AND('desigh Stairs'!$AL$21='desigh Stairs'!$AL$21,'desigh Stairs'!$A$1=3),4.4," ")</f>
        <v xml:space="preserve"> </v>
      </c>
      <c r="BM103" t="s">
        <v>205</v>
      </c>
      <c r="BO103" t="str">
        <f>IF(AND('desigh Stairs'!$AL$21='desigh Stairs'!$AL$21,'desigh Stairs'!$A$1=3),5.59," ")</f>
        <v xml:space="preserve"> </v>
      </c>
      <c r="BP103" t="str">
        <f>IF(AND('desigh Stairs'!$AL$21='desigh Stairs'!$AL$21,'desigh Stairs'!$A$1=3),4.4," ")</f>
        <v xml:space="preserve"> </v>
      </c>
    </row>
    <row r="104" spans="1:68">
      <c r="A104" s="618"/>
      <c r="B104" s="619"/>
      <c r="C104" s="619"/>
      <c r="D104" s="619"/>
      <c r="E104" s="619"/>
      <c r="F104" s="619"/>
      <c r="G104" s="619"/>
      <c r="H104" s="619"/>
      <c r="I104" s="619"/>
      <c r="J104" s="619"/>
      <c r="K104" s="619"/>
      <c r="L104" s="619"/>
      <c r="M104" s="619"/>
      <c r="N104" s="619"/>
      <c r="O104" s="619"/>
      <c r="P104" s="619"/>
      <c r="Q104" s="619"/>
      <c r="R104" s="620"/>
    </row>
    <row r="105" spans="1:68">
      <c r="A105" s="618"/>
      <c r="B105" s="619"/>
      <c r="C105" s="619"/>
      <c r="D105" s="619"/>
      <c r="E105" s="619"/>
      <c r="F105" s="619"/>
      <c r="G105" s="619"/>
      <c r="H105" s="619"/>
      <c r="I105" s="619"/>
      <c r="J105" s="619"/>
      <c r="K105" s="619"/>
      <c r="L105" s="619"/>
      <c r="M105" s="619"/>
      <c r="N105" s="619"/>
      <c r="O105" s="619"/>
      <c r="P105" s="619"/>
      <c r="Q105" s="619"/>
      <c r="R105" s="620"/>
    </row>
    <row r="106" spans="1:68">
      <c r="A106" s="618"/>
      <c r="B106" s="619"/>
      <c r="C106" s="619"/>
      <c r="D106" s="619"/>
      <c r="E106" s="619"/>
      <c r="F106" s="619"/>
      <c r="G106" s="619"/>
      <c r="H106" s="619"/>
      <c r="I106" s="619"/>
      <c r="J106" s="619"/>
      <c r="K106" s="619"/>
      <c r="L106" s="619"/>
      <c r="M106" s="619"/>
      <c r="N106" s="619"/>
      <c r="O106" s="619"/>
      <c r="P106" s="619"/>
      <c r="Q106" s="619"/>
      <c r="R106" s="620"/>
    </row>
    <row r="107" spans="1:68">
      <c r="A107" s="618"/>
      <c r="B107" s="619"/>
      <c r="C107" s="619"/>
      <c r="D107" s="619"/>
      <c r="E107" s="619"/>
      <c r="F107" s="619"/>
      <c r="G107" s="619"/>
      <c r="H107" s="619"/>
      <c r="I107" s="619"/>
      <c r="J107" s="619"/>
      <c r="K107" s="619"/>
      <c r="L107" s="619"/>
      <c r="M107" s="619"/>
      <c r="N107" s="619"/>
      <c r="O107" s="619"/>
      <c r="P107" s="619"/>
      <c r="Q107" s="619"/>
      <c r="R107" s="620"/>
    </row>
    <row r="108" spans="1:68">
      <c r="A108" s="618"/>
      <c r="B108" s="619"/>
      <c r="C108" s="619"/>
      <c r="D108" s="619"/>
      <c r="E108" s="619"/>
      <c r="F108" s="619"/>
      <c r="G108" s="619"/>
      <c r="H108" s="619"/>
      <c r="I108" s="619"/>
      <c r="J108" s="619"/>
      <c r="K108" s="619"/>
      <c r="L108" s="619"/>
      <c r="M108" s="619"/>
      <c r="N108" s="619"/>
      <c r="O108" s="619"/>
      <c r="P108" s="619"/>
      <c r="Q108" s="619"/>
      <c r="R108" s="620"/>
    </row>
    <row r="109" spans="1:68">
      <c r="A109" s="618"/>
      <c r="B109" s="619"/>
      <c r="C109" s="619"/>
      <c r="D109" s="619"/>
      <c r="E109" s="619"/>
      <c r="F109" s="619"/>
      <c r="G109" s="619"/>
      <c r="H109" s="619"/>
      <c r="I109" s="619"/>
      <c r="J109" s="619"/>
      <c r="K109" s="619"/>
      <c r="L109" s="619"/>
      <c r="M109" s="619"/>
      <c r="N109" s="619"/>
      <c r="O109" s="619"/>
      <c r="P109" s="619"/>
      <c r="Q109" s="619"/>
      <c r="R109" s="620"/>
    </row>
    <row r="110" spans="1:68">
      <c r="A110" s="618"/>
      <c r="B110" s="619"/>
      <c r="C110" s="619"/>
      <c r="D110" s="619"/>
      <c r="E110" s="619"/>
      <c r="F110" s="619"/>
      <c r="G110" s="619"/>
      <c r="H110" s="619"/>
      <c r="I110" s="619"/>
      <c r="J110" s="619"/>
      <c r="K110" s="619"/>
      <c r="L110" s="619"/>
      <c r="M110" s="619"/>
      <c r="N110" s="619"/>
      <c r="O110" s="619"/>
      <c r="P110" s="619"/>
      <c r="Q110" s="619"/>
      <c r="R110" s="620"/>
    </row>
    <row r="111" spans="1:68">
      <c r="A111" s="618"/>
      <c r="B111" s="619"/>
      <c r="C111" s="619"/>
      <c r="D111" s="619"/>
      <c r="E111" s="619"/>
      <c r="F111" s="619"/>
      <c r="G111" s="619"/>
      <c r="H111" s="619"/>
      <c r="I111" s="619"/>
      <c r="J111" s="619"/>
      <c r="K111" s="619"/>
      <c r="L111" s="619"/>
      <c r="M111" s="619"/>
      <c r="N111" s="619"/>
      <c r="O111" s="619"/>
      <c r="P111" s="619"/>
      <c r="Q111" s="619"/>
      <c r="R111" s="620"/>
    </row>
    <row r="112" spans="1:68">
      <c r="A112" s="618"/>
      <c r="B112" s="619"/>
      <c r="C112" s="619"/>
      <c r="D112" s="619"/>
      <c r="E112" s="619"/>
      <c r="F112" s="619"/>
      <c r="G112" s="619"/>
      <c r="H112" s="619"/>
      <c r="I112" s="619"/>
      <c r="J112" s="619"/>
      <c r="K112" s="619"/>
      <c r="L112" s="619"/>
      <c r="M112" s="619"/>
      <c r="N112" s="619"/>
      <c r="O112" s="619"/>
      <c r="P112" s="619"/>
      <c r="Q112" s="619"/>
      <c r="R112" s="620"/>
    </row>
    <row r="113" spans="1:18">
      <c r="A113" s="618"/>
      <c r="B113" s="619"/>
      <c r="C113" s="619"/>
      <c r="D113" s="619"/>
      <c r="E113" s="619"/>
      <c r="F113" s="619"/>
      <c r="G113" s="619"/>
      <c r="H113" s="619"/>
      <c r="I113" s="619"/>
      <c r="J113" s="619"/>
      <c r="K113" s="619"/>
      <c r="L113" s="619"/>
      <c r="M113" s="619"/>
      <c r="N113" s="619"/>
      <c r="O113" s="619"/>
      <c r="P113" s="619"/>
      <c r="Q113" s="619"/>
      <c r="R113" s="620"/>
    </row>
    <row r="114" spans="1:18">
      <c r="A114" s="618"/>
      <c r="B114" s="619"/>
      <c r="C114" s="619"/>
      <c r="D114" s="619"/>
      <c r="E114" s="619"/>
      <c r="F114" s="619"/>
      <c r="G114" s="619"/>
      <c r="H114" s="619"/>
      <c r="I114" s="619"/>
      <c r="J114" s="619"/>
      <c r="K114" s="619"/>
      <c r="L114" s="619"/>
      <c r="M114" s="619"/>
      <c r="N114" s="619"/>
      <c r="O114" s="619"/>
      <c r="P114" s="619"/>
      <c r="Q114" s="619"/>
      <c r="R114" s="620"/>
    </row>
    <row r="115" spans="1:18">
      <c r="A115" s="618"/>
      <c r="B115" s="619"/>
      <c r="C115" s="619"/>
      <c r="D115" s="619"/>
      <c r="E115" s="619"/>
      <c r="F115" s="619"/>
      <c r="G115" s="619"/>
      <c r="H115" s="619"/>
      <c r="I115" s="619"/>
      <c r="J115" s="619"/>
      <c r="K115" s="619"/>
      <c r="L115" s="619"/>
      <c r="M115" s="619"/>
      <c r="N115" s="619"/>
      <c r="O115" s="619"/>
      <c r="P115" s="619"/>
      <c r="Q115" s="619"/>
      <c r="R115" s="620"/>
    </row>
    <row r="116" spans="1:18">
      <c r="A116" s="618"/>
      <c r="B116" s="619"/>
      <c r="C116" s="619"/>
      <c r="D116" s="619"/>
      <c r="E116" s="619"/>
      <c r="F116" s="619"/>
      <c r="G116" s="619"/>
      <c r="H116" s="619"/>
      <c r="I116" s="619"/>
      <c r="J116" s="619"/>
      <c r="K116" s="619"/>
      <c r="L116" s="619"/>
      <c r="M116" s="619"/>
      <c r="N116" s="619"/>
      <c r="O116" s="619"/>
      <c r="P116" s="619"/>
      <c r="Q116" s="619"/>
      <c r="R116" s="620"/>
    </row>
    <row r="117" spans="1:18">
      <c r="A117" s="618"/>
      <c r="B117" s="619"/>
      <c r="C117" s="619"/>
      <c r="D117" s="619"/>
      <c r="E117" s="619"/>
      <c r="F117" s="619"/>
      <c r="G117" s="619"/>
      <c r="H117" s="619"/>
      <c r="I117" s="619"/>
      <c r="J117" s="619"/>
      <c r="K117" s="619"/>
      <c r="L117" s="619"/>
      <c r="M117" s="619"/>
      <c r="N117" s="619"/>
      <c r="O117" s="619"/>
      <c r="P117" s="619"/>
      <c r="Q117" s="619"/>
      <c r="R117" s="620"/>
    </row>
    <row r="118" spans="1:18">
      <c r="A118" s="618"/>
      <c r="B118" s="619"/>
      <c r="C118" s="619"/>
      <c r="D118" s="619"/>
      <c r="E118" s="619"/>
      <c r="F118" s="619"/>
      <c r="G118" s="619"/>
      <c r="H118" s="619"/>
      <c r="I118" s="619"/>
      <c r="J118" s="619"/>
      <c r="K118" s="619"/>
      <c r="L118" s="619"/>
      <c r="M118" s="619"/>
      <c r="N118" s="619"/>
      <c r="O118" s="619"/>
      <c r="P118" s="619"/>
      <c r="Q118" s="619"/>
      <c r="R118" s="620"/>
    </row>
    <row r="119" spans="1:18">
      <c r="A119" s="618"/>
      <c r="B119" s="619"/>
      <c r="C119" s="619"/>
      <c r="D119" s="619"/>
      <c r="E119" s="619"/>
      <c r="F119" s="619"/>
      <c r="G119" s="619"/>
      <c r="H119" s="619"/>
      <c r="I119" s="619"/>
      <c r="J119" s="619"/>
      <c r="K119" s="619"/>
      <c r="L119" s="619"/>
      <c r="M119" s="619"/>
      <c r="N119" s="619"/>
      <c r="O119" s="619"/>
      <c r="P119" s="619"/>
      <c r="Q119" s="619"/>
      <c r="R119" s="620"/>
    </row>
    <row r="120" spans="1:18">
      <c r="A120" s="618"/>
      <c r="B120" s="619"/>
      <c r="C120" s="619"/>
      <c r="D120" s="619"/>
      <c r="E120" s="619"/>
      <c r="F120" s="619"/>
      <c r="G120" s="619"/>
      <c r="H120" s="619"/>
      <c r="I120" s="619"/>
      <c r="J120" s="619"/>
      <c r="K120" s="619"/>
      <c r="L120" s="619"/>
      <c r="M120" s="619"/>
      <c r="N120" s="619"/>
      <c r="O120" s="619"/>
      <c r="P120" s="619"/>
      <c r="Q120" s="619"/>
      <c r="R120" s="620"/>
    </row>
    <row r="121" spans="1:18">
      <c r="A121" s="618"/>
      <c r="B121" s="619"/>
      <c r="C121" s="619"/>
      <c r="D121" s="619"/>
      <c r="E121" s="619"/>
      <c r="F121" s="619"/>
      <c r="G121" s="619"/>
      <c r="H121" s="619"/>
      <c r="I121" s="619"/>
      <c r="J121" s="619"/>
      <c r="K121" s="619"/>
      <c r="L121" s="619"/>
      <c r="M121" s="619"/>
      <c r="N121" s="619"/>
      <c r="O121" s="619"/>
      <c r="P121" s="619"/>
      <c r="Q121" s="619"/>
      <c r="R121" s="620"/>
    </row>
    <row r="122" spans="1:18">
      <c r="A122" s="618"/>
      <c r="B122" s="619"/>
      <c r="C122" s="619"/>
      <c r="D122" s="619"/>
      <c r="E122" s="619"/>
      <c r="F122" s="619"/>
      <c r="G122" s="619"/>
      <c r="H122" s="619"/>
      <c r="I122" s="619"/>
      <c r="J122" s="619"/>
      <c r="K122" s="619"/>
      <c r="L122" s="619"/>
      <c r="M122" s="619"/>
      <c r="N122" s="619"/>
      <c r="O122" s="619"/>
      <c r="P122" s="619"/>
      <c r="Q122" s="619"/>
      <c r="R122" s="620"/>
    </row>
    <row r="123" spans="1:18">
      <c r="A123" s="618"/>
      <c r="B123" s="619"/>
      <c r="C123" s="619"/>
      <c r="D123" s="619"/>
      <c r="E123" s="619"/>
      <c r="F123" s="619"/>
      <c r="G123" s="619"/>
      <c r="H123" s="619"/>
      <c r="I123" s="619"/>
      <c r="J123" s="619"/>
      <c r="K123" s="619"/>
      <c r="L123" s="619"/>
      <c r="M123" s="619"/>
      <c r="N123" s="619"/>
      <c r="O123" s="619"/>
      <c r="P123" s="619"/>
      <c r="Q123" s="619"/>
      <c r="R123" s="620"/>
    </row>
    <row r="124" spans="1:18">
      <c r="A124" s="618"/>
      <c r="B124" s="619"/>
      <c r="C124" s="619"/>
      <c r="D124" s="619"/>
      <c r="E124" s="619"/>
      <c r="F124" s="619"/>
      <c r="G124" s="619"/>
      <c r="H124" s="619"/>
      <c r="I124" s="619"/>
      <c r="J124" s="619"/>
      <c r="K124" s="619"/>
      <c r="L124" s="619"/>
      <c r="M124" s="619"/>
      <c r="N124" s="619"/>
      <c r="O124" s="619"/>
      <c r="P124" s="619"/>
      <c r="Q124" s="619"/>
      <c r="R124" s="620"/>
    </row>
    <row r="125" spans="1:18">
      <c r="A125" s="618"/>
      <c r="B125" s="619"/>
      <c r="C125" s="619"/>
      <c r="D125" s="619"/>
      <c r="E125" s="619"/>
      <c r="F125" s="619"/>
      <c r="G125" s="619"/>
      <c r="H125" s="619"/>
      <c r="I125" s="619"/>
      <c r="J125" s="619"/>
      <c r="K125" s="619"/>
      <c r="L125" s="619"/>
      <c r="M125" s="619"/>
      <c r="N125" s="619"/>
      <c r="O125" s="619"/>
      <c r="P125" s="619"/>
      <c r="Q125" s="619"/>
      <c r="R125" s="620"/>
    </row>
    <row r="126" spans="1:18">
      <c r="A126" s="618"/>
      <c r="B126" s="619"/>
      <c r="C126" s="619"/>
      <c r="D126" s="619"/>
      <c r="E126" s="619"/>
      <c r="F126" s="619"/>
      <c r="G126" s="619"/>
      <c r="H126" s="619"/>
      <c r="I126" s="619"/>
      <c r="J126" s="619"/>
      <c r="K126" s="619"/>
      <c r="L126" s="619"/>
      <c r="M126" s="619"/>
      <c r="N126" s="619"/>
      <c r="O126" s="619"/>
      <c r="P126" s="619"/>
      <c r="Q126" s="619"/>
      <c r="R126" s="620"/>
    </row>
    <row r="127" spans="1:18">
      <c r="A127" s="618"/>
      <c r="B127" s="619"/>
      <c r="C127" s="619"/>
      <c r="D127" s="619"/>
      <c r="E127" s="619"/>
      <c r="F127" s="619"/>
      <c r="G127" s="619"/>
      <c r="H127" s="619"/>
      <c r="I127" s="619"/>
      <c r="J127" s="619"/>
      <c r="K127" s="619"/>
      <c r="L127" s="619"/>
      <c r="M127" s="619"/>
      <c r="N127" s="619"/>
      <c r="O127" s="619"/>
      <c r="P127" s="619"/>
      <c r="Q127" s="619"/>
      <c r="R127" s="620"/>
    </row>
    <row r="128" spans="1:18">
      <c r="A128" s="618"/>
      <c r="B128" s="619"/>
      <c r="C128" s="619"/>
      <c r="D128" s="619"/>
      <c r="E128" s="619"/>
      <c r="F128" s="619"/>
      <c r="G128" s="619"/>
      <c r="H128" s="619"/>
      <c r="I128" s="619"/>
      <c r="J128" s="619"/>
      <c r="K128" s="619"/>
      <c r="L128" s="619"/>
      <c r="M128" s="619"/>
      <c r="N128" s="619"/>
      <c r="O128" s="619"/>
      <c r="P128" s="619"/>
      <c r="Q128" s="619"/>
      <c r="R128" s="620"/>
    </row>
    <row r="129" spans="1:19" ht="15" thickBot="1">
      <c r="A129" s="621"/>
      <c r="B129" s="622"/>
      <c r="C129" s="622"/>
      <c r="D129" s="622"/>
      <c r="E129" s="622"/>
      <c r="F129" s="622"/>
      <c r="G129" s="622"/>
      <c r="H129" s="622"/>
      <c r="I129" s="622"/>
      <c r="J129" s="622"/>
      <c r="K129" s="622"/>
      <c r="L129" s="622"/>
      <c r="M129" s="622"/>
      <c r="N129" s="622"/>
      <c r="O129" s="622"/>
      <c r="P129" s="622"/>
      <c r="Q129" s="622"/>
      <c r="R129" s="623"/>
    </row>
    <row r="130" spans="1:19" ht="18.75" thickBot="1">
      <c r="A130" s="59">
        <v>5</v>
      </c>
      <c r="B130" s="26"/>
      <c r="C130" s="26"/>
      <c r="D130" s="26"/>
      <c r="E130" s="26"/>
      <c r="F130" s="26"/>
      <c r="G130" s="26"/>
      <c r="H130" s="26"/>
      <c r="I130" s="26"/>
      <c r="J130" s="26"/>
      <c r="K130" s="26"/>
      <c r="L130" s="26"/>
      <c r="M130" s="26"/>
      <c r="N130" s="26"/>
      <c r="O130" s="26"/>
      <c r="P130" s="26"/>
      <c r="Q130" s="26"/>
      <c r="R130" s="26"/>
      <c r="S130" s="26"/>
    </row>
    <row r="131" spans="1:19">
      <c r="A131" s="615"/>
      <c r="B131" s="616"/>
      <c r="C131" s="616"/>
      <c r="D131" s="616"/>
      <c r="E131" s="616"/>
      <c r="F131" s="616"/>
      <c r="G131" s="616"/>
      <c r="H131" s="616"/>
      <c r="I131" s="616"/>
      <c r="J131" s="616"/>
      <c r="K131" s="616"/>
      <c r="L131" s="616"/>
      <c r="M131" s="616"/>
      <c r="N131" s="616"/>
      <c r="O131" s="616"/>
      <c r="P131" s="616"/>
      <c r="Q131" s="616"/>
      <c r="R131" s="617"/>
    </row>
    <row r="132" spans="1:19">
      <c r="A132" s="618"/>
      <c r="B132" s="619"/>
      <c r="C132" s="619"/>
      <c r="D132" s="619"/>
      <c r="E132" s="619"/>
      <c r="F132" s="619"/>
      <c r="G132" s="619"/>
      <c r="H132" s="619"/>
      <c r="I132" s="619"/>
      <c r="J132" s="619"/>
      <c r="K132" s="619"/>
      <c r="L132" s="619"/>
      <c r="M132" s="619"/>
      <c r="N132" s="619"/>
      <c r="O132" s="619"/>
      <c r="P132" s="619"/>
      <c r="Q132" s="619"/>
      <c r="R132" s="620"/>
    </row>
    <row r="133" spans="1:19">
      <c r="A133" s="618"/>
      <c r="B133" s="619"/>
      <c r="C133" s="619"/>
      <c r="D133" s="619"/>
      <c r="E133" s="619"/>
      <c r="F133" s="619"/>
      <c r="G133" s="619"/>
      <c r="H133" s="619"/>
      <c r="I133" s="619"/>
      <c r="J133" s="619"/>
      <c r="K133" s="619"/>
      <c r="L133" s="619"/>
      <c r="M133" s="619"/>
      <c r="N133" s="619"/>
      <c r="O133" s="619"/>
      <c r="P133" s="619"/>
      <c r="Q133" s="619"/>
      <c r="R133" s="620"/>
    </row>
    <row r="134" spans="1:19">
      <c r="A134" s="618"/>
      <c r="B134" s="619"/>
      <c r="C134" s="619"/>
      <c r="D134" s="619"/>
      <c r="E134" s="619"/>
      <c r="F134" s="619"/>
      <c r="G134" s="619"/>
      <c r="H134" s="619"/>
      <c r="I134" s="619"/>
      <c r="J134" s="619"/>
      <c r="K134" s="619"/>
      <c r="L134" s="619"/>
      <c r="M134" s="619"/>
      <c r="N134" s="619"/>
      <c r="O134" s="619"/>
      <c r="P134" s="619"/>
      <c r="Q134" s="619"/>
      <c r="R134" s="620"/>
    </row>
    <row r="135" spans="1:19">
      <c r="A135" s="618"/>
      <c r="B135" s="619"/>
      <c r="C135" s="619"/>
      <c r="D135" s="619"/>
      <c r="E135" s="619"/>
      <c r="F135" s="619"/>
      <c r="G135" s="619"/>
      <c r="H135" s="619"/>
      <c r="I135" s="619"/>
      <c r="J135" s="619"/>
      <c r="K135" s="619"/>
      <c r="L135" s="619"/>
      <c r="M135" s="619"/>
      <c r="N135" s="619"/>
      <c r="O135" s="619"/>
      <c r="P135" s="619"/>
      <c r="Q135" s="619"/>
      <c r="R135" s="620"/>
    </row>
    <row r="136" spans="1:19">
      <c r="A136" s="618"/>
      <c r="B136" s="619"/>
      <c r="C136" s="619"/>
      <c r="D136" s="619"/>
      <c r="E136" s="619"/>
      <c r="F136" s="619"/>
      <c r="G136" s="619"/>
      <c r="H136" s="619"/>
      <c r="I136" s="619"/>
      <c r="J136" s="619"/>
      <c r="K136" s="619"/>
      <c r="L136" s="619"/>
      <c r="M136" s="619"/>
      <c r="N136" s="619"/>
      <c r="O136" s="619"/>
      <c r="P136" s="619"/>
      <c r="Q136" s="619"/>
      <c r="R136" s="620"/>
    </row>
    <row r="137" spans="1:19">
      <c r="A137" s="618"/>
      <c r="B137" s="619"/>
      <c r="C137" s="619"/>
      <c r="D137" s="619"/>
      <c r="E137" s="619"/>
      <c r="F137" s="619"/>
      <c r="G137" s="619"/>
      <c r="H137" s="619"/>
      <c r="I137" s="619"/>
      <c r="J137" s="619"/>
      <c r="K137" s="619"/>
      <c r="L137" s="619"/>
      <c r="M137" s="619"/>
      <c r="N137" s="619"/>
      <c r="O137" s="619"/>
      <c r="P137" s="619"/>
      <c r="Q137" s="619"/>
      <c r="R137" s="620"/>
    </row>
    <row r="138" spans="1:19">
      <c r="A138" s="618"/>
      <c r="B138" s="619"/>
      <c r="C138" s="619"/>
      <c r="D138" s="619"/>
      <c r="E138" s="619"/>
      <c r="F138" s="619"/>
      <c r="G138" s="619"/>
      <c r="H138" s="619"/>
      <c r="I138" s="619"/>
      <c r="J138" s="619"/>
      <c r="K138" s="619"/>
      <c r="L138" s="619"/>
      <c r="M138" s="619"/>
      <c r="N138" s="619"/>
      <c r="O138" s="619"/>
      <c r="P138" s="619"/>
      <c r="Q138" s="619"/>
      <c r="R138" s="620"/>
    </row>
    <row r="139" spans="1:19">
      <c r="A139" s="618"/>
      <c r="B139" s="619"/>
      <c r="C139" s="619"/>
      <c r="D139" s="619"/>
      <c r="E139" s="619"/>
      <c r="F139" s="619"/>
      <c r="G139" s="619"/>
      <c r="H139" s="619"/>
      <c r="I139" s="619"/>
      <c r="J139" s="619"/>
      <c r="K139" s="619"/>
      <c r="L139" s="619"/>
      <c r="M139" s="619"/>
      <c r="N139" s="619"/>
      <c r="O139" s="619"/>
      <c r="P139" s="619"/>
      <c r="Q139" s="619"/>
      <c r="R139" s="620"/>
    </row>
    <row r="140" spans="1:19">
      <c r="A140" s="618"/>
      <c r="B140" s="619"/>
      <c r="C140" s="619"/>
      <c r="D140" s="619"/>
      <c r="E140" s="619"/>
      <c r="F140" s="619"/>
      <c r="G140" s="619"/>
      <c r="H140" s="619"/>
      <c r="I140" s="619"/>
      <c r="J140" s="619"/>
      <c r="K140" s="619"/>
      <c r="L140" s="619"/>
      <c r="M140" s="619"/>
      <c r="N140" s="619"/>
      <c r="O140" s="619"/>
      <c r="P140" s="619"/>
      <c r="Q140" s="619"/>
      <c r="R140" s="620"/>
    </row>
    <row r="141" spans="1:19">
      <c r="A141" s="618"/>
      <c r="B141" s="619"/>
      <c r="C141" s="619"/>
      <c r="D141" s="619"/>
      <c r="E141" s="619"/>
      <c r="F141" s="619"/>
      <c r="G141" s="619"/>
      <c r="H141" s="619"/>
      <c r="I141" s="619"/>
      <c r="J141" s="619"/>
      <c r="K141" s="619"/>
      <c r="L141" s="619"/>
      <c r="M141" s="619"/>
      <c r="N141" s="619"/>
      <c r="O141" s="619"/>
      <c r="P141" s="619"/>
      <c r="Q141" s="619"/>
      <c r="R141" s="620"/>
    </row>
    <row r="142" spans="1:19">
      <c r="A142" s="618"/>
      <c r="B142" s="619"/>
      <c r="C142" s="619"/>
      <c r="D142" s="619"/>
      <c r="E142" s="619"/>
      <c r="F142" s="619"/>
      <c r="G142" s="619"/>
      <c r="H142" s="619"/>
      <c r="I142" s="619"/>
      <c r="J142" s="619"/>
      <c r="K142" s="619"/>
      <c r="L142" s="619"/>
      <c r="M142" s="619"/>
      <c r="N142" s="619"/>
      <c r="O142" s="619"/>
      <c r="P142" s="619"/>
      <c r="Q142" s="619"/>
      <c r="R142" s="620"/>
    </row>
    <row r="143" spans="1:19">
      <c r="A143" s="618"/>
      <c r="B143" s="619"/>
      <c r="C143" s="619"/>
      <c r="D143" s="619"/>
      <c r="E143" s="619"/>
      <c r="F143" s="619"/>
      <c r="G143" s="619"/>
      <c r="H143" s="619"/>
      <c r="I143" s="619"/>
      <c r="J143" s="619"/>
      <c r="K143" s="619"/>
      <c r="L143" s="619"/>
      <c r="M143" s="619"/>
      <c r="N143" s="619"/>
      <c r="O143" s="619"/>
      <c r="P143" s="619"/>
      <c r="Q143" s="619"/>
      <c r="R143" s="620"/>
    </row>
    <row r="144" spans="1:19">
      <c r="A144" s="618"/>
      <c r="B144" s="619"/>
      <c r="C144" s="619"/>
      <c r="D144" s="619"/>
      <c r="E144" s="619"/>
      <c r="F144" s="619"/>
      <c r="G144" s="619"/>
      <c r="H144" s="619"/>
      <c r="I144" s="619"/>
      <c r="J144" s="619"/>
      <c r="K144" s="619"/>
      <c r="L144" s="619"/>
      <c r="M144" s="619"/>
      <c r="N144" s="619"/>
      <c r="O144" s="619"/>
      <c r="P144" s="619"/>
      <c r="Q144" s="619"/>
      <c r="R144" s="620"/>
    </row>
    <row r="145" spans="1:18">
      <c r="A145" s="618"/>
      <c r="B145" s="619"/>
      <c r="C145" s="619"/>
      <c r="D145" s="619"/>
      <c r="E145" s="619"/>
      <c r="F145" s="619"/>
      <c r="G145" s="619"/>
      <c r="H145" s="619"/>
      <c r="I145" s="619"/>
      <c r="J145" s="619"/>
      <c r="K145" s="619"/>
      <c r="L145" s="619"/>
      <c r="M145" s="619"/>
      <c r="N145" s="619"/>
      <c r="O145" s="619"/>
      <c r="P145" s="619"/>
      <c r="Q145" s="619"/>
      <c r="R145" s="620"/>
    </row>
    <row r="146" spans="1:18">
      <c r="A146" s="618"/>
      <c r="B146" s="619"/>
      <c r="C146" s="619"/>
      <c r="D146" s="619"/>
      <c r="E146" s="619"/>
      <c r="F146" s="619"/>
      <c r="G146" s="619"/>
      <c r="H146" s="619"/>
      <c r="I146" s="619"/>
      <c r="J146" s="619"/>
      <c r="K146" s="619"/>
      <c r="L146" s="619"/>
      <c r="M146" s="619"/>
      <c r="N146" s="619"/>
      <c r="O146" s="619"/>
      <c r="P146" s="619"/>
      <c r="Q146" s="619"/>
      <c r="R146" s="620"/>
    </row>
    <row r="147" spans="1:18">
      <c r="A147" s="618"/>
      <c r="B147" s="619"/>
      <c r="C147" s="619"/>
      <c r="D147" s="619"/>
      <c r="E147" s="619"/>
      <c r="F147" s="619"/>
      <c r="G147" s="619"/>
      <c r="H147" s="619"/>
      <c r="I147" s="619"/>
      <c r="J147" s="619"/>
      <c r="K147" s="619"/>
      <c r="L147" s="619"/>
      <c r="M147" s="619"/>
      <c r="N147" s="619"/>
      <c r="O147" s="619"/>
      <c r="P147" s="619"/>
      <c r="Q147" s="619"/>
      <c r="R147" s="620"/>
    </row>
    <row r="148" spans="1:18">
      <c r="A148" s="618"/>
      <c r="B148" s="619"/>
      <c r="C148" s="619"/>
      <c r="D148" s="619"/>
      <c r="E148" s="619"/>
      <c r="F148" s="619"/>
      <c r="G148" s="619"/>
      <c r="H148" s="619"/>
      <c r="I148" s="619"/>
      <c r="J148" s="619"/>
      <c r="K148" s="619"/>
      <c r="L148" s="619"/>
      <c r="M148" s="619"/>
      <c r="N148" s="619"/>
      <c r="O148" s="619"/>
      <c r="P148" s="619"/>
      <c r="Q148" s="619"/>
      <c r="R148" s="620"/>
    </row>
    <row r="149" spans="1:18">
      <c r="A149" s="618"/>
      <c r="B149" s="619"/>
      <c r="C149" s="619"/>
      <c r="D149" s="619"/>
      <c r="E149" s="619"/>
      <c r="F149" s="619"/>
      <c r="G149" s="619"/>
      <c r="H149" s="619"/>
      <c r="I149" s="619"/>
      <c r="J149" s="619"/>
      <c r="K149" s="619"/>
      <c r="L149" s="619"/>
      <c r="M149" s="619"/>
      <c r="N149" s="619"/>
      <c r="O149" s="619"/>
      <c r="P149" s="619"/>
      <c r="Q149" s="619"/>
      <c r="R149" s="620"/>
    </row>
    <row r="150" spans="1:18">
      <c r="A150" s="618"/>
      <c r="B150" s="619"/>
      <c r="C150" s="619"/>
      <c r="D150" s="619"/>
      <c r="E150" s="619"/>
      <c r="F150" s="619"/>
      <c r="G150" s="619"/>
      <c r="H150" s="619"/>
      <c r="I150" s="619"/>
      <c r="J150" s="619"/>
      <c r="K150" s="619"/>
      <c r="L150" s="619"/>
      <c r="M150" s="619"/>
      <c r="N150" s="619"/>
      <c r="O150" s="619"/>
      <c r="P150" s="619"/>
      <c r="Q150" s="619"/>
      <c r="R150" s="620"/>
    </row>
    <row r="151" spans="1:18">
      <c r="A151" s="618"/>
      <c r="B151" s="619"/>
      <c r="C151" s="619"/>
      <c r="D151" s="619"/>
      <c r="E151" s="619"/>
      <c r="F151" s="619"/>
      <c r="G151" s="619"/>
      <c r="H151" s="619"/>
      <c r="I151" s="619"/>
      <c r="J151" s="619"/>
      <c r="K151" s="619"/>
      <c r="L151" s="619"/>
      <c r="M151" s="619"/>
      <c r="N151" s="619"/>
      <c r="O151" s="619"/>
      <c r="P151" s="619"/>
      <c r="Q151" s="619"/>
      <c r="R151" s="620"/>
    </row>
    <row r="152" spans="1:18">
      <c r="A152" s="618"/>
      <c r="B152" s="619"/>
      <c r="C152" s="619"/>
      <c r="D152" s="619"/>
      <c r="E152" s="619"/>
      <c r="F152" s="619"/>
      <c r="G152" s="619"/>
      <c r="H152" s="619"/>
      <c r="I152" s="619"/>
      <c r="J152" s="619"/>
      <c r="K152" s="619"/>
      <c r="L152" s="619"/>
      <c r="M152" s="619"/>
      <c r="N152" s="619"/>
      <c r="O152" s="619"/>
      <c r="P152" s="619"/>
      <c r="Q152" s="619"/>
      <c r="R152" s="620"/>
    </row>
    <row r="153" spans="1:18">
      <c r="A153" s="618"/>
      <c r="B153" s="619"/>
      <c r="C153" s="619"/>
      <c r="D153" s="619"/>
      <c r="E153" s="619"/>
      <c r="F153" s="619"/>
      <c r="G153" s="619"/>
      <c r="H153" s="619"/>
      <c r="I153" s="619"/>
      <c r="J153" s="619"/>
      <c r="K153" s="619"/>
      <c r="L153" s="619"/>
      <c r="M153" s="619"/>
      <c r="N153" s="619"/>
      <c r="O153" s="619"/>
      <c r="P153" s="619"/>
      <c r="Q153" s="619"/>
      <c r="R153" s="620"/>
    </row>
    <row r="154" spans="1:18">
      <c r="A154" s="618"/>
      <c r="B154" s="619"/>
      <c r="C154" s="619"/>
      <c r="D154" s="619"/>
      <c r="E154" s="619"/>
      <c r="F154" s="619"/>
      <c r="G154" s="619"/>
      <c r="H154" s="619"/>
      <c r="I154" s="619"/>
      <c r="J154" s="619"/>
      <c r="K154" s="619"/>
      <c r="L154" s="619"/>
      <c r="M154" s="619"/>
      <c r="N154" s="619"/>
      <c r="O154" s="619"/>
      <c r="P154" s="619"/>
      <c r="Q154" s="619"/>
      <c r="R154" s="620"/>
    </row>
    <row r="155" spans="1:18">
      <c r="A155" s="618"/>
      <c r="B155" s="619"/>
      <c r="C155" s="619"/>
      <c r="D155" s="619"/>
      <c r="E155" s="619"/>
      <c r="F155" s="619"/>
      <c r="G155" s="619"/>
      <c r="H155" s="619"/>
      <c r="I155" s="619"/>
      <c r="J155" s="619"/>
      <c r="K155" s="619"/>
      <c r="L155" s="619"/>
      <c r="M155" s="619"/>
      <c r="N155" s="619"/>
      <c r="O155" s="619"/>
      <c r="P155" s="619"/>
      <c r="Q155" s="619"/>
      <c r="R155" s="620"/>
    </row>
    <row r="156" spans="1:18">
      <c r="A156" s="618"/>
      <c r="B156" s="619"/>
      <c r="C156" s="619"/>
      <c r="D156" s="619"/>
      <c r="E156" s="619"/>
      <c r="F156" s="619"/>
      <c r="G156" s="619"/>
      <c r="H156" s="619"/>
      <c r="I156" s="619"/>
      <c r="J156" s="619"/>
      <c r="K156" s="619"/>
      <c r="L156" s="619"/>
      <c r="M156" s="619"/>
      <c r="N156" s="619"/>
      <c r="O156" s="619"/>
      <c r="P156" s="619"/>
      <c r="Q156" s="619"/>
      <c r="R156" s="620"/>
    </row>
    <row r="157" spans="1:18">
      <c r="A157" s="618"/>
      <c r="B157" s="619"/>
      <c r="C157" s="619"/>
      <c r="D157" s="619"/>
      <c r="E157" s="619"/>
      <c r="F157" s="619"/>
      <c r="G157" s="619"/>
      <c r="H157" s="619"/>
      <c r="I157" s="619"/>
      <c r="J157" s="619"/>
      <c r="K157" s="619"/>
      <c r="L157" s="619"/>
      <c r="M157" s="619"/>
      <c r="N157" s="619"/>
      <c r="O157" s="619"/>
      <c r="P157" s="619"/>
      <c r="Q157" s="619"/>
      <c r="R157" s="620"/>
    </row>
    <row r="158" spans="1:18">
      <c r="A158" s="618"/>
      <c r="B158" s="619"/>
      <c r="C158" s="619"/>
      <c r="D158" s="619"/>
      <c r="E158" s="619"/>
      <c r="F158" s="619"/>
      <c r="G158" s="619"/>
      <c r="H158" s="619"/>
      <c r="I158" s="619"/>
      <c r="J158" s="619"/>
      <c r="K158" s="619"/>
      <c r="L158" s="619"/>
      <c r="M158" s="619"/>
      <c r="N158" s="619"/>
      <c r="O158" s="619"/>
      <c r="P158" s="619"/>
      <c r="Q158" s="619"/>
      <c r="R158" s="620"/>
    </row>
    <row r="159" spans="1:18">
      <c r="A159" s="618"/>
      <c r="B159" s="619"/>
      <c r="C159" s="619"/>
      <c r="D159" s="619"/>
      <c r="E159" s="619"/>
      <c r="F159" s="619"/>
      <c r="G159" s="619"/>
      <c r="H159" s="619"/>
      <c r="I159" s="619"/>
      <c r="J159" s="619"/>
      <c r="K159" s="619"/>
      <c r="L159" s="619"/>
      <c r="M159" s="619"/>
      <c r="N159" s="619"/>
      <c r="O159" s="619"/>
      <c r="P159" s="619"/>
      <c r="Q159" s="619"/>
      <c r="R159" s="620"/>
    </row>
    <row r="160" spans="1:18">
      <c r="A160" s="618"/>
      <c r="B160" s="619"/>
      <c r="C160" s="619"/>
      <c r="D160" s="619"/>
      <c r="E160" s="619"/>
      <c r="F160" s="619"/>
      <c r="G160" s="619"/>
      <c r="H160" s="619"/>
      <c r="I160" s="619"/>
      <c r="J160" s="619"/>
      <c r="K160" s="619"/>
      <c r="L160" s="619"/>
      <c r="M160" s="619"/>
      <c r="N160" s="619"/>
      <c r="O160" s="619"/>
      <c r="P160" s="619"/>
      <c r="Q160" s="619"/>
      <c r="R160" s="620"/>
    </row>
    <row r="161" spans="1:19" ht="15" thickBot="1">
      <c r="A161" s="621"/>
      <c r="B161" s="622"/>
      <c r="C161" s="622"/>
      <c r="D161" s="622"/>
      <c r="E161" s="622"/>
      <c r="F161" s="622"/>
      <c r="G161" s="622"/>
      <c r="H161" s="622"/>
      <c r="I161" s="622"/>
      <c r="J161" s="622"/>
      <c r="K161" s="622"/>
      <c r="L161" s="622"/>
      <c r="M161" s="622"/>
      <c r="N161" s="622"/>
      <c r="O161" s="622"/>
      <c r="P161" s="622"/>
      <c r="Q161" s="622"/>
      <c r="R161" s="623"/>
    </row>
    <row r="162" spans="1:19" ht="18.75" thickBot="1">
      <c r="A162" s="60">
        <v>6</v>
      </c>
      <c r="B162" s="26"/>
      <c r="C162" s="26"/>
      <c r="D162" s="26"/>
      <c r="E162" s="26"/>
      <c r="F162" s="26"/>
      <c r="G162" s="26"/>
      <c r="H162" s="26"/>
      <c r="I162" s="26"/>
      <c r="J162" s="26"/>
      <c r="K162" s="26"/>
      <c r="L162" s="26"/>
      <c r="M162" s="26"/>
      <c r="N162" s="26"/>
      <c r="O162" s="26"/>
      <c r="P162" s="26"/>
      <c r="Q162" s="26"/>
      <c r="R162" s="26"/>
      <c r="S162" s="26"/>
    </row>
    <row r="163" spans="1:19">
      <c r="A163" s="615"/>
      <c r="B163" s="616"/>
      <c r="C163" s="616"/>
      <c r="D163" s="616"/>
      <c r="E163" s="616"/>
      <c r="F163" s="616"/>
      <c r="G163" s="616"/>
      <c r="H163" s="616"/>
      <c r="I163" s="616"/>
      <c r="J163" s="616"/>
      <c r="K163" s="616"/>
      <c r="L163" s="616"/>
      <c r="M163" s="616"/>
      <c r="N163" s="616"/>
      <c r="O163" s="616"/>
      <c r="P163" s="616"/>
      <c r="Q163" s="616"/>
      <c r="R163" s="617"/>
    </row>
    <row r="164" spans="1:19">
      <c r="A164" s="618"/>
      <c r="B164" s="619"/>
      <c r="C164" s="619"/>
      <c r="D164" s="619"/>
      <c r="E164" s="619"/>
      <c r="F164" s="619"/>
      <c r="G164" s="619"/>
      <c r="H164" s="619"/>
      <c r="I164" s="619"/>
      <c r="J164" s="619"/>
      <c r="K164" s="619"/>
      <c r="L164" s="619"/>
      <c r="M164" s="619"/>
      <c r="N164" s="619"/>
      <c r="O164" s="619"/>
      <c r="P164" s="619"/>
      <c r="Q164" s="619"/>
      <c r="R164" s="620"/>
    </row>
    <row r="165" spans="1:19">
      <c r="A165" s="618"/>
      <c r="B165" s="619"/>
      <c r="C165" s="619"/>
      <c r="D165" s="619"/>
      <c r="E165" s="619"/>
      <c r="F165" s="619"/>
      <c r="G165" s="619"/>
      <c r="H165" s="619"/>
      <c r="I165" s="619"/>
      <c r="J165" s="619"/>
      <c r="K165" s="619"/>
      <c r="L165" s="619"/>
      <c r="M165" s="619"/>
      <c r="N165" s="619"/>
      <c r="O165" s="619"/>
      <c r="P165" s="619"/>
      <c r="Q165" s="619"/>
      <c r="R165" s="620"/>
    </row>
    <row r="166" spans="1:19">
      <c r="A166" s="618"/>
      <c r="B166" s="619"/>
      <c r="C166" s="619"/>
      <c r="D166" s="619"/>
      <c r="E166" s="619"/>
      <c r="F166" s="619"/>
      <c r="G166" s="619"/>
      <c r="H166" s="619"/>
      <c r="I166" s="619"/>
      <c r="J166" s="619"/>
      <c r="K166" s="619"/>
      <c r="L166" s="619"/>
      <c r="M166" s="619"/>
      <c r="N166" s="619"/>
      <c r="O166" s="619"/>
      <c r="P166" s="619"/>
      <c r="Q166" s="619"/>
      <c r="R166" s="620"/>
    </row>
    <row r="167" spans="1:19">
      <c r="A167" s="618"/>
      <c r="B167" s="619"/>
      <c r="C167" s="619"/>
      <c r="D167" s="619"/>
      <c r="E167" s="619"/>
      <c r="F167" s="619"/>
      <c r="G167" s="619"/>
      <c r="H167" s="619"/>
      <c r="I167" s="619"/>
      <c r="J167" s="619"/>
      <c r="K167" s="619"/>
      <c r="L167" s="619"/>
      <c r="M167" s="619"/>
      <c r="N167" s="619"/>
      <c r="O167" s="619"/>
      <c r="P167" s="619"/>
      <c r="Q167" s="619"/>
      <c r="R167" s="620"/>
    </row>
    <row r="168" spans="1:19">
      <c r="A168" s="618"/>
      <c r="B168" s="619"/>
      <c r="C168" s="619"/>
      <c r="D168" s="619"/>
      <c r="E168" s="619"/>
      <c r="F168" s="619"/>
      <c r="G168" s="619"/>
      <c r="H168" s="619"/>
      <c r="I168" s="619"/>
      <c r="J168" s="619"/>
      <c r="K168" s="619"/>
      <c r="L168" s="619"/>
      <c r="M168" s="619"/>
      <c r="N168" s="619"/>
      <c r="O168" s="619"/>
      <c r="P168" s="619"/>
      <c r="Q168" s="619"/>
      <c r="R168" s="620"/>
    </row>
    <row r="169" spans="1:19">
      <c r="A169" s="618"/>
      <c r="B169" s="619"/>
      <c r="C169" s="619"/>
      <c r="D169" s="619"/>
      <c r="E169" s="619"/>
      <c r="F169" s="619"/>
      <c r="G169" s="619"/>
      <c r="H169" s="619"/>
      <c r="I169" s="619"/>
      <c r="J169" s="619"/>
      <c r="K169" s="619"/>
      <c r="L169" s="619"/>
      <c r="M169" s="619"/>
      <c r="N169" s="619"/>
      <c r="O169" s="619"/>
      <c r="P169" s="619"/>
      <c r="Q169" s="619"/>
      <c r="R169" s="620"/>
    </row>
    <row r="170" spans="1:19">
      <c r="A170" s="618"/>
      <c r="B170" s="619"/>
      <c r="C170" s="619"/>
      <c r="D170" s="619"/>
      <c r="E170" s="619"/>
      <c r="F170" s="619"/>
      <c r="G170" s="619"/>
      <c r="H170" s="619"/>
      <c r="I170" s="619"/>
      <c r="J170" s="619"/>
      <c r="K170" s="619"/>
      <c r="L170" s="619"/>
      <c r="M170" s="619"/>
      <c r="N170" s="619"/>
      <c r="O170" s="619"/>
      <c r="P170" s="619"/>
      <c r="Q170" s="619"/>
      <c r="R170" s="620"/>
    </row>
    <row r="171" spans="1:19">
      <c r="A171" s="618"/>
      <c r="B171" s="619"/>
      <c r="C171" s="619"/>
      <c r="D171" s="619"/>
      <c r="E171" s="619"/>
      <c r="F171" s="619"/>
      <c r="G171" s="619"/>
      <c r="H171" s="619"/>
      <c r="I171" s="619"/>
      <c r="J171" s="619"/>
      <c r="K171" s="619"/>
      <c r="L171" s="619"/>
      <c r="M171" s="619"/>
      <c r="N171" s="619"/>
      <c r="O171" s="619"/>
      <c r="P171" s="619"/>
      <c r="Q171" s="619"/>
      <c r="R171" s="620"/>
    </row>
    <row r="172" spans="1:19">
      <c r="A172" s="618"/>
      <c r="B172" s="619"/>
      <c r="C172" s="619"/>
      <c r="D172" s="619"/>
      <c r="E172" s="619"/>
      <c r="F172" s="619"/>
      <c r="G172" s="619"/>
      <c r="H172" s="619"/>
      <c r="I172" s="619"/>
      <c r="J172" s="619"/>
      <c r="K172" s="619"/>
      <c r="L172" s="619"/>
      <c r="M172" s="619"/>
      <c r="N172" s="619"/>
      <c r="O172" s="619"/>
      <c r="P172" s="619"/>
      <c r="Q172" s="619"/>
      <c r="R172" s="620"/>
    </row>
    <row r="173" spans="1:19">
      <c r="A173" s="618"/>
      <c r="B173" s="619"/>
      <c r="C173" s="619"/>
      <c r="D173" s="619"/>
      <c r="E173" s="619"/>
      <c r="F173" s="619"/>
      <c r="G173" s="619"/>
      <c r="H173" s="619"/>
      <c r="I173" s="619"/>
      <c r="J173" s="619"/>
      <c r="K173" s="619"/>
      <c r="L173" s="619"/>
      <c r="M173" s="619"/>
      <c r="N173" s="619"/>
      <c r="O173" s="619"/>
      <c r="P173" s="619"/>
      <c r="Q173" s="619"/>
      <c r="R173" s="620"/>
    </row>
    <row r="174" spans="1:19">
      <c r="A174" s="618"/>
      <c r="B174" s="619"/>
      <c r="C174" s="619"/>
      <c r="D174" s="619"/>
      <c r="E174" s="619"/>
      <c r="F174" s="619"/>
      <c r="G174" s="619"/>
      <c r="H174" s="619"/>
      <c r="I174" s="619"/>
      <c r="J174" s="619"/>
      <c r="K174" s="619"/>
      <c r="L174" s="619"/>
      <c r="M174" s="619"/>
      <c r="N174" s="619"/>
      <c r="O174" s="619"/>
      <c r="P174" s="619"/>
      <c r="Q174" s="619"/>
      <c r="R174" s="620"/>
    </row>
    <row r="175" spans="1:19">
      <c r="A175" s="618"/>
      <c r="B175" s="619"/>
      <c r="C175" s="619"/>
      <c r="D175" s="619"/>
      <c r="E175" s="619"/>
      <c r="F175" s="619"/>
      <c r="G175" s="619"/>
      <c r="H175" s="619"/>
      <c r="I175" s="619"/>
      <c r="J175" s="619"/>
      <c r="K175" s="619"/>
      <c r="L175" s="619"/>
      <c r="M175" s="619"/>
      <c r="N175" s="619"/>
      <c r="O175" s="619"/>
      <c r="P175" s="619"/>
      <c r="Q175" s="619"/>
      <c r="R175" s="620"/>
    </row>
    <row r="176" spans="1:19">
      <c r="A176" s="618"/>
      <c r="B176" s="619"/>
      <c r="C176" s="619"/>
      <c r="D176" s="619"/>
      <c r="E176" s="619"/>
      <c r="F176" s="619"/>
      <c r="G176" s="619"/>
      <c r="H176" s="619"/>
      <c r="I176" s="619"/>
      <c r="J176" s="619"/>
      <c r="K176" s="619"/>
      <c r="L176" s="619"/>
      <c r="M176" s="619"/>
      <c r="N176" s="619"/>
      <c r="O176" s="619"/>
      <c r="P176" s="619"/>
      <c r="Q176" s="619"/>
      <c r="R176" s="620"/>
    </row>
    <row r="177" spans="1:18">
      <c r="A177" s="618"/>
      <c r="B177" s="619"/>
      <c r="C177" s="619"/>
      <c r="D177" s="619"/>
      <c r="E177" s="619"/>
      <c r="F177" s="619"/>
      <c r="G177" s="619"/>
      <c r="H177" s="619"/>
      <c r="I177" s="619"/>
      <c r="J177" s="619"/>
      <c r="K177" s="619"/>
      <c r="L177" s="619"/>
      <c r="M177" s="619"/>
      <c r="N177" s="619"/>
      <c r="O177" s="619"/>
      <c r="P177" s="619"/>
      <c r="Q177" s="619"/>
      <c r="R177" s="620"/>
    </row>
    <row r="178" spans="1:18">
      <c r="A178" s="618"/>
      <c r="B178" s="619"/>
      <c r="C178" s="619"/>
      <c r="D178" s="619"/>
      <c r="E178" s="619"/>
      <c r="F178" s="619"/>
      <c r="G178" s="619"/>
      <c r="H178" s="619"/>
      <c r="I178" s="619"/>
      <c r="J178" s="619"/>
      <c r="K178" s="619"/>
      <c r="L178" s="619"/>
      <c r="M178" s="619"/>
      <c r="N178" s="619"/>
      <c r="O178" s="619"/>
      <c r="P178" s="619"/>
      <c r="Q178" s="619"/>
      <c r="R178" s="620"/>
    </row>
    <row r="179" spans="1:18">
      <c r="A179" s="618"/>
      <c r="B179" s="619"/>
      <c r="C179" s="619"/>
      <c r="D179" s="619"/>
      <c r="E179" s="619"/>
      <c r="F179" s="619"/>
      <c r="G179" s="619"/>
      <c r="H179" s="619"/>
      <c r="I179" s="619"/>
      <c r="J179" s="619"/>
      <c r="K179" s="619"/>
      <c r="L179" s="619"/>
      <c r="M179" s="619"/>
      <c r="N179" s="619"/>
      <c r="O179" s="619"/>
      <c r="P179" s="619"/>
      <c r="Q179" s="619"/>
      <c r="R179" s="620"/>
    </row>
    <row r="180" spans="1:18">
      <c r="A180" s="618"/>
      <c r="B180" s="619"/>
      <c r="C180" s="619"/>
      <c r="D180" s="619"/>
      <c r="E180" s="619"/>
      <c r="F180" s="619"/>
      <c r="G180" s="619"/>
      <c r="H180" s="619"/>
      <c r="I180" s="619"/>
      <c r="J180" s="619"/>
      <c r="K180" s="619"/>
      <c r="L180" s="619"/>
      <c r="M180" s="619"/>
      <c r="N180" s="619"/>
      <c r="O180" s="619"/>
      <c r="P180" s="619"/>
      <c r="Q180" s="619"/>
      <c r="R180" s="620"/>
    </row>
    <row r="181" spans="1:18">
      <c r="A181" s="618"/>
      <c r="B181" s="619"/>
      <c r="C181" s="619"/>
      <c r="D181" s="619"/>
      <c r="E181" s="619"/>
      <c r="F181" s="619"/>
      <c r="G181" s="619"/>
      <c r="H181" s="619"/>
      <c r="I181" s="619"/>
      <c r="J181" s="619"/>
      <c r="K181" s="619"/>
      <c r="L181" s="619"/>
      <c r="M181" s="619"/>
      <c r="N181" s="619"/>
      <c r="O181" s="619"/>
      <c r="P181" s="619"/>
      <c r="Q181" s="619"/>
      <c r="R181" s="620"/>
    </row>
    <row r="182" spans="1:18">
      <c r="A182" s="618"/>
      <c r="B182" s="619"/>
      <c r="C182" s="619"/>
      <c r="D182" s="619"/>
      <c r="E182" s="619"/>
      <c r="F182" s="619"/>
      <c r="G182" s="619"/>
      <c r="H182" s="619"/>
      <c r="I182" s="619"/>
      <c r="J182" s="619"/>
      <c r="K182" s="619"/>
      <c r="L182" s="619"/>
      <c r="M182" s="619"/>
      <c r="N182" s="619"/>
      <c r="O182" s="619"/>
      <c r="P182" s="619"/>
      <c r="Q182" s="619"/>
      <c r="R182" s="620"/>
    </row>
    <row r="183" spans="1:18">
      <c r="A183" s="618"/>
      <c r="B183" s="619"/>
      <c r="C183" s="619"/>
      <c r="D183" s="619"/>
      <c r="E183" s="619"/>
      <c r="F183" s="619"/>
      <c r="G183" s="619"/>
      <c r="H183" s="619"/>
      <c r="I183" s="619"/>
      <c r="J183" s="619"/>
      <c r="K183" s="619"/>
      <c r="L183" s="619"/>
      <c r="M183" s="619"/>
      <c r="N183" s="619"/>
      <c r="O183" s="619"/>
      <c r="P183" s="619"/>
      <c r="Q183" s="619"/>
      <c r="R183" s="620"/>
    </row>
    <row r="184" spans="1:18">
      <c r="A184" s="618"/>
      <c r="B184" s="619"/>
      <c r="C184" s="619"/>
      <c r="D184" s="619"/>
      <c r="E184" s="619"/>
      <c r="F184" s="619"/>
      <c r="G184" s="619"/>
      <c r="H184" s="619"/>
      <c r="I184" s="619"/>
      <c r="J184" s="619"/>
      <c r="K184" s="619"/>
      <c r="L184" s="619"/>
      <c r="M184" s="619"/>
      <c r="N184" s="619"/>
      <c r="O184" s="619"/>
      <c r="P184" s="619"/>
      <c r="Q184" s="619"/>
      <c r="R184" s="620"/>
    </row>
    <row r="185" spans="1:18">
      <c r="A185" s="618"/>
      <c r="B185" s="619"/>
      <c r="C185" s="619"/>
      <c r="D185" s="619"/>
      <c r="E185" s="619"/>
      <c r="F185" s="619"/>
      <c r="G185" s="619"/>
      <c r="H185" s="619"/>
      <c r="I185" s="619"/>
      <c r="J185" s="619"/>
      <c r="K185" s="619"/>
      <c r="L185" s="619"/>
      <c r="M185" s="619"/>
      <c r="N185" s="619"/>
      <c r="O185" s="619"/>
      <c r="P185" s="619"/>
      <c r="Q185" s="619"/>
      <c r="R185" s="620"/>
    </row>
    <row r="186" spans="1:18">
      <c r="A186" s="618"/>
      <c r="B186" s="619"/>
      <c r="C186" s="619"/>
      <c r="D186" s="619"/>
      <c r="E186" s="619"/>
      <c r="F186" s="619"/>
      <c r="G186" s="619"/>
      <c r="H186" s="619"/>
      <c r="I186" s="619"/>
      <c r="J186" s="619"/>
      <c r="K186" s="619"/>
      <c r="L186" s="619"/>
      <c r="M186" s="619"/>
      <c r="N186" s="619"/>
      <c r="O186" s="619"/>
      <c r="P186" s="619"/>
      <c r="Q186" s="619"/>
      <c r="R186" s="620"/>
    </row>
    <row r="187" spans="1:18">
      <c r="A187" s="618"/>
      <c r="B187" s="619"/>
      <c r="C187" s="619"/>
      <c r="D187" s="619"/>
      <c r="E187" s="619"/>
      <c r="F187" s="619"/>
      <c r="G187" s="619"/>
      <c r="H187" s="619"/>
      <c r="I187" s="619"/>
      <c r="J187" s="619"/>
      <c r="K187" s="619"/>
      <c r="L187" s="619"/>
      <c r="M187" s="619"/>
      <c r="N187" s="619"/>
      <c r="O187" s="619"/>
      <c r="P187" s="619"/>
      <c r="Q187" s="619"/>
      <c r="R187" s="620"/>
    </row>
    <row r="188" spans="1:18">
      <c r="A188" s="618"/>
      <c r="B188" s="619"/>
      <c r="C188" s="619"/>
      <c r="D188" s="619"/>
      <c r="E188" s="619"/>
      <c r="F188" s="619"/>
      <c r="G188" s="619"/>
      <c r="H188" s="619"/>
      <c r="I188" s="619"/>
      <c r="J188" s="619"/>
      <c r="K188" s="619"/>
      <c r="L188" s="619"/>
      <c r="M188" s="619"/>
      <c r="N188" s="619"/>
      <c r="O188" s="619"/>
      <c r="P188" s="619"/>
      <c r="Q188" s="619"/>
      <c r="R188" s="620"/>
    </row>
    <row r="189" spans="1:18">
      <c r="A189" s="618"/>
      <c r="B189" s="619"/>
      <c r="C189" s="619"/>
      <c r="D189" s="619"/>
      <c r="E189" s="619"/>
      <c r="F189" s="619"/>
      <c r="G189" s="619"/>
      <c r="H189" s="619"/>
      <c r="I189" s="619"/>
      <c r="J189" s="619"/>
      <c r="K189" s="619"/>
      <c r="L189" s="619"/>
      <c r="M189" s="619"/>
      <c r="N189" s="619"/>
      <c r="O189" s="619"/>
      <c r="P189" s="619"/>
      <c r="Q189" s="619"/>
      <c r="R189" s="620"/>
    </row>
    <row r="190" spans="1:18">
      <c r="A190" s="618"/>
      <c r="B190" s="619"/>
      <c r="C190" s="619"/>
      <c r="D190" s="619"/>
      <c r="E190" s="619"/>
      <c r="F190" s="619"/>
      <c r="G190" s="619"/>
      <c r="H190" s="619"/>
      <c r="I190" s="619"/>
      <c r="J190" s="619"/>
      <c r="K190" s="619"/>
      <c r="L190" s="619"/>
      <c r="M190" s="619"/>
      <c r="N190" s="619"/>
      <c r="O190" s="619"/>
      <c r="P190" s="619"/>
      <c r="Q190" s="619"/>
      <c r="R190" s="620"/>
    </row>
    <row r="191" spans="1:18">
      <c r="A191" s="618"/>
      <c r="B191" s="619"/>
      <c r="C191" s="619"/>
      <c r="D191" s="619"/>
      <c r="E191" s="619"/>
      <c r="F191" s="619"/>
      <c r="G191" s="619"/>
      <c r="H191" s="619"/>
      <c r="I191" s="619"/>
      <c r="J191" s="619"/>
      <c r="K191" s="619"/>
      <c r="L191" s="619"/>
      <c r="M191" s="619"/>
      <c r="N191" s="619"/>
      <c r="O191" s="619"/>
      <c r="P191" s="619"/>
      <c r="Q191" s="619"/>
      <c r="R191" s="620"/>
    </row>
    <row r="192" spans="1:18" ht="15" thickBot="1">
      <c r="A192" s="621"/>
      <c r="B192" s="622"/>
      <c r="C192" s="622"/>
      <c r="D192" s="622"/>
      <c r="E192" s="622"/>
      <c r="F192" s="622"/>
      <c r="G192" s="622"/>
      <c r="H192" s="622"/>
      <c r="I192" s="622"/>
      <c r="J192" s="622"/>
      <c r="K192" s="622"/>
      <c r="L192" s="622"/>
      <c r="M192" s="622"/>
      <c r="N192" s="622"/>
      <c r="O192" s="622"/>
      <c r="P192" s="622"/>
      <c r="Q192" s="622"/>
      <c r="R192" s="623"/>
    </row>
    <row r="266" spans="2:13">
      <c r="B266" s="611" t="s">
        <v>49</v>
      </c>
      <c r="C266" s="612"/>
      <c r="D266" s="608" t="s">
        <v>42</v>
      </c>
      <c r="E266" s="609"/>
      <c r="F266" s="609"/>
      <c r="G266" s="609"/>
      <c r="H266" s="609"/>
      <c r="I266" s="609"/>
      <c r="J266" s="609"/>
      <c r="K266" s="609"/>
      <c r="L266" s="609"/>
      <c r="M266" s="610"/>
    </row>
    <row r="267" spans="2:13">
      <c r="B267" s="613"/>
      <c r="C267" s="614"/>
      <c r="D267" s="8">
        <v>1</v>
      </c>
      <c r="E267" s="9">
        <v>2</v>
      </c>
      <c r="F267" s="9">
        <v>3</v>
      </c>
      <c r="G267" s="9">
        <v>4</v>
      </c>
      <c r="H267" s="9">
        <v>5</v>
      </c>
      <c r="I267" s="9">
        <v>6</v>
      </c>
      <c r="J267" s="9">
        <v>7</v>
      </c>
      <c r="K267" s="10">
        <v>8</v>
      </c>
      <c r="L267" s="9">
        <v>9</v>
      </c>
      <c r="M267" s="9">
        <v>10</v>
      </c>
    </row>
    <row r="268" spans="2:13" ht="15">
      <c r="B268" s="6" t="s">
        <v>43</v>
      </c>
      <c r="C268" s="11">
        <v>6</v>
      </c>
      <c r="D268" s="2">
        <f>ROUND((PI()*C268^2/400)*1,3)</f>
        <v>0.28299999999999997</v>
      </c>
      <c r="E268" s="2">
        <f t="shared" ref="E268:M268" si="0">$D$268*E267</f>
        <v>0.56599999999999995</v>
      </c>
      <c r="F268" s="2">
        <f t="shared" si="0"/>
        <v>0.84899999999999998</v>
      </c>
      <c r="G268" s="2">
        <f t="shared" si="0"/>
        <v>1.1319999999999999</v>
      </c>
      <c r="H268" s="2">
        <f t="shared" si="0"/>
        <v>1.4149999999999998</v>
      </c>
      <c r="I268" s="2">
        <f t="shared" si="0"/>
        <v>1.698</v>
      </c>
      <c r="J268" s="2">
        <f t="shared" si="0"/>
        <v>1.9809999999999999</v>
      </c>
      <c r="K268" s="3">
        <f t="shared" si="0"/>
        <v>2.2639999999999998</v>
      </c>
      <c r="L268" s="2">
        <f t="shared" si="0"/>
        <v>2.5469999999999997</v>
      </c>
      <c r="M268" s="2">
        <f t="shared" si="0"/>
        <v>2.8299999999999996</v>
      </c>
    </row>
    <row r="269" spans="2:13" ht="15">
      <c r="B269" s="6" t="s">
        <v>43</v>
      </c>
      <c r="C269" s="12">
        <v>9</v>
      </c>
      <c r="D269" s="2">
        <f>ROUND(PI()*C269^2*$D$267/400,3)</f>
        <v>0.63600000000000001</v>
      </c>
      <c r="E269" s="2">
        <f>D269*$E$267</f>
        <v>1.272</v>
      </c>
      <c r="F269" s="2">
        <f t="shared" ref="F269:M269" si="1">$D$269*F267</f>
        <v>1.9079999999999999</v>
      </c>
      <c r="G269" s="2">
        <f t="shared" si="1"/>
        <v>2.544</v>
      </c>
      <c r="H269" s="2">
        <f t="shared" si="1"/>
        <v>3.18</v>
      </c>
      <c r="I269" s="2">
        <f t="shared" si="1"/>
        <v>3.8159999999999998</v>
      </c>
      <c r="J269" s="2">
        <f t="shared" si="1"/>
        <v>4.452</v>
      </c>
      <c r="K269" s="3">
        <f t="shared" si="1"/>
        <v>5.0880000000000001</v>
      </c>
      <c r="L269" s="2">
        <f t="shared" si="1"/>
        <v>5.7240000000000002</v>
      </c>
      <c r="M269" s="2">
        <f t="shared" si="1"/>
        <v>6.36</v>
      </c>
    </row>
    <row r="270" spans="2:13" ht="15">
      <c r="B270" s="6" t="s">
        <v>43</v>
      </c>
      <c r="C270" s="12">
        <v>12</v>
      </c>
      <c r="D270" s="2">
        <f>ROUND(PI()*C270^2*$D$267/400,3)</f>
        <v>1.131</v>
      </c>
      <c r="E270" s="2">
        <f>D270*$E$267</f>
        <v>2.262</v>
      </c>
      <c r="F270" s="2">
        <f t="shared" ref="F270:M270" si="2">$D$270*F267</f>
        <v>3.3929999999999998</v>
      </c>
      <c r="G270" s="2">
        <f t="shared" si="2"/>
        <v>4.524</v>
      </c>
      <c r="H270" s="2">
        <f t="shared" si="2"/>
        <v>5.6550000000000002</v>
      </c>
      <c r="I270" s="2">
        <f t="shared" si="2"/>
        <v>6.7859999999999996</v>
      </c>
      <c r="J270" s="2">
        <f t="shared" si="2"/>
        <v>7.9169999999999998</v>
      </c>
      <c r="K270" s="3">
        <f t="shared" si="2"/>
        <v>9.048</v>
      </c>
      <c r="L270" s="2">
        <f t="shared" si="2"/>
        <v>10.179</v>
      </c>
      <c r="M270" s="2">
        <f t="shared" si="2"/>
        <v>11.31</v>
      </c>
    </row>
    <row r="271" spans="2:13" ht="15">
      <c r="B271" s="6" t="s">
        <v>43</v>
      </c>
      <c r="C271" s="12">
        <v>19</v>
      </c>
      <c r="D271" s="2">
        <f>ROUND(PI()*C271^2*$D$267/400,3)</f>
        <v>2.835</v>
      </c>
      <c r="E271" s="2">
        <f>D271*$E$267</f>
        <v>5.67</v>
      </c>
      <c r="F271" s="2">
        <f t="shared" ref="F271:M271" si="3">$D$271*F267</f>
        <v>8.504999999999999</v>
      </c>
      <c r="G271" s="2">
        <f t="shared" si="3"/>
        <v>11.34</v>
      </c>
      <c r="H271" s="2">
        <f t="shared" si="3"/>
        <v>14.175000000000001</v>
      </c>
      <c r="I271" s="2">
        <f t="shared" si="3"/>
        <v>17.009999999999998</v>
      </c>
      <c r="J271" s="2">
        <f t="shared" si="3"/>
        <v>19.844999999999999</v>
      </c>
      <c r="K271" s="3">
        <f t="shared" si="3"/>
        <v>22.68</v>
      </c>
      <c r="L271" s="2">
        <f t="shared" si="3"/>
        <v>25.515000000000001</v>
      </c>
      <c r="M271" s="2">
        <f t="shared" si="3"/>
        <v>28.35</v>
      </c>
    </row>
    <row r="272" spans="2:13" ht="15">
      <c r="B272" s="7" t="s">
        <v>43</v>
      </c>
      <c r="C272" s="11">
        <v>25</v>
      </c>
      <c r="D272" s="2">
        <f>ROUND(PI()*C272^2*$D$267/400,3)</f>
        <v>4.9089999999999998</v>
      </c>
      <c r="E272" s="4">
        <f>D272*$E$267</f>
        <v>9.8179999999999996</v>
      </c>
      <c r="F272" s="4">
        <f t="shared" ref="F272:M272" si="4">$D$272*F267</f>
        <v>14.727</v>
      </c>
      <c r="G272" s="4">
        <f t="shared" si="4"/>
        <v>19.635999999999999</v>
      </c>
      <c r="H272" s="4">
        <f t="shared" si="4"/>
        <v>24.544999999999998</v>
      </c>
      <c r="I272" s="4">
        <f t="shared" si="4"/>
        <v>29.454000000000001</v>
      </c>
      <c r="J272" s="4">
        <f t="shared" si="4"/>
        <v>34.363</v>
      </c>
      <c r="K272" s="5">
        <f t="shared" si="4"/>
        <v>39.271999999999998</v>
      </c>
      <c r="L272" s="4">
        <f t="shared" si="4"/>
        <v>44.180999999999997</v>
      </c>
      <c r="M272" s="4">
        <f t="shared" si="4"/>
        <v>49.089999999999996</v>
      </c>
    </row>
  </sheetData>
  <sheetProtection password="CA4D" sheet="1" objects="1" scenarios="1"/>
  <mergeCells count="8">
    <mergeCell ref="D266:M266"/>
    <mergeCell ref="B266:C267"/>
    <mergeCell ref="A6:R35"/>
    <mergeCell ref="A70:R97"/>
    <mergeCell ref="A37:R68"/>
    <mergeCell ref="A99:R129"/>
    <mergeCell ref="A131:R161"/>
    <mergeCell ref="A163:R192"/>
  </mergeCells>
  <hyperlinks>
    <hyperlink ref="A5" location="'desigh Stairs'!C68" display="'desigh Stairs'!C68"/>
    <hyperlink ref="A162" location="'desigh Stairs'!C73" display="'desigh Stairs'!C73"/>
    <hyperlink ref="A130" location="'desigh Stairs'!C72" display="'desigh Stairs'!C72"/>
    <hyperlink ref="A98" location="'desigh Stairs'!C73" display="'desigh Stairs'!C73"/>
    <hyperlink ref="A69" location="'desigh Stairs'!C70" display="'desigh Stairs'!C70"/>
    <hyperlink ref="A36" location="'desigh Stairs'!C69" display="'desigh Stairs'!C69"/>
  </hyperlinks>
  <pageMargins left="0.7" right="0.7" top="0.75" bottom="0.75" header="0.3" footer="0.3"/>
  <pageSetup paperSize="9" scale="18" orientation="portrait" r:id="rId1"/>
  <ignoredErrors>
    <ignoredError sqref="BK91 BL89 BO91 BO86 BP84 BP89" formula="1"/>
  </ignoredErrors>
  <drawing r:id="rId2"/>
</worksheet>
</file>

<file path=xl/worksheets/sheet3.xml><?xml version="1.0" encoding="utf-8"?>
<worksheet xmlns="http://schemas.openxmlformats.org/spreadsheetml/2006/main" xmlns:r="http://schemas.openxmlformats.org/officeDocument/2006/relationships">
  <sheetPr codeName="Sheet4"/>
  <dimension ref="A1"/>
  <sheetViews>
    <sheetView workbookViewId="0">
      <selection activeCell="K15" sqref="K15"/>
    </sheetView>
  </sheetViews>
  <sheetFormatPr defaultRowHeight="14.25"/>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codeName="Sheet5"/>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desigh Stairs</vt:lpstr>
      <vt:lpstr>sheet3</vt:lpstr>
      <vt:lpstr>Sheet4</vt:lpstr>
      <vt:lpstr>Sheet2</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2010-03-15T08:37:26Z</dcterms:created>
  <dcterms:modified xsi:type="dcterms:W3CDTF">2010-04-21T08:43:33Z</dcterms:modified>
</cp:coreProperties>
</file>