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RAFTER ROLLED" sheetId="1" r:id="rId1"/>
  </sheets>
  <definedNames>
    <definedName name="_xlnm.Print_Area" localSheetId="0">'RAFTER ROLLED'!$A$1:$J$163</definedName>
    <definedName name="_xlnm.Print_Titles" localSheetId="0">'RAFTER ROLLED'!$1:$4</definedName>
    <definedName name="Z_B381FCE2_D8C1_4124_915B_856606DE7547_.wvu.PrintArea" localSheetId="0" hidden="1">'RAFTER ROLLED'!$A$1:$J$150</definedName>
    <definedName name="Z_B381FCE2_D8C1_4124_915B_856606DE7547_.wvu.PrintTitles" localSheetId="0" hidden="1">'RAFTER ROLLED'!$1:$4</definedName>
  </definedNames>
  <calcPr fullCalcOnLoad="1"/>
</workbook>
</file>

<file path=xl/sharedStrings.xml><?xml version="1.0" encoding="utf-8"?>
<sst xmlns="http://schemas.openxmlformats.org/spreadsheetml/2006/main" count="407" uniqueCount="152">
  <si>
    <t>m</t>
  </si>
  <si>
    <t>=</t>
  </si>
  <si>
    <t>t</t>
  </si>
  <si>
    <t>mm</t>
  </si>
  <si>
    <t>RAFTER ID :-</t>
  </si>
  <si>
    <t>1)- APPLIED FORCES :-</t>
  </si>
  <si>
    <t xml:space="preserve">M+ive </t>
  </si>
  <si>
    <t>mt</t>
  </si>
  <si>
    <t xml:space="preserve">M-ive </t>
  </si>
  <si>
    <t>cm</t>
  </si>
  <si>
    <t>3)- RAFTER DATA :-</t>
  </si>
  <si>
    <t>Y</t>
  </si>
  <si>
    <t>A</t>
  </si>
  <si>
    <t>&lt; 180</t>
  </si>
  <si>
    <t>Applying the interaction equation :</t>
  </si>
  <si>
    <t>a</t>
  </si>
  <si>
    <t>b</t>
  </si>
  <si>
    <t>Length of haunch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</si>
  <si>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</si>
  <si>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</si>
  <si>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</si>
  <si>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</si>
  <si>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</si>
  <si>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r>
      <t>f</t>
    </r>
    <r>
      <rPr>
        <vertAlign val="subscript"/>
        <sz val="11"/>
        <rFont val="Times New Roman"/>
        <family val="1"/>
      </rPr>
      <t>ca</t>
    </r>
  </si>
  <si>
    <r>
      <t>L</t>
    </r>
    <r>
      <rPr>
        <vertAlign val="subscript"/>
        <sz val="11"/>
        <rFont val="Times New Roman"/>
        <family val="1"/>
      </rPr>
      <t>bin</t>
    </r>
  </si>
  <si>
    <r>
      <t>L</t>
    </r>
    <r>
      <rPr>
        <vertAlign val="subscript"/>
        <sz val="11"/>
        <rFont val="Times New Roman"/>
        <family val="1"/>
      </rPr>
      <t>bout</t>
    </r>
  </si>
  <si>
    <r>
      <t>l</t>
    </r>
    <r>
      <rPr>
        <vertAlign val="subscript"/>
        <sz val="11"/>
        <rFont val="Times New Roman"/>
        <family val="1"/>
      </rPr>
      <t>in</t>
    </r>
  </si>
  <si>
    <r>
      <t>l</t>
    </r>
    <r>
      <rPr>
        <vertAlign val="subscript"/>
        <sz val="11"/>
        <rFont val="Times New Roman"/>
        <family val="1"/>
      </rPr>
      <t>out</t>
    </r>
  </si>
  <si>
    <r>
      <t>l</t>
    </r>
    <r>
      <rPr>
        <vertAlign val="subscript"/>
        <sz val="11"/>
        <rFont val="Times New Roman"/>
        <family val="1"/>
      </rPr>
      <t>max</t>
    </r>
  </si>
  <si>
    <r>
      <t>A</t>
    </r>
    <r>
      <rPr>
        <vertAlign val="subscript"/>
        <sz val="11"/>
        <rFont val="Times New Roman"/>
        <family val="1"/>
      </rPr>
      <t>1</t>
    </r>
  </si>
  <si>
    <t>Total length of rafter (Lg)             =</t>
  </si>
  <si>
    <t>Purlin spacing (S)                         =</t>
  </si>
  <si>
    <t>Cb</t>
  </si>
  <si>
    <t>Rt</t>
  </si>
  <si>
    <t>F1</t>
  </si>
  <si>
    <t>Lu/Rt</t>
  </si>
  <si>
    <t>F2</t>
  </si>
  <si>
    <t>F3</t>
  </si>
  <si>
    <t>Fltb</t>
  </si>
  <si>
    <t xml:space="preserve">Use Knee Bracing </t>
  </si>
  <si>
    <t>PROPERTIES OF SECTION :-</t>
  </si>
  <si>
    <t>no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</si>
  <si>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</si>
  <si>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</si>
  <si>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t>The sec is</t>
  </si>
  <si>
    <t>yes</t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</si>
  <si>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</si>
  <si>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</si>
  <si>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>bcx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</si>
  <si>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</si>
  <si>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r>
      <t>( f</t>
    </r>
    <r>
      <rPr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 xml:space="preserve">c </t>
    </r>
    <r>
      <rPr>
        <sz val="11"/>
        <rFont val="Times New Roman"/>
        <family val="1"/>
      </rPr>
      <t>) + ( f</t>
    </r>
    <r>
      <rPr>
        <vertAlign val="subscript"/>
        <sz val="11"/>
        <rFont val="Times New Roman"/>
        <family val="1"/>
      </rPr>
      <t>bcx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>bcx</t>
    </r>
    <r>
      <rPr>
        <sz val="11"/>
        <rFont val="Times New Roman"/>
        <family val="1"/>
      </rPr>
      <t xml:space="preserve"> ) A</t>
    </r>
    <r>
      <rPr>
        <vertAlign val="sub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   =</t>
    </r>
  </si>
  <si>
    <r>
      <t>F</t>
    </r>
    <r>
      <rPr>
        <vertAlign val="subscript"/>
        <sz val="11"/>
        <rFont val="Times New Roman"/>
        <family val="1"/>
      </rPr>
      <t>c</t>
    </r>
  </si>
  <si>
    <r>
      <t>f</t>
    </r>
    <r>
      <rPr>
        <vertAlign val="subscript"/>
        <sz val="11"/>
        <rFont val="Times New Roman"/>
        <family val="1"/>
      </rPr>
      <t>ca</t>
    </r>
    <r>
      <rPr>
        <sz val="11"/>
        <rFont val="Times New Roman"/>
        <family val="1"/>
      </rPr>
      <t xml:space="preserve"> / F</t>
    </r>
    <r>
      <rPr>
        <vertAlign val="subscript"/>
        <sz val="11"/>
        <rFont val="Times New Roman"/>
        <family val="1"/>
      </rPr>
      <t>c</t>
    </r>
  </si>
  <si>
    <r>
      <t>I</t>
    </r>
    <r>
      <rPr>
        <vertAlign val="subscript"/>
        <sz val="11"/>
        <rFont val="Times New Roman"/>
        <family val="1"/>
      </rPr>
      <t>x</t>
    </r>
  </si>
  <si>
    <r>
      <t>I</t>
    </r>
    <r>
      <rPr>
        <vertAlign val="subscript"/>
        <sz val="11"/>
        <rFont val="Times New Roman"/>
        <family val="1"/>
      </rPr>
      <t>y</t>
    </r>
  </si>
  <si>
    <r>
      <t>S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</si>
  <si>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x</t>
    </r>
  </si>
  <si>
    <r>
      <t>r</t>
    </r>
    <r>
      <rPr>
        <vertAlign val="subscript"/>
        <sz val="11"/>
        <rFont val="Times New Roman"/>
        <family val="1"/>
      </rPr>
      <t>y</t>
    </r>
  </si>
  <si>
    <t>Lu act.of comp. Flange from sap                  =</t>
  </si>
  <si>
    <t>SECTION (1-1) :-</t>
  </si>
  <si>
    <t>SECTION (2-2) :-</t>
  </si>
  <si>
    <t>2)- CHOISE OF SECTION :-</t>
  </si>
  <si>
    <t>A)- Section (1-1) at M+ive :-</t>
  </si>
  <si>
    <t>CHECK COMPACTNESS :-</t>
  </si>
  <si>
    <t>4)- CHECK SECTIONS :-</t>
  </si>
  <si>
    <t>CHECK STRESSES :-</t>
  </si>
  <si>
    <t>Lateral torsional buckling of comp.flange</t>
  </si>
  <si>
    <t>Fltb1</t>
  </si>
  <si>
    <t>Fltb2</t>
  </si>
  <si>
    <t>Fsec</t>
  </si>
  <si>
    <t>Case</t>
  </si>
  <si>
    <t>CHECK NORMAL STRESSES :-</t>
  </si>
  <si>
    <t>CHECK SHEAR STRESSES :-</t>
  </si>
  <si>
    <r>
      <t>q</t>
    </r>
    <r>
      <rPr>
        <vertAlign val="subscript"/>
        <sz val="11"/>
        <rFont val="Times New Roman"/>
        <family val="1"/>
      </rPr>
      <t>w</t>
    </r>
  </si>
  <si>
    <t>B)- Section (2-2) at M-ive :-</t>
  </si>
  <si>
    <t xml:space="preserve">Lateral torsional buckling of comp.flange </t>
  </si>
  <si>
    <t>NO KNEE BRACING</t>
  </si>
  <si>
    <t>KNEE BRACING</t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</si>
  <si>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</si>
  <si>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</si>
  <si>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</si>
  <si>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</si>
  <si>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</si>
  <si>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</si>
  <si>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</si>
  <si>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</si>
  <si>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</si>
  <si>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</si>
  <si>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</si>
  <si>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</si>
  <si>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</si>
  <si>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</si>
  <si>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</si>
  <si>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</si>
  <si>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</si>
  <si>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</si>
  <si>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</si>
  <si>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table(4.1)</t>
  </si>
  <si>
    <t>ECP</t>
  </si>
  <si>
    <t>eqn. 2.35</t>
  </si>
  <si>
    <t>eqn. 2.2</t>
  </si>
  <si>
    <t>M.Nour</t>
  </si>
  <si>
    <r>
      <t>t</t>
    </r>
    <r>
      <rPr>
        <vertAlign val="subscript"/>
        <sz val="11"/>
        <rFont val="Times New Roman"/>
        <family val="1"/>
      </rPr>
      <t>WEB</t>
    </r>
  </si>
  <si>
    <t>IPE</t>
  </si>
  <si>
    <t>AREA</t>
  </si>
  <si>
    <t>h</t>
  </si>
  <si>
    <t>s</t>
  </si>
  <si>
    <t>r1</t>
  </si>
  <si>
    <t>h-2c</t>
  </si>
  <si>
    <t>Ix</t>
  </si>
  <si>
    <t>Sx</t>
  </si>
  <si>
    <t>rx</t>
  </si>
  <si>
    <t>Iy</t>
  </si>
  <si>
    <t>ry</t>
  </si>
  <si>
    <t>IPE 140</t>
  </si>
  <si>
    <t>IPE 160</t>
  </si>
  <si>
    <t>IPE 180</t>
  </si>
  <si>
    <t>IPE 200</t>
  </si>
  <si>
    <t>IPE 220</t>
  </si>
  <si>
    <t>IPE 240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</si>
  <si>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</si>
  <si>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</si>
  <si>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</si>
  <si>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</si>
  <si>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</si>
  <si>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</si>
  <si>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</si>
  <si>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</si>
  <si>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</si>
  <si>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CHECKING AND PACKING HALL</t>
  </si>
  <si>
    <t>Bracing spacing (S')                     =</t>
  </si>
  <si>
    <t>( R-1 )</t>
  </si>
  <si>
    <t xml:space="preserve">      The section is Rolled section</t>
  </si>
  <si>
    <r>
      <t>b</t>
    </r>
    <r>
      <rPr>
        <vertAlign val="subscript"/>
        <sz val="11"/>
        <rFont val="Times New Roman"/>
        <family val="1"/>
      </rPr>
      <t>FL</t>
    </r>
  </si>
  <si>
    <r>
      <t>t</t>
    </r>
    <r>
      <rPr>
        <vertAlign val="subscript"/>
        <sz val="11"/>
        <rFont val="Times New Roman"/>
        <family val="1"/>
      </rPr>
      <t>FL</t>
    </r>
  </si>
  <si>
    <t>case</t>
  </si>
  <si>
    <t>Iflange</t>
  </si>
  <si>
    <t>Aflange</t>
  </si>
  <si>
    <t>Fltb final</t>
  </si>
  <si>
    <t>Steel grade</t>
  </si>
  <si>
    <t>St.37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</si>
  <si>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</si>
  <si>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</si>
  <si>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t>St.44</t>
  </si>
  <si>
    <t>St.52</t>
  </si>
  <si>
    <r>
      <t>N</t>
    </r>
    <r>
      <rPr>
        <vertAlign val="subscript"/>
        <sz val="11"/>
        <rFont val="Times New Roman"/>
        <family val="1"/>
      </rPr>
      <t>1</t>
    </r>
  </si>
  <si>
    <r>
      <t>N</t>
    </r>
    <r>
      <rPr>
        <vertAlign val="sub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</si>
  <si>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1</t>
    </r>
  </si>
  <si>
    <r>
      <t>Q</t>
    </r>
    <r>
      <rPr>
        <vertAlign val="subscript"/>
        <sz val="11"/>
        <rFont val="Times New Roman"/>
        <family val="1"/>
      </rPr>
      <t>2</t>
    </r>
  </si>
  <si>
    <t>CHECK EQUIVALENT STRESSES :-</t>
  </si>
  <si>
    <r>
      <t>f</t>
    </r>
    <r>
      <rPr>
        <vertAlign val="subscript"/>
        <sz val="11"/>
        <rFont val="Times New Roman"/>
        <family val="1"/>
      </rPr>
      <t>e</t>
    </r>
  </si>
  <si>
    <t>eqn. 2.39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</si>
</sst>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1"/>
      <color indexed="12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50"/>
      <name val="Times New Roman"/>
      <family val="1"/>
    </font>
    <font>
      <sz val="10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double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ck"/>
      <right style="double"/>
      <top style="thin"/>
      <bottom style="thin"/>
    </border>
    <border>
      <left style="thick"/>
      <right style="double"/>
      <top style="thin"/>
      <bottom style="thick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7" fillId="1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3">
    <xf numFmtId="201" fontId="0" fillId="0" borderId="0" xfId="0" applyAlignment="1">
      <alignment/>
    </xf>
    <xf numFmtId="201" fontId="40" fillId="0" borderId="10" xfId="0" applyFont="1" applyFill="1" applyBorder="1" applyAlignment="1" applyProtection="1">
      <alignment horizontal="left" vertical="center"/>
      <protection hidden="1"/>
    </xf>
    <xf numFmtId="201" fontId="41" fillId="0" borderId="11" xfId="0" applyFont="1" applyFill="1" applyBorder="1" applyAlignment="1" applyProtection="1">
      <alignment horizontal="left"/>
      <protection hidden="1"/>
    </xf>
    <xf numFmtId="201" fontId="42" fillId="0" borderId="12" xfId="0" applyFont="1" applyFill="1" applyBorder="1" applyAlignment="1" applyProtection="1">
      <alignment horizontal="left"/>
      <protection hidden="1"/>
    </xf>
    <xf numFmtId="201" fontId="43" fillId="0" borderId="12" xfId="0" applyFont="1" applyFill="1" applyBorder="1" applyAlignment="1" applyProtection="1">
      <alignment horizontal="left"/>
      <protection hidden="1"/>
    </xf>
    <xf numFmtId="201" fontId="43" fillId="0" borderId="13" xfId="0" applyFont="1" applyFill="1" applyBorder="1" applyAlignment="1" applyProtection="1">
      <alignment horizontal="left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0" fillId="0" borderId="15" xfId="0" applyFont="1" applyFill="1" applyBorder="1" applyAlignment="1" applyProtection="1">
      <alignment horizontal="center" vertical="center"/>
      <protection hidden="1"/>
    </xf>
    <xf numFmtId="201" fontId="9" fillId="0" borderId="15" xfId="0" applyFont="1" applyBorder="1" applyAlignment="1" applyProtection="1">
      <alignment horizontal="center" vertical="center"/>
      <protection locked="0"/>
    </xf>
    <xf numFmtId="201" fontId="0" fillId="0" borderId="16" xfId="0" applyBorder="1" applyAlignment="1" applyProtection="1">
      <alignment/>
      <protection locked="0"/>
    </xf>
    <xf numFmtId="201" fontId="9" fillId="0" borderId="17" xfId="0" applyFont="1" applyBorder="1" applyAlignment="1" applyProtection="1">
      <alignment horizontal="center" vertical="center"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Border="1" applyAlignment="1" applyProtection="1">
      <alignment/>
      <protection locked="0"/>
    </xf>
    <xf numFmtId="201" fontId="0" fillId="0" borderId="20" xfId="0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01" fontId="0" fillId="0" borderId="21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0" fillId="0" borderId="22" xfId="0" applyBorder="1" applyAlignment="1" applyProtection="1">
      <alignment/>
      <protection hidden="1"/>
    </xf>
    <xf numFmtId="201" fontId="5" fillId="0" borderId="14" xfId="0" applyFont="1" applyBorder="1" applyAlignment="1" applyProtection="1">
      <alignment horizontal="center" vertical="center"/>
      <protection hidden="1"/>
    </xf>
    <xf numFmtId="201" fontId="5" fillId="0" borderId="23" xfId="0" applyFont="1" applyBorder="1" applyAlignment="1" applyProtection="1">
      <alignment horizontal="center" vertical="center"/>
      <protection hidden="1"/>
    </xf>
    <xf numFmtId="201" fontId="45" fillId="0" borderId="23" xfId="0" applyFont="1" applyBorder="1" applyAlignment="1" applyProtection="1">
      <alignment horizontal="center" vertical="center"/>
      <protection hidden="1"/>
    </xf>
    <xf numFmtId="201" fontId="5" fillId="0" borderId="24" xfId="0" applyFont="1" applyBorder="1" applyAlignment="1" applyProtection="1">
      <alignment horizontal="center" vertical="center"/>
      <protection hidden="1"/>
    </xf>
    <xf numFmtId="201" fontId="0" fillId="0" borderId="25" xfId="0" applyBorder="1" applyAlignment="1" applyProtection="1">
      <alignment/>
      <protection hidden="1"/>
    </xf>
    <xf numFmtId="201" fontId="4" fillId="0" borderId="12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17" fillId="0" borderId="0" xfId="0" applyFont="1" applyBorder="1" applyAlignment="1" applyProtection="1">
      <alignment horizontal="right"/>
      <protection hidden="1"/>
    </xf>
    <xf numFmtId="201" fontId="7" fillId="0" borderId="0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12" fillId="0" borderId="26" xfId="0" applyFont="1" applyBorder="1" applyAlignment="1" applyProtection="1">
      <alignment horizontal="center"/>
      <protection hidden="1"/>
    </xf>
    <xf numFmtId="201" fontId="12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26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/>
      <protection hidden="1"/>
    </xf>
    <xf numFmtId="201" fontId="9" fillId="0" borderId="26" xfId="0" applyFont="1" applyBorder="1" applyAlignment="1" applyProtection="1">
      <alignment/>
      <protection hidden="1"/>
    </xf>
    <xf numFmtId="201" fontId="4" fillId="0" borderId="12" xfId="0" applyFont="1" applyBorder="1" applyAlignment="1" applyProtection="1">
      <alignment horizontal="left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12" fillId="0" borderId="12" xfId="0" applyFont="1" applyBorder="1" applyAlignment="1" applyProtection="1">
      <alignment horizontal="left"/>
      <protection hidden="1"/>
    </xf>
    <xf numFmtId="201" fontId="9" fillId="0" borderId="12" xfId="0" applyFont="1" applyBorder="1" applyAlignment="1" applyProtection="1">
      <alignment horizontal="left"/>
      <protection hidden="1"/>
    </xf>
    <xf numFmtId="204" fontId="1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9" fillId="0" borderId="0" xfId="0" applyFont="1" applyBorder="1" applyAlignment="1" applyProtection="1">
      <alignment horizontal="right"/>
      <protection hidden="1"/>
    </xf>
    <xf numFmtId="201" fontId="0" fillId="0" borderId="26" xfId="0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8" fillId="0" borderId="26" xfId="0" applyFont="1" applyBorder="1" applyAlignment="1" applyProtection="1">
      <alignment/>
      <protection hidden="1"/>
    </xf>
    <xf numFmtId="201" fontId="9" fillId="0" borderId="12" xfId="0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44" fillId="0" borderId="26" xfId="0" applyFont="1" applyBorder="1" applyAlignment="1" applyProtection="1">
      <alignment horizontal="center"/>
      <protection hidden="1"/>
    </xf>
    <xf numFmtId="201" fontId="5" fillId="0" borderId="12" xfId="0" applyFont="1" applyBorder="1" applyAlignment="1" applyProtection="1">
      <alignment horizontal="center"/>
      <protection hidden="1"/>
    </xf>
    <xf numFmtId="201" fontId="9" fillId="0" borderId="26" xfId="0" applyFont="1" applyBorder="1" applyAlignment="1" applyProtection="1">
      <alignment horizontal="center"/>
      <protection hidden="1"/>
    </xf>
    <xf numFmtId="201" fontId="9" fillId="0" borderId="25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12" xfId="0" applyFont="1" applyBorder="1" applyAlignment="1" applyProtection="1">
      <alignment horizontal="center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left"/>
      <protection hidden="1"/>
    </xf>
    <xf numFmtId="201" fontId="6" fillId="0" borderId="0" xfId="0" applyFont="1" applyBorder="1" applyAlignment="1" applyProtection="1">
      <alignment/>
      <protection hidden="1"/>
    </xf>
    <xf numFmtId="201" fontId="6" fillId="0" borderId="26" xfId="0" applyFont="1" applyBorder="1" applyAlignment="1" applyProtection="1">
      <alignment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14" fillId="0" borderId="26" xfId="0" applyFont="1" applyBorder="1" applyAlignment="1" applyProtection="1">
      <alignment horizontal="center"/>
      <protection hidden="1"/>
    </xf>
    <xf numFmtId="49" fontId="4" fillId="0" borderId="12" xfId="0" applyNumberFormat="1" applyFont="1" applyBorder="1" applyAlignment="1" applyProtection="1">
      <alignment horizontal="left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10" fillId="0" borderId="26" xfId="0" applyFont="1" applyBorder="1" applyAlignment="1" applyProtection="1">
      <alignment horizontal="center"/>
      <protection hidden="1"/>
    </xf>
    <xf numFmtId="201" fontId="10" fillId="0" borderId="26" xfId="0" applyFont="1" applyBorder="1" applyAlignment="1" applyProtection="1">
      <alignment/>
      <protection hidden="1"/>
    </xf>
    <xf numFmtId="201" fontId="0" fillId="0" borderId="13" xfId="0" applyBorder="1" applyAlignment="1" applyProtection="1">
      <alignment/>
      <protection hidden="1"/>
    </xf>
    <xf numFmtId="201" fontId="0" fillId="0" borderId="27" xfId="0" applyBorder="1" applyAlignment="1" applyProtection="1">
      <alignment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9" fillId="0" borderId="0" xfId="0" applyFont="1" applyBorder="1" applyAlignment="1" applyProtection="1" quotePrefix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0" fillId="0" borderId="0" xfId="0" applyFont="1" applyAlignment="1" applyProtection="1">
      <alignment/>
      <protection hidden="1"/>
    </xf>
    <xf numFmtId="201" fontId="20" fillId="0" borderId="0" xfId="0" applyFont="1" applyAlignment="1" applyProtection="1">
      <alignment horizontal="center"/>
      <protection hidden="1"/>
    </xf>
    <xf numFmtId="201" fontId="4" fillId="0" borderId="0" xfId="0" applyFont="1" applyAlignment="1" applyProtection="1">
      <alignment/>
      <protection hidden="1"/>
    </xf>
    <xf numFmtId="201" fontId="0" fillId="0" borderId="26" xfId="0" applyFont="1" applyBorder="1" applyAlignment="1" applyProtection="1">
      <alignment/>
      <protection hidden="1"/>
    </xf>
    <xf numFmtId="201" fontId="0" fillId="0" borderId="12" xfId="0" applyFont="1" applyBorder="1" applyAlignment="1" applyProtection="1">
      <alignment/>
      <protection hidden="1"/>
    </xf>
    <xf numFmtId="201" fontId="4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10" fillId="0" borderId="0" xfId="0" applyFont="1" applyAlignment="1" applyProtection="1">
      <alignment horizontal="center"/>
      <protection hidden="1"/>
    </xf>
    <xf numFmtId="201" fontId="23" fillId="0" borderId="0" xfId="0" applyFont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4" fontId="10" fillId="0" borderId="0" xfId="0" applyNumberFormat="1" applyFont="1" applyBorder="1" applyAlignment="1" applyProtection="1">
      <alignment horizontal="center"/>
      <protection hidden="1"/>
    </xf>
    <xf numFmtId="201" fontId="12" fillId="0" borderId="0" xfId="0" applyFont="1" applyAlignment="1" applyProtection="1">
      <alignment horizontal="center"/>
      <protection hidden="1"/>
    </xf>
    <xf numFmtId="201" fontId="10" fillId="0" borderId="0" xfId="0" applyFont="1" applyAlignment="1" applyProtection="1">
      <alignment/>
      <protection hidden="1"/>
    </xf>
    <xf numFmtId="201" fontId="9" fillId="0" borderId="0" xfId="0" applyFont="1" applyAlignment="1" applyProtection="1">
      <alignment horizontal="right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2" fontId="9" fillId="0" borderId="25" xfId="0" applyNumberFormat="1" applyFont="1" applyBorder="1" applyAlignment="1" applyProtection="1">
      <alignment horizontal="center"/>
      <protection hidden="1"/>
    </xf>
    <xf numFmtId="201" fontId="9" fillId="0" borderId="27" xfId="0" applyFont="1" applyBorder="1" applyAlignment="1" applyProtection="1">
      <alignment/>
      <protection hidden="1"/>
    </xf>
    <xf numFmtId="201" fontId="10" fillId="0" borderId="0" xfId="0" applyFont="1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2" xfId="0" applyBorder="1" applyAlignment="1" applyProtection="1">
      <alignment/>
      <protection hidden="1"/>
    </xf>
    <xf numFmtId="2" fontId="5" fillId="0" borderId="28" xfId="0" applyNumberFormat="1" applyFont="1" applyBorder="1" applyAlignment="1" applyProtection="1">
      <alignment horizontal="center"/>
      <protection hidden="1"/>
    </xf>
    <xf numFmtId="201" fontId="5" fillId="0" borderId="29" xfId="0" applyFont="1" applyBorder="1" applyAlignment="1" applyProtection="1">
      <alignment horizontal="center"/>
      <protection hidden="1"/>
    </xf>
    <xf numFmtId="201" fontId="5" fillId="0" borderId="30" xfId="0" applyFont="1" applyBorder="1" applyAlignment="1" applyProtection="1">
      <alignment horizontal="center"/>
      <protection hidden="1"/>
    </xf>
    <xf numFmtId="2" fontId="9" fillId="0" borderId="31" xfId="0" applyNumberFormat="1" applyFont="1" applyBorder="1" applyAlignment="1" applyProtection="1">
      <alignment horizontal="center"/>
      <protection hidden="1"/>
    </xf>
    <xf numFmtId="1" fontId="8" fillId="0" borderId="32" xfId="0" applyNumberFormat="1" applyFont="1" applyBorder="1" applyAlignment="1" applyProtection="1">
      <alignment horizontal="center"/>
      <protection hidden="1"/>
    </xf>
    <xf numFmtId="1" fontId="9" fillId="0" borderId="32" xfId="0" applyNumberFormat="1" applyFont="1" applyBorder="1" applyAlignment="1" applyProtection="1">
      <alignment horizontal="center"/>
      <protection hidden="1"/>
    </xf>
    <xf numFmtId="204" fontId="9" fillId="0" borderId="32" xfId="0" applyNumberFormat="1" applyFont="1" applyBorder="1" applyAlignment="1" applyProtection="1">
      <alignment horizontal="center"/>
      <protection hidden="1"/>
    </xf>
    <xf numFmtId="2" fontId="9" fillId="0" borderId="32" xfId="0" applyNumberFormat="1" applyFont="1" applyBorder="1" applyAlignment="1" applyProtection="1">
      <alignment horizontal="center"/>
      <protection hidden="1"/>
    </xf>
    <xf numFmtId="2" fontId="9" fillId="0" borderId="33" xfId="0" applyNumberFormat="1" applyFont="1" applyBorder="1" applyAlignment="1" applyProtection="1">
      <alignment horizontal="center"/>
      <protection hidden="1"/>
    </xf>
    <xf numFmtId="2" fontId="9" fillId="0" borderId="34" xfId="0" applyNumberFormat="1" applyFont="1" applyBorder="1" applyAlignment="1" applyProtection="1">
      <alignment horizontal="center"/>
      <protection hidden="1"/>
    </xf>
    <xf numFmtId="1" fontId="8" fillId="0" borderId="35" xfId="0" applyNumberFormat="1" applyFont="1" applyBorder="1" applyAlignment="1" applyProtection="1">
      <alignment horizontal="center"/>
      <protection hidden="1"/>
    </xf>
    <xf numFmtId="1" fontId="9" fillId="0" borderId="35" xfId="0" applyNumberFormat="1" applyFont="1" applyBorder="1" applyAlignment="1" applyProtection="1">
      <alignment horizontal="center"/>
      <protection hidden="1"/>
    </xf>
    <xf numFmtId="204" fontId="9" fillId="0" borderId="35" xfId="0" applyNumberFormat="1" applyFont="1" applyBorder="1" applyAlignment="1" applyProtection="1">
      <alignment horizontal="center"/>
      <protection hidden="1"/>
    </xf>
    <xf numFmtId="2" fontId="9" fillId="0" borderId="35" xfId="0" applyNumberFormat="1" applyFont="1" applyBorder="1" applyAlignment="1" applyProtection="1">
      <alignment horizontal="center"/>
      <protection hidden="1"/>
    </xf>
    <xf numFmtId="2" fontId="9" fillId="0" borderId="36" xfId="0" applyNumberFormat="1" applyFont="1" applyBorder="1" applyAlignment="1" applyProtection="1">
      <alignment horizontal="center"/>
      <protection hidden="1"/>
    </xf>
    <xf numFmtId="2" fontId="9" fillId="0" borderId="37" xfId="0" applyNumberFormat="1" applyFont="1" applyBorder="1" applyAlignment="1" applyProtection="1">
      <alignment horizontal="center"/>
      <protection hidden="1"/>
    </xf>
    <xf numFmtId="1" fontId="8" fillId="0" borderId="38" xfId="0" applyNumberFormat="1" applyFont="1" applyBorder="1" applyAlignment="1" applyProtection="1">
      <alignment horizontal="center"/>
      <protection hidden="1"/>
    </xf>
    <xf numFmtId="1" fontId="9" fillId="0" borderId="38" xfId="0" applyNumberFormat="1" applyFont="1" applyBorder="1" applyAlignment="1" applyProtection="1">
      <alignment horizontal="center"/>
      <protection hidden="1"/>
    </xf>
    <xf numFmtId="204" fontId="9" fillId="0" borderId="38" xfId="0" applyNumberFormat="1" applyFont="1" applyBorder="1" applyAlignment="1" applyProtection="1">
      <alignment horizontal="center"/>
      <protection hidden="1"/>
    </xf>
    <xf numFmtId="2" fontId="9" fillId="0" borderId="38" xfId="0" applyNumberFormat="1" applyFont="1" applyBorder="1" applyAlignment="1" applyProtection="1">
      <alignment horizontal="center"/>
      <protection hidden="1"/>
    </xf>
    <xf numFmtId="2" fontId="9" fillId="0" borderId="39" xfId="0" applyNumberFormat="1" applyFont="1" applyBorder="1" applyAlignment="1" applyProtection="1">
      <alignment horizontal="center"/>
      <protection hidden="1"/>
    </xf>
    <xf numFmtId="201" fontId="10" fillId="0" borderId="0" xfId="0" applyFont="1" applyAlignment="1" applyProtection="1">
      <alignment horizontal="center"/>
      <protection locked="0"/>
    </xf>
    <xf numFmtId="201" fontId="23" fillId="0" borderId="0" xfId="0" applyFont="1" applyAlignment="1" applyProtection="1">
      <alignment horizontal="center"/>
      <protection locked="0"/>
    </xf>
    <xf numFmtId="201" fontId="10" fillId="0" borderId="0" xfId="0" applyFont="1" applyAlignment="1" applyProtection="1">
      <alignment/>
      <protection locked="0"/>
    </xf>
    <xf numFmtId="201" fontId="16" fillId="0" borderId="0" xfId="0" applyFont="1" applyBorder="1" applyAlignment="1" applyProtection="1">
      <alignment horizontal="left"/>
      <protection hidden="1"/>
    </xf>
    <xf numFmtId="201" fontId="9" fillId="0" borderId="31" xfId="0" applyFont="1" applyBorder="1" applyAlignment="1" applyProtection="1">
      <alignment/>
      <protection hidden="1"/>
    </xf>
    <xf numFmtId="201" fontId="0" fillId="0" borderId="40" xfId="0" applyBorder="1" applyAlignment="1" applyProtection="1">
      <alignment/>
      <protection locked="0"/>
    </xf>
    <xf numFmtId="201" fontId="0" fillId="0" borderId="22" xfId="0" applyBorder="1" applyAlignment="1" applyProtection="1">
      <alignment/>
      <protection locked="0"/>
    </xf>
    <xf numFmtId="201" fontId="0" fillId="0" borderId="41" xfId="0" applyBorder="1" applyAlignment="1" applyProtection="1">
      <alignment/>
      <protection locked="0"/>
    </xf>
    <xf numFmtId="201" fontId="10" fillId="0" borderId="0" xfId="0" applyFont="1" applyBorder="1" applyAlignment="1" applyProtection="1">
      <alignment horizontal="center"/>
      <protection locked="0"/>
    </xf>
    <xf numFmtId="201" fontId="0" fillId="0" borderId="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01" fontId="9" fillId="0" borderId="22" xfId="0" applyFont="1" applyBorder="1" applyAlignment="1" applyProtection="1">
      <alignment/>
      <protection hidden="1"/>
    </xf>
    <xf numFmtId="201" fontId="40" fillId="0" borderId="0" xfId="0" applyFont="1" applyFill="1" applyBorder="1" applyAlignment="1" applyProtection="1">
      <alignment horizontal="left" vertical="center"/>
      <protection hidden="1"/>
    </xf>
    <xf numFmtId="201" fontId="12" fillId="0" borderId="0" xfId="0" applyFont="1" applyBorder="1" applyAlignment="1" applyProtection="1">
      <alignment horizontal="center"/>
      <protection hidden="1"/>
    </xf>
    <xf numFmtId="201" fontId="44" fillId="0" borderId="0" xfId="0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1" fontId="5" fillId="0" borderId="42" xfId="0" applyNumberFormat="1" applyFont="1" applyBorder="1" applyAlignment="1" applyProtection="1">
      <alignment horizontal="center"/>
      <protection hidden="1"/>
    </xf>
    <xf numFmtId="1" fontId="8" fillId="0" borderId="43" xfId="0" applyNumberFormat="1" applyFont="1" applyBorder="1" applyAlignment="1" applyProtection="1">
      <alignment horizontal="center"/>
      <protection hidden="1"/>
    </xf>
    <xf numFmtId="1" fontId="8" fillId="0" borderId="44" xfId="0" applyNumberFormat="1" applyFont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8" fillId="0" borderId="45" xfId="0" applyNumberFormat="1" applyFont="1" applyBorder="1" applyAlignment="1" applyProtection="1">
      <alignment horizontal="center"/>
      <protection hidden="1"/>
    </xf>
    <xf numFmtId="204" fontId="8" fillId="0" borderId="0" xfId="0" applyNumberFormat="1" applyFont="1" applyBorder="1" applyAlignment="1" applyProtection="1">
      <alignment horizontal="center"/>
      <protection hidden="1"/>
    </xf>
    <xf numFmtId="211" fontId="9" fillId="0" borderId="0" xfId="0" applyNumberFormat="1" applyFont="1" applyBorder="1" applyAlignment="1" applyProtection="1">
      <alignment horizontal="center"/>
      <protection hidden="1"/>
    </xf>
    <xf numFmtId="201" fontId="4" fillId="0" borderId="0" xfId="0" applyFont="1" applyBorder="1" applyAlignment="1" applyProtection="1">
      <alignment horizontal="center"/>
      <protection hidden="1"/>
    </xf>
    <xf numFmtId="201" fontId="47" fillId="0" borderId="0" xfId="0" applyFont="1" applyBorder="1" applyAlignment="1" applyProtection="1">
      <alignment horizontal="left"/>
      <protection hidden="1"/>
    </xf>
    <xf numFmtId="201" fontId="47" fillId="0" borderId="0" xfId="0" applyFont="1" applyBorder="1" applyAlignment="1" applyProtection="1" quotePrefix="1">
      <alignment horizontal="center"/>
      <protection hidden="1"/>
    </xf>
    <xf numFmtId="201" fontId="47" fillId="0" borderId="0" xfId="0" applyFont="1" applyBorder="1" applyAlignment="1" applyProtection="1">
      <alignment horizontal="center"/>
      <protection hidden="1"/>
    </xf>
    <xf numFmtId="201" fontId="48" fillId="0" borderId="0" xfId="0" applyFont="1" applyBorder="1" applyAlignment="1" applyProtection="1">
      <alignment horizontal="left"/>
      <protection hidden="1"/>
    </xf>
    <xf numFmtId="201" fontId="5" fillId="0" borderId="0" xfId="0" applyFont="1" applyBorder="1" applyAlignment="1" applyProtection="1">
      <alignment horizontal="center"/>
      <protection locked="0"/>
    </xf>
    <xf numFmtId="201" fontId="9" fillId="0" borderId="13" xfId="0" applyFont="1" applyBorder="1" applyAlignment="1" applyProtection="1">
      <alignment horizontal="center"/>
      <protection hidden="1"/>
    </xf>
    <xf numFmtId="201" fontId="48" fillId="0" borderId="25" xfId="0" applyFont="1" applyBorder="1" applyAlignment="1" applyProtection="1">
      <alignment horizontal="left"/>
      <protection hidden="1"/>
    </xf>
    <xf numFmtId="201" fontId="9" fillId="0" borderId="25" xfId="0" applyFont="1" applyBorder="1" applyAlignment="1" applyProtection="1">
      <alignment horizontal="left"/>
      <protection hidden="1"/>
    </xf>
    <xf numFmtId="201" fontId="9" fillId="0" borderId="25" xfId="0" applyFont="1" applyBorder="1" applyAlignment="1" applyProtection="1">
      <alignment horizontal="center"/>
      <protection hidden="1"/>
    </xf>
    <xf numFmtId="201" fontId="9" fillId="0" borderId="12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9" fillId="0" borderId="22" xfId="0" applyFont="1" applyBorder="1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horizontal="center"/>
      <protection locked="0"/>
    </xf>
    <xf numFmtId="201" fontId="5" fillId="0" borderId="21" xfId="0" applyFont="1" applyBorder="1" applyAlignment="1" applyProtection="1">
      <alignment horizontal="center"/>
      <protection locked="0"/>
    </xf>
    <xf numFmtId="201" fontId="5" fillId="0" borderId="40" xfId="0" applyFont="1" applyBorder="1" applyAlignment="1" applyProtection="1">
      <alignment horizontal="center"/>
      <protection locked="0"/>
    </xf>
    <xf numFmtId="201" fontId="42" fillId="0" borderId="11" xfId="0" applyFont="1" applyBorder="1" applyAlignment="1" applyProtection="1">
      <alignment horizontal="center" vertical="center"/>
      <protection hidden="1"/>
    </xf>
    <xf numFmtId="201" fontId="42" fillId="0" borderId="40" xfId="0" applyFont="1" applyBorder="1" applyAlignment="1" applyProtection="1">
      <alignment horizontal="center" vertical="center"/>
      <protection hidden="1"/>
    </xf>
    <xf numFmtId="201" fontId="42" fillId="0" borderId="13" xfId="0" applyFont="1" applyBorder="1" applyAlignment="1" applyProtection="1">
      <alignment horizontal="center" vertical="center"/>
      <protection hidden="1"/>
    </xf>
    <xf numFmtId="201" fontId="42" fillId="0" borderId="41" xfId="0" applyFont="1" applyBorder="1" applyAlignment="1" applyProtection="1">
      <alignment horizontal="center" vertical="center"/>
      <protection hidden="1"/>
    </xf>
    <xf numFmtId="0" fontId="46" fillId="0" borderId="13" xfId="57" applyFont="1" applyBorder="1" applyAlignment="1" applyProtection="1">
      <alignment horizontal="center"/>
      <protection locked="0"/>
    </xf>
    <xf numFmtId="0" fontId="45" fillId="0" borderId="25" xfId="57" applyFont="1" applyBorder="1" applyAlignment="1" applyProtection="1">
      <alignment horizontal="center"/>
      <protection locked="0"/>
    </xf>
    <xf numFmtId="0" fontId="45" fillId="0" borderId="41" xfId="57" applyFont="1" applyBorder="1" applyAlignment="1" applyProtection="1">
      <alignment horizontal="center"/>
      <protection locked="0"/>
    </xf>
    <xf numFmtId="201" fontId="14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">
    <dxf>
      <font>
        <color indexed="10"/>
      </font>
    </dxf>
    <dxf>
      <font>
        <color indexed="50"/>
      </font>
    </dxf>
    <dxf>
      <font>
        <color indexed="10"/>
      </font>
    </dxf>
    <dxf>
      <font>
        <color indexed="50"/>
      </font>
    </dxf>
    <dxf>
      <font>
        <color indexed="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50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10258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542925</xdr:colOff>
      <xdr:row>38</xdr:row>
      <xdr:rowOff>28575</xdr:rowOff>
    </xdr:from>
    <xdr:to>
      <xdr:col>0</xdr:col>
      <xdr:colOff>657225</xdr:colOff>
      <xdr:row>38</xdr:row>
      <xdr:rowOff>28575</xdr:rowOff>
    </xdr:to>
    <xdr:sp>
      <xdr:nvSpPr>
        <xdr:cNvPr id="2" name="Line 2"/>
        <xdr:cNvSpPr>
          <a:spLocks/>
        </xdr:cNvSpPr>
      </xdr:nvSpPr>
      <xdr:spPr>
        <a:xfrm>
          <a:off x="542925" y="7820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857250</xdr:colOff>
      <xdr:row>33</xdr:row>
      <xdr:rowOff>0</xdr:rowOff>
    </xdr:from>
    <xdr:to>
      <xdr:col>5</xdr:col>
      <xdr:colOff>857250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62550" y="6791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0" y="990600"/>
          <a:ext cx="2066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78</xdr:row>
      <xdr:rowOff>38100</xdr:rowOff>
    </xdr:from>
    <xdr:to>
      <xdr:col>0</xdr:col>
      <xdr:colOff>647700</xdr:colOff>
      <xdr:row>78</xdr:row>
      <xdr:rowOff>38100</xdr:rowOff>
    </xdr:to>
    <xdr:sp>
      <xdr:nvSpPr>
        <xdr:cNvPr id="5" name="Line 6"/>
        <xdr:cNvSpPr>
          <a:spLocks/>
        </xdr:cNvSpPr>
      </xdr:nvSpPr>
      <xdr:spPr>
        <a:xfrm>
          <a:off x="533400" y="158305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54</xdr:row>
      <xdr:rowOff>76200</xdr:rowOff>
    </xdr:from>
    <xdr:to>
      <xdr:col>7</xdr:col>
      <xdr:colOff>19050</xdr:colOff>
      <xdr:row>55</xdr:row>
      <xdr:rowOff>200025</xdr:rowOff>
    </xdr:to>
    <xdr:sp>
      <xdr:nvSpPr>
        <xdr:cNvPr id="6" name="AutoShape 8"/>
        <xdr:cNvSpPr>
          <a:spLocks/>
        </xdr:cNvSpPr>
      </xdr:nvSpPr>
      <xdr:spPr>
        <a:xfrm>
          <a:off x="5429250" y="11068050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97</xdr:row>
      <xdr:rowOff>47625</xdr:rowOff>
    </xdr:from>
    <xdr:to>
      <xdr:col>7</xdr:col>
      <xdr:colOff>19050</xdr:colOff>
      <xdr:row>98</xdr:row>
      <xdr:rowOff>171450</xdr:rowOff>
    </xdr:to>
    <xdr:sp>
      <xdr:nvSpPr>
        <xdr:cNvPr id="7" name="AutoShape 19"/>
        <xdr:cNvSpPr>
          <a:spLocks/>
        </xdr:cNvSpPr>
      </xdr:nvSpPr>
      <xdr:spPr>
        <a:xfrm>
          <a:off x="5429250" y="19640550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3"/>
  <sheetViews>
    <sheetView showGridLines="0" tabSelected="1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7.7109375" style="79" customWidth="1"/>
    <col min="2" max="2" width="13.28125" style="79" customWidth="1"/>
    <col min="3" max="3" width="14.8515625" style="79" bestFit="1" customWidth="1"/>
    <col min="4" max="4" width="9.140625" style="79" customWidth="1"/>
    <col min="5" max="5" width="9.57421875" style="79" bestFit="1" customWidth="1"/>
    <col min="6" max="6" width="12.8515625" style="79" customWidth="1"/>
    <col min="7" max="7" width="9.140625" style="79" customWidth="1"/>
    <col min="8" max="8" width="9.57421875" style="79" bestFit="1" customWidth="1"/>
    <col min="9" max="15" width="9.28125" style="79" customWidth="1"/>
    <col min="16" max="16" width="9.140625" style="79" customWidth="1"/>
    <col min="17" max="17" width="12.8515625" style="79" customWidth="1"/>
    <col min="18" max="18" width="9.140625" style="79" customWidth="1"/>
    <col min="19" max="19" width="9.7109375" style="79" bestFit="1" customWidth="1"/>
    <col min="20" max="20" width="9.140625" style="79" customWidth="1"/>
    <col min="21" max="21" width="9.28125" style="79" bestFit="1" customWidth="1"/>
    <col min="22" max="22" width="9.421875" style="79" bestFit="1" customWidth="1"/>
    <col min="23" max="23" width="10.7109375" style="79" bestFit="1" customWidth="1"/>
    <col min="24" max="24" width="9.57421875" style="79" bestFit="1" customWidth="1"/>
    <col min="25" max="16384" width="9.140625" style="79" customWidth="1"/>
  </cols>
  <sheetData>
    <row r="1" spans="1:16" ht="19.5" customHeight="1">
      <c r="A1" s="2" t="s">
        <v>82</v>
      </c>
      <c r="B1" s="16"/>
      <c r="C1" s="16"/>
      <c r="D1" s="161" t="s">
        <v>88</v>
      </c>
      <c r="E1" s="162"/>
      <c r="F1" s="162"/>
      <c r="G1" s="163"/>
      <c r="H1" s="164" t="s">
        <v>89</v>
      </c>
      <c r="I1" s="165"/>
      <c r="J1" s="127"/>
      <c r="K1" s="17"/>
      <c r="L1" s="17"/>
      <c r="M1" s="17"/>
      <c r="N1" s="17"/>
      <c r="O1" s="17"/>
      <c r="P1" s="79" t="s">
        <v>140</v>
      </c>
    </row>
    <row r="2" spans="1:16" ht="19.5" customHeight="1" thickBot="1">
      <c r="A2" s="3" t="s">
        <v>83</v>
      </c>
      <c r="B2" s="17"/>
      <c r="C2" s="17"/>
      <c r="D2" s="168" t="s">
        <v>129</v>
      </c>
      <c r="E2" s="169"/>
      <c r="F2" s="169"/>
      <c r="G2" s="170"/>
      <c r="H2" s="166"/>
      <c r="I2" s="167"/>
      <c r="J2" s="128"/>
      <c r="K2" s="17"/>
      <c r="L2" s="17"/>
      <c r="M2" s="17"/>
      <c r="N2" s="17"/>
      <c r="O2" s="17"/>
      <c r="P2" s="79" t="s">
        <v>143</v>
      </c>
    </row>
    <row r="3" spans="1:16" ht="19.5" customHeight="1">
      <c r="A3" s="4" t="s">
        <v>84</v>
      </c>
      <c r="B3" s="17"/>
      <c r="C3" s="17"/>
      <c r="D3" s="19" t="s">
        <v>81</v>
      </c>
      <c r="E3" s="20" t="s">
        <v>86</v>
      </c>
      <c r="F3" s="21" t="s">
        <v>87</v>
      </c>
      <c r="G3" s="22" t="s">
        <v>86</v>
      </c>
      <c r="H3" s="6" t="s">
        <v>90</v>
      </c>
      <c r="I3" s="13"/>
      <c r="J3" s="128"/>
      <c r="K3" s="17"/>
      <c r="L3" s="17"/>
      <c r="M3" s="17"/>
      <c r="N3" s="17"/>
      <c r="O3" s="17"/>
      <c r="P3" s="79" t="s">
        <v>144</v>
      </c>
    </row>
    <row r="4" spans="1:17" ht="19.5" customHeight="1" thickBot="1">
      <c r="A4" s="5" t="s">
        <v>85</v>
      </c>
      <c r="B4" s="23"/>
      <c r="C4" s="23"/>
      <c r="D4" s="8" t="s">
        <v>101</v>
      </c>
      <c r="E4" s="9"/>
      <c r="F4" s="10"/>
      <c r="G4" s="11"/>
      <c r="H4" s="7" t="s">
        <v>91</v>
      </c>
      <c r="I4" s="12"/>
      <c r="J4" s="129"/>
      <c r="K4" s="17"/>
      <c r="L4" s="17"/>
      <c r="M4" s="17"/>
      <c r="N4" s="17"/>
      <c r="O4" s="17"/>
      <c r="P4" s="145">
        <f>IF(G7="St.37",1.4,IF(G7="St.44",1.6,2.1))</f>
        <v>1.4</v>
      </c>
      <c r="Q4" s="146">
        <f>IF(G7="St.37",0.000065,IF(G7="St.44",0.000085,0.000135))</f>
        <v>6.5E-05</v>
      </c>
    </row>
    <row r="5" spans="1:28" ht="15.75" customHeight="1" thickBot="1" thickTop="1">
      <c r="A5" s="80" t="s">
        <v>4</v>
      </c>
      <c r="B5" s="152" t="s">
        <v>131</v>
      </c>
      <c r="C5" s="26"/>
      <c r="D5" s="26"/>
      <c r="E5" s="81"/>
      <c r="F5" s="27"/>
      <c r="G5" s="28"/>
      <c r="H5" s="29"/>
      <c r="I5" s="29"/>
      <c r="J5" s="1" t="s">
        <v>80</v>
      </c>
      <c r="K5" s="135"/>
      <c r="L5" s="135"/>
      <c r="M5" s="135"/>
      <c r="N5" s="135"/>
      <c r="O5" s="135"/>
      <c r="P5" s="140" t="s">
        <v>103</v>
      </c>
      <c r="Q5" s="101" t="s">
        <v>104</v>
      </c>
      <c r="R5" s="102" t="s">
        <v>105</v>
      </c>
      <c r="S5" s="102" t="s">
        <v>16</v>
      </c>
      <c r="T5" s="102" t="s">
        <v>106</v>
      </c>
      <c r="U5" s="102" t="s">
        <v>2</v>
      </c>
      <c r="V5" s="102" t="s">
        <v>107</v>
      </c>
      <c r="W5" s="102" t="s">
        <v>108</v>
      </c>
      <c r="X5" s="102" t="s">
        <v>109</v>
      </c>
      <c r="Y5" s="102" t="s">
        <v>110</v>
      </c>
      <c r="Z5" s="102" t="s">
        <v>111</v>
      </c>
      <c r="AA5" s="102" t="s">
        <v>112</v>
      </c>
      <c r="AB5" s="103" t="s">
        <v>113</v>
      </c>
    </row>
    <row r="6" spans="1:28" ht="15.75" customHeight="1" thickTop="1">
      <c r="A6" s="30"/>
      <c r="B6" s="74"/>
      <c r="C6" s="31"/>
      <c r="D6" s="31"/>
      <c r="E6" s="31"/>
      <c r="F6" s="31"/>
      <c r="G6" s="31"/>
      <c r="H6" s="31"/>
      <c r="I6" s="31"/>
      <c r="J6" s="32" t="s">
        <v>98</v>
      </c>
      <c r="K6" s="136"/>
      <c r="L6" s="136"/>
      <c r="M6" s="136"/>
      <c r="N6" s="136"/>
      <c r="O6" s="136"/>
      <c r="P6" s="141" t="s">
        <v>114</v>
      </c>
      <c r="Q6" s="104">
        <v>16.4</v>
      </c>
      <c r="R6" s="105">
        <v>140</v>
      </c>
      <c r="S6" s="106">
        <v>73</v>
      </c>
      <c r="T6" s="107">
        <v>4.7</v>
      </c>
      <c r="U6" s="107">
        <v>6.9</v>
      </c>
      <c r="V6" s="106">
        <v>7</v>
      </c>
      <c r="W6" s="107">
        <v>112.2</v>
      </c>
      <c r="X6" s="106">
        <v>541</v>
      </c>
      <c r="Y6" s="107">
        <v>77.3</v>
      </c>
      <c r="Z6" s="108">
        <v>5.74</v>
      </c>
      <c r="AA6" s="107">
        <v>44.9</v>
      </c>
      <c r="AB6" s="109">
        <v>1.65</v>
      </c>
    </row>
    <row r="7" spans="1:28" ht="15.75" customHeight="1">
      <c r="A7" s="24"/>
      <c r="B7" s="25"/>
      <c r="C7" s="82"/>
      <c r="D7" s="81"/>
      <c r="E7" s="83"/>
      <c r="F7" s="37" t="s">
        <v>139</v>
      </c>
      <c r="G7" s="130" t="s">
        <v>140</v>
      </c>
      <c r="H7" s="131"/>
      <c r="I7" s="131"/>
      <c r="J7" s="84"/>
      <c r="K7" s="131"/>
      <c r="L7" s="131"/>
      <c r="M7" s="131"/>
      <c r="N7" s="131"/>
      <c r="O7" s="131"/>
      <c r="P7" s="142" t="s">
        <v>115</v>
      </c>
      <c r="Q7" s="110">
        <v>20.1</v>
      </c>
      <c r="R7" s="111">
        <v>160</v>
      </c>
      <c r="S7" s="112">
        <v>82</v>
      </c>
      <c r="T7" s="113">
        <v>5</v>
      </c>
      <c r="U7" s="113">
        <v>7.4</v>
      </c>
      <c r="V7" s="112">
        <v>9</v>
      </c>
      <c r="W7" s="113">
        <v>127.2</v>
      </c>
      <c r="X7" s="112">
        <v>869</v>
      </c>
      <c r="Y7" s="113">
        <v>109</v>
      </c>
      <c r="Z7" s="114">
        <v>6.58</v>
      </c>
      <c r="AA7" s="113">
        <v>68.3</v>
      </c>
      <c r="AB7" s="115">
        <v>1.84</v>
      </c>
    </row>
    <row r="8" spans="1:28" ht="15.75" customHeight="1">
      <c r="A8" s="85"/>
      <c r="B8" s="81"/>
      <c r="C8" s="81"/>
      <c r="D8" s="81"/>
      <c r="E8" s="81"/>
      <c r="F8" s="46" t="s">
        <v>141</v>
      </c>
      <c r="G8" s="132" t="s">
        <v>1</v>
      </c>
      <c r="H8" s="133">
        <f>IF(G7="St.37",2.4,IF(G7="St.44",2.8,3.6))</f>
        <v>2.4</v>
      </c>
      <c r="I8" s="134" t="s">
        <v>21</v>
      </c>
      <c r="J8" s="84"/>
      <c r="K8" s="131"/>
      <c r="L8" s="131"/>
      <c r="M8" s="131"/>
      <c r="N8" s="131"/>
      <c r="O8" s="131"/>
      <c r="P8" s="142" t="s">
        <v>116</v>
      </c>
      <c r="Q8" s="110">
        <v>23.9</v>
      </c>
      <c r="R8" s="111">
        <v>180</v>
      </c>
      <c r="S8" s="112">
        <v>91</v>
      </c>
      <c r="T8" s="113">
        <v>5.3</v>
      </c>
      <c r="U8" s="113">
        <v>8</v>
      </c>
      <c r="V8" s="112">
        <v>9</v>
      </c>
      <c r="W8" s="113">
        <v>146</v>
      </c>
      <c r="X8" s="112">
        <v>1320</v>
      </c>
      <c r="Y8" s="113">
        <v>146</v>
      </c>
      <c r="Z8" s="114">
        <v>7.42</v>
      </c>
      <c r="AA8" s="113">
        <v>101</v>
      </c>
      <c r="AB8" s="115">
        <v>2.05</v>
      </c>
    </row>
    <row r="9" spans="1:28" ht="15.75" customHeight="1">
      <c r="A9" s="24" t="s">
        <v>5</v>
      </c>
      <c r="B9" s="33"/>
      <c r="C9" s="31"/>
      <c r="D9" s="31"/>
      <c r="E9" s="86" t="s">
        <v>70</v>
      </c>
      <c r="F9" s="46" t="s">
        <v>142</v>
      </c>
      <c r="G9" s="132" t="s">
        <v>1</v>
      </c>
      <c r="H9" s="41">
        <f>IF(G7="St.37",3.6,IF(G7="St.44",4.4,5.2))</f>
        <v>3.6</v>
      </c>
      <c r="I9" s="31" t="s">
        <v>21</v>
      </c>
      <c r="J9" s="35"/>
      <c r="K9" s="34"/>
      <c r="L9" s="34"/>
      <c r="M9" s="34"/>
      <c r="N9" s="34"/>
      <c r="O9" s="34"/>
      <c r="P9" s="142" t="s">
        <v>117</v>
      </c>
      <c r="Q9" s="110">
        <v>28.5</v>
      </c>
      <c r="R9" s="111">
        <v>200</v>
      </c>
      <c r="S9" s="112">
        <v>100</v>
      </c>
      <c r="T9" s="113">
        <v>5.6</v>
      </c>
      <c r="U9" s="113">
        <v>8.5</v>
      </c>
      <c r="V9" s="112">
        <v>12</v>
      </c>
      <c r="W9" s="113">
        <v>159</v>
      </c>
      <c r="X9" s="112">
        <v>1940</v>
      </c>
      <c r="Y9" s="113">
        <v>194</v>
      </c>
      <c r="Z9" s="114">
        <v>8.26</v>
      </c>
      <c r="AA9" s="113">
        <v>142</v>
      </c>
      <c r="AB9" s="115">
        <v>2.24</v>
      </c>
    </row>
    <row r="10" spans="1:28" ht="15.75" customHeight="1">
      <c r="A10" s="36" t="s">
        <v>6</v>
      </c>
      <c r="B10" s="76" t="s">
        <v>1</v>
      </c>
      <c r="C10" s="14">
        <v>11.18607</v>
      </c>
      <c r="D10" s="31" t="s">
        <v>7</v>
      </c>
      <c r="E10" s="122" t="s">
        <v>15</v>
      </c>
      <c r="F10" s="87"/>
      <c r="G10" s="87"/>
      <c r="H10" s="87"/>
      <c r="I10" s="87"/>
      <c r="J10" s="35"/>
      <c r="K10" s="34"/>
      <c r="L10" s="34"/>
      <c r="M10" s="34"/>
      <c r="N10" s="34"/>
      <c r="O10" s="34"/>
      <c r="P10" s="142" t="s">
        <v>118</v>
      </c>
      <c r="Q10" s="110">
        <v>33.4</v>
      </c>
      <c r="R10" s="111">
        <v>220</v>
      </c>
      <c r="S10" s="112">
        <v>110</v>
      </c>
      <c r="T10" s="113">
        <v>5.9</v>
      </c>
      <c r="U10" s="113">
        <v>9.2</v>
      </c>
      <c r="V10" s="112">
        <v>12</v>
      </c>
      <c r="W10" s="113">
        <v>177.6</v>
      </c>
      <c r="X10" s="112">
        <v>2770</v>
      </c>
      <c r="Y10" s="113">
        <v>252</v>
      </c>
      <c r="Z10" s="114">
        <v>9.11</v>
      </c>
      <c r="AA10" s="113">
        <v>205</v>
      </c>
      <c r="AB10" s="115">
        <v>2.48</v>
      </c>
    </row>
    <row r="11" spans="1:28" ht="15.75" customHeight="1">
      <c r="A11" s="36" t="s">
        <v>145</v>
      </c>
      <c r="B11" s="76" t="s">
        <v>1</v>
      </c>
      <c r="C11" s="14">
        <v>3.3626</v>
      </c>
      <c r="D11" s="31" t="s">
        <v>2</v>
      </c>
      <c r="E11" s="88"/>
      <c r="F11" s="87"/>
      <c r="G11" s="87"/>
      <c r="H11" s="87"/>
      <c r="I11" s="87"/>
      <c r="J11" s="35"/>
      <c r="K11" s="34"/>
      <c r="L11" s="34"/>
      <c r="M11" s="34"/>
      <c r="N11" s="34"/>
      <c r="O11" s="34"/>
      <c r="P11" s="143" t="s">
        <v>119</v>
      </c>
      <c r="Q11" s="110">
        <v>39.1</v>
      </c>
      <c r="R11" s="112">
        <v>240</v>
      </c>
      <c r="S11" s="112">
        <v>120</v>
      </c>
      <c r="T11" s="113">
        <v>6.2</v>
      </c>
      <c r="U11" s="113">
        <v>9.8</v>
      </c>
      <c r="V11" s="112">
        <v>15</v>
      </c>
      <c r="W11" s="113">
        <v>190.4</v>
      </c>
      <c r="X11" s="112">
        <v>3890</v>
      </c>
      <c r="Y11" s="113">
        <v>324</v>
      </c>
      <c r="Z11" s="114">
        <v>9.97</v>
      </c>
      <c r="AA11" s="113">
        <v>284</v>
      </c>
      <c r="AB11" s="115">
        <v>2.69</v>
      </c>
    </row>
    <row r="12" spans="1:28" ht="15.75" customHeight="1">
      <c r="A12" s="36" t="s">
        <v>147</v>
      </c>
      <c r="B12" s="76" t="s">
        <v>1</v>
      </c>
      <c r="C12" s="14">
        <v>0.367</v>
      </c>
      <c r="D12" s="31" t="s">
        <v>2</v>
      </c>
      <c r="E12" s="88"/>
      <c r="F12" s="87"/>
      <c r="G12" s="87"/>
      <c r="H12" s="87"/>
      <c r="I12" s="87"/>
      <c r="J12" s="35"/>
      <c r="K12" s="34"/>
      <c r="L12" s="34"/>
      <c r="M12" s="34"/>
      <c r="N12" s="34"/>
      <c r="O12" s="34"/>
      <c r="P12" s="142" t="s">
        <v>120</v>
      </c>
      <c r="Q12" s="110">
        <v>45.9</v>
      </c>
      <c r="R12" s="111">
        <v>270</v>
      </c>
      <c r="S12" s="112">
        <v>135</v>
      </c>
      <c r="T12" s="113">
        <v>6.6</v>
      </c>
      <c r="U12" s="113">
        <v>10.2</v>
      </c>
      <c r="V12" s="112">
        <v>15</v>
      </c>
      <c r="W12" s="113">
        <v>219.6</v>
      </c>
      <c r="X12" s="112">
        <v>5790</v>
      </c>
      <c r="Y12" s="113">
        <v>429</v>
      </c>
      <c r="Z12" s="114">
        <v>11.2</v>
      </c>
      <c r="AA12" s="113">
        <v>420</v>
      </c>
      <c r="AB12" s="115">
        <v>3.02</v>
      </c>
    </row>
    <row r="13" spans="1:28" ht="15.75" customHeight="1">
      <c r="A13" s="36" t="s">
        <v>8</v>
      </c>
      <c r="B13" s="76" t="s">
        <v>1</v>
      </c>
      <c r="C13" s="14">
        <v>22.8886</v>
      </c>
      <c r="D13" s="31" t="s">
        <v>7</v>
      </c>
      <c r="E13" s="122" t="s">
        <v>15</v>
      </c>
      <c r="F13" s="87"/>
      <c r="G13" s="87"/>
      <c r="H13" s="87"/>
      <c r="I13" s="87"/>
      <c r="J13" s="35"/>
      <c r="K13" s="34"/>
      <c r="L13" s="34"/>
      <c r="M13" s="34"/>
      <c r="N13" s="34"/>
      <c r="O13" s="34"/>
      <c r="P13" s="143" t="s">
        <v>121</v>
      </c>
      <c r="Q13" s="110">
        <v>53.8</v>
      </c>
      <c r="R13" s="112">
        <v>300</v>
      </c>
      <c r="S13" s="112">
        <v>150</v>
      </c>
      <c r="T13" s="113">
        <v>7.1</v>
      </c>
      <c r="U13" s="113">
        <v>10.7</v>
      </c>
      <c r="V13" s="112">
        <v>15</v>
      </c>
      <c r="W13" s="113">
        <v>248.6</v>
      </c>
      <c r="X13" s="112">
        <v>8360</v>
      </c>
      <c r="Y13" s="113">
        <v>557</v>
      </c>
      <c r="Z13" s="114">
        <v>12.5</v>
      </c>
      <c r="AA13" s="113">
        <v>604</v>
      </c>
      <c r="AB13" s="115">
        <v>3.35</v>
      </c>
    </row>
    <row r="14" spans="1:28" ht="15.75" customHeight="1">
      <c r="A14" s="36" t="s">
        <v>146</v>
      </c>
      <c r="B14" s="76" t="s">
        <v>1</v>
      </c>
      <c r="C14" s="14">
        <v>3.4743</v>
      </c>
      <c r="D14" s="31" t="s">
        <v>2</v>
      </c>
      <c r="E14" s="87"/>
      <c r="F14" s="87"/>
      <c r="G14" s="87"/>
      <c r="H14" s="87"/>
      <c r="I14" s="87"/>
      <c r="J14" s="35"/>
      <c r="K14" s="34"/>
      <c r="L14" s="34"/>
      <c r="M14" s="34"/>
      <c r="N14" s="34"/>
      <c r="O14" s="34"/>
      <c r="P14" s="143" t="s">
        <v>122</v>
      </c>
      <c r="Q14" s="110">
        <v>62.6</v>
      </c>
      <c r="R14" s="112">
        <v>330</v>
      </c>
      <c r="S14" s="112">
        <v>160</v>
      </c>
      <c r="T14" s="113">
        <v>7.5</v>
      </c>
      <c r="U14" s="113">
        <v>11.5</v>
      </c>
      <c r="V14" s="112">
        <v>18</v>
      </c>
      <c r="W14" s="113">
        <v>271</v>
      </c>
      <c r="X14" s="112">
        <v>11770</v>
      </c>
      <c r="Y14" s="113">
        <v>713</v>
      </c>
      <c r="Z14" s="114">
        <v>13.7</v>
      </c>
      <c r="AA14" s="113">
        <v>788</v>
      </c>
      <c r="AB14" s="115">
        <v>3.55</v>
      </c>
    </row>
    <row r="15" spans="1:28" ht="15.75" customHeight="1">
      <c r="A15" s="36" t="s">
        <v>148</v>
      </c>
      <c r="B15" s="76" t="s">
        <v>1</v>
      </c>
      <c r="C15" s="14">
        <v>5.2219</v>
      </c>
      <c r="D15" s="31" t="s">
        <v>2</v>
      </c>
      <c r="E15" s="74"/>
      <c r="F15" s="74"/>
      <c r="G15" s="74"/>
      <c r="H15" s="74"/>
      <c r="I15" s="74"/>
      <c r="J15" s="39"/>
      <c r="K15" s="31"/>
      <c r="L15" s="31"/>
      <c r="M15" s="31"/>
      <c r="N15" s="31"/>
      <c r="O15" s="31"/>
      <c r="P15" s="143" t="s">
        <v>123</v>
      </c>
      <c r="Q15" s="110">
        <v>72.7</v>
      </c>
      <c r="R15" s="112">
        <v>360</v>
      </c>
      <c r="S15" s="112">
        <v>170</v>
      </c>
      <c r="T15" s="113">
        <v>8</v>
      </c>
      <c r="U15" s="113">
        <v>12.7</v>
      </c>
      <c r="V15" s="112">
        <v>18</v>
      </c>
      <c r="W15" s="113">
        <v>298.6</v>
      </c>
      <c r="X15" s="112">
        <v>16270</v>
      </c>
      <c r="Y15" s="113">
        <v>904</v>
      </c>
      <c r="Z15" s="114">
        <v>15</v>
      </c>
      <c r="AA15" s="113">
        <v>1040</v>
      </c>
      <c r="AB15" s="115">
        <v>3.79</v>
      </c>
    </row>
    <row r="16" spans="1:28" ht="15.75" customHeight="1">
      <c r="A16" s="30"/>
      <c r="B16" s="74"/>
      <c r="C16" s="74"/>
      <c r="D16" s="74"/>
      <c r="E16" s="74"/>
      <c r="F16" s="74"/>
      <c r="G16" s="74"/>
      <c r="H16" s="74"/>
      <c r="I16" s="74"/>
      <c r="J16" s="39"/>
      <c r="K16" s="31"/>
      <c r="L16" s="31"/>
      <c r="M16" s="31"/>
      <c r="N16" s="31"/>
      <c r="O16" s="31"/>
      <c r="P16" s="143" t="s">
        <v>124</v>
      </c>
      <c r="Q16" s="110">
        <v>84.5</v>
      </c>
      <c r="R16" s="112">
        <v>400</v>
      </c>
      <c r="S16" s="112">
        <v>180</v>
      </c>
      <c r="T16" s="113">
        <v>8.6</v>
      </c>
      <c r="U16" s="113">
        <v>13.5</v>
      </c>
      <c r="V16" s="112">
        <v>21</v>
      </c>
      <c r="W16" s="113">
        <v>331</v>
      </c>
      <c r="X16" s="112">
        <v>23130</v>
      </c>
      <c r="Y16" s="113">
        <v>1160</v>
      </c>
      <c r="Z16" s="114">
        <v>16.5</v>
      </c>
      <c r="AA16" s="113">
        <v>1320</v>
      </c>
      <c r="AB16" s="115">
        <v>3.95</v>
      </c>
    </row>
    <row r="17" spans="1:28" ht="15.75" customHeight="1">
      <c r="A17" s="40" t="s">
        <v>61</v>
      </c>
      <c r="B17" s="41"/>
      <c r="C17" s="31"/>
      <c r="D17" s="31"/>
      <c r="E17" s="31"/>
      <c r="F17" s="31"/>
      <c r="G17" s="31"/>
      <c r="H17" s="31"/>
      <c r="I17" s="31"/>
      <c r="J17" s="39"/>
      <c r="K17" s="31"/>
      <c r="L17" s="31"/>
      <c r="M17" s="31"/>
      <c r="N17" s="31"/>
      <c r="O17" s="31"/>
      <c r="P17" s="143" t="s">
        <v>125</v>
      </c>
      <c r="Q17" s="110">
        <v>98.8</v>
      </c>
      <c r="R17" s="112">
        <v>450</v>
      </c>
      <c r="S17" s="112">
        <v>190</v>
      </c>
      <c r="T17" s="113">
        <v>9.4</v>
      </c>
      <c r="U17" s="113">
        <v>14.6</v>
      </c>
      <c r="V17" s="112">
        <v>21</v>
      </c>
      <c r="W17" s="113">
        <v>378.8</v>
      </c>
      <c r="X17" s="112">
        <v>33740</v>
      </c>
      <c r="Y17" s="113">
        <v>1500</v>
      </c>
      <c r="Z17" s="114">
        <v>18.5</v>
      </c>
      <c r="AA17" s="113">
        <v>1680</v>
      </c>
      <c r="AB17" s="115">
        <v>4.12</v>
      </c>
    </row>
    <row r="18" spans="1:28" ht="15.75" customHeight="1">
      <c r="A18" s="42" t="s">
        <v>59</v>
      </c>
      <c r="B18" s="41"/>
      <c r="C18" s="31"/>
      <c r="D18" s="31"/>
      <c r="E18" s="31"/>
      <c r="F18" s="31"/>
      <c r="G18" s="31"/>
      <c r="H18" s="31"/>
      <c r="I18" s="31"/>
      <c r="J18" s="39"/>
      <c r="K18" s="31"/>
      <c r="L18" s="31"/>
      <c r="M18" s="31"/>
      <c r="N18" s="31"/>
      <c r="O18" s="31"/>
      <c r="P18" s="142" t="s">
        <v>126</v>
      </c>
      <c r="Q18" s="110">
        <v>116</v>
      </c>
      <c r="R18" s="111">
        <v>500</v>
      </c>
      <c r="S18" s="112">
        <v>200</v>
      </c>
      <c r="T18" s="113">
        <v>10.2</v>
      </c>
      <c r="U18" s="113">
        <v>16</v>
      </c>
      <c r="V18" s="112">
        <v>21</v>
      </c>
      <c r="W18" s="113">
        <v>426</v>
      </c>
      <c r="X18" s="112">
        <v>48200</v>
      </c>
      <c r="Y18" s="113">
        <v>1930</v>
      </c>
      <c r="Z18" s="114">
        <v>20.4</v>
      </c>
      <c r="AA18" s="113">
        <v>2140</v>
      </c>
      <c r="AB18" s="115">
        <v>4.31</v>
      </c>
    </row>
    <row r="19" spans="1:28" ht="15.75" customHeight="1">
      <c r="A19" s="43" t="s">
        <v>132</v>
      </c>
      <c r="B19" s="89"/>
      <c r="C19" s="123" t="s">
        <v>123</v>
      </c>
      <c r="D19" s="74"/>
      <c r="E19" s="74"/>
      <c r="F19" s="74"/>
      <c r="G19" s="74"/>
      <c r="H19" s="74"/>
      <c r="I19" s="74"/>
      <c r="J19" s="39"/>
      <c r="K19" s="31"/>
      <c r="L19" s="31"/>
      <c r="M19" s="31"/>
      <c r="N19" s="31"/>
      <c r="O19" s="31"/>
      <c r="P19" s="142" t="s">
        <v>127</v>
      </c>
      <c r="Q19" s="110">
        <v>134</v>
      </c>
      <c r="R19" s="111">
        <v>550</v>
      </c>
      <c r="S19" s="112">
        <v>210</v>
      </c>
      <c r="T19" s="113">
        <v>11.1</v>
      </c>
      <c r="U19" s="113">
        <v>17.2</v>
      </c>
      <c r="V19" s="112">
        <v>24</v>
      </c>
      <c r="W19" s="113">
        <v>467.6</v>
      </c>
      <c r="X19" s="112">
        <v>67120</v>
      </c>
      <c r="Y19" s="113">
        <v>2440</v>
      </c>
      <c r="Z19" s="114">
        <v>22.3</v>
      </c>
      <c r="AA19" s="113">
        <v>2670</v>
      </c>
      <c r="AB19" s="115">
        <v>4.45</v>
      </c>
    </row>
    <row r="20" spans="1:28" ht="15.75" customHeight="1" thickBot="1">
      <c r="A20" s="36" t="s">
        <v>133</v>
      </c>
      <c r="B20" s="76" t="s">
        <v>1</v>
      </c>
      <c r="C20" s="90">
        <f>VLOOKUP(C19,P6:AB22,4,0)</f>
        <v>170</v>
      </c>
      <c r="D20" s="31" t="s">
        <v>3</v>
      </c>
      <c r="E20" s="74"/>
      <c r="F20" s="74"/>
      <c r="G20" s="74"/>
      <c r="H20" s="74"/>
      <c r="I20" s="74"/>
      <c r="J20" s="39"/>
      <c r="K20" s="31"/>
      <c r="L20" s="31"/>
      <c r="M20" s="31"/>
      <c r="N20" s="31"/>
      <c r="O20" s="31"/>
      <c r="P20" s="144" t="s">
        <v>128</v>
      </c>
      <c r="Q20" s="116">
        <v>156</v>
      </c>
      <c r="R20" s="117">
        <v>600</v>
      </c>
      <c r="S20" s="118">
        <v>220</v>
      </c>
      <c r="T20" s="119">
        <v>12</v>
      </c>
      <c r="U20" s="119">
        <v>19</v>
      </c>
      <c r="V20" s="118">
        <v>24</v>
      </c>
      <c r="W20" s="119">
        <v>514</v>
      </c>
      <c r="X20" s="118">
        <v>92080</v>
      </c>
      <c r="Y20" s="119">
        <v>3070</v>
      </c>
      <c r="Z20" s="120">
        <v>24.3</v>
      </c>
      <c r="AA20" s="119">
        <v>3390</v>
      </c>
      <c r="AB20" s="121">
        <v>4.66</v>
      </c>
    </row>
    <row r="21" spans="1:28" ht="15.75" customHeight="1" thickTop="1">
      <c r="A21" s="36" t="s">
        <v>134</v>
      </c>
      <c r="B21" s="76" t="s">
        <v>1</v>
      </c>
      <c r="C21" s="90">
        <f>VLOOKUP(C19,P6:AB22,6,0)</f>
        <v>12.7</v>
      </c>
      <c r="D21" s="31" t="s">
        <v>3</v>
      </c>
      <c r="E21" s="74"/>
      <c r="F21" s="74"/>
      <c r="G21" s="74"/>
      <c r="H21" s="74"/>
      <c r="I21" s="74"/>
      <c r="J21" s="39"/>
      <c r="K21" s="31"/>
      <c r="L21" s="31"/>
      <c r="M21" s="31"/>
      <c r="N21" s="31"/>
      <c r="O21" s="31"/>
      <c r="P21" s="142"/>
      <c r="Q21" s="110"/>
      <c r="R21" s="111"/>
      <c r="S21" s="112"/>
      <c r="T21" s="113"/>
      <c r="U21" s="113"/>
      <c r="V21" s="112"/>
      <c r="W21" s="113"/>
      <c r="X21" s="112"/>
      <c r="Y21" s="113"/>
      <c r="Z21" s="114"/>
      <c r="AA21" s="113"/>
      <c r="AB21" s="115"/>
    </row>
    <row r="22" spans="1:28" ht="15.75" customHeight="1" thickBot="1">
      <c r="A22" s="36" t="s">
        <v>105</v>
      </c>
      <c r="B22" s="76" t="s">
        <v>1</v>
      </c>
      <c r="C22" s="90">
        <f>VLOOKUP(C19,P6:AB22,3,0)</f>
        <v>360</v>
      </c>
      <c r="D22" s="31" t="s">
        <v>3</v>
      </c>
      <c r="E22" s="74"/>
      <c r="F22" s="74"/>
      <c r="G22" s="74"/>
      <c r="H22" s="74"/>
      <c r="I22" s="74"/>
      <c r="J22" s="39"/>
      <c r="K22" s="31"/>
      <c r="L22" s="31"/>
      <c r="M22" s="31"/>
      <c r="N22" s="31"/>
      <c r="O22" s="31"/>
      <c r="P22" s="144"/>
      <c r="Q22" s="116"/>
      <c r="R22" s="117"/>
      <c r="S22" s="118"/>
      <c r="T22" s="119"/>
      <c r="U22" s="119"/>
      <c r="V22" s="118"/>
      <c r="W22" s="119"/>
      <c r="X22" s="118"/>
      <c r="Y22" s="119"/>
      <c r="Z22" s="120"/>
      <c r="AA22" s="119"/>
      <c r="AB22" s="121"/>
    </row>
    <row r="23" spans="1:27" ht="15.75" customHeight="1" thickTop="1">
      <c r="A23" s="36" t="s">
        <v>102</v>
      </c>
      <c r="B23" s="76" t="s">
        <v>1</v>
      </c>
      <c r="C23" s="90">
        <f>VLOOKUP(C19,P6:AB22,5,0)</f>
        <v>8</v>
      </c>
      <c r="D23" s="31" t="s">
        <v>3</v>
      </c>
      <c r="E23" s="74"/>
      <c r="F23" s="74"/>
      <c r="G23" s="74"/>
      <c r="H23" s="74"/>
      <c r="I23" s="74"/>
      <c r="J23" s="39"/>
      <c r="K23" s="31"/>
      <c r="L23" s="31"/>
      <c r="M23" s="31"/>
      <c r="N23" s="31"/>
      <c r="O23" s="31"/>
      <c r="P23" s="126" t="s">
        <v>15</v>
      </c>
      <c r="Q23" s="126" t="s">
        <v>135</v>
      </c>
      <c r="R23" s="74"/>
      <c r="S23" s="74"/>
      <c r="T23" s="74"/>
      <c r="U23" s="94"/>
      <c r="V23" s="41"/>
      <c r="W23" s="74"/>
      <c r="X23" s="74"/>
      <c r="Y23" s="74"/>
      <c r="Z23" s="74"/>
      <c r="AA23" s="74"/>
    </row>
    <row r="24" spans="1:27" ht="15.75" customHeight="1">
      <c r="A24" s="36"/>
      <c r="B24" s="76"/>
      <c r="C24" s="91"/>
      <c r="D24" s="31"/>
      <c r="E24" s="74"/>
      <c r="F24" s="74"/>
      <c r="G24" s="74"/>
      <c r="H24" s="74"/>
      <c r="I24" s="74"/>
      <c r="J24" s="39"/>
      <c r="K24" s="31"/>
      <c r="L24" s="31"/>
      <c r="M24" s="31"/>
      <c r="N24" s="31"/>
      <c r="O24" s="31"/>
      <c r="P24" s="126" t="s">
        <v>16</v>
      </c>
      <c r="Q24" s="31"/>
      <c r="R24" s="31"/>
      <c r="S24" s="74"/>
      <c r="T24" s="74"/>
      <c r="U24" s="94"/>
      <c r="V24" s="74"/>
      <c r="W24" s="74"/>
      <c r="X24" s="74"/>
      <c r="Y24" s="74"/>
      <c r="Z24" s="74"/>
      <c r="AA24" s="74"/>
    </row>
    <row r="25" spans="1:27" ht="15.75" customHeight="1">
      <c r="A25" s="42" t="s">
        <v>60</v>
      </c>
      <c r="B25" s="92"/>
      <c r="C25" s="44"/>
      <c r="D25" s="33"/>
      <c r="E25" s="74"/>
      <c r="F25" s="74"/>
      <c r="G25" s="74"/>
      <c r="H25" s="74"/>
      <c r="I25" s="74"/>
      <c r="J25" s="39"/>
      <c r="K25" s="31"/>
      <c r="L25" s="31"/>
      <c r="M25" s="31"/>
      <c r="N25" s="31"/>
      <c r="O25" s="31"/>
      <c r="P25" s="74" t="s">
        <v>41</v>
      </c>
      <c r="Q25" s="37"/>
      <c r="R25" s="76"/>
      <c r="S25" s="91"/>
      <c r="T25" s="31"/>
      <c r="V25" s="74"/>
      <c r="W25" s="74"/>
      <c r="X25" s="74"/>
      <c r="Y25" s="74"/>
      <c r="Z25" s="74"/>
      <c r="AA25" s="74"/>
    </row>
    <row r="26" spans="1:27" ht="15.75" customHeight="1">
      <c r="A26" s="36" t="s">
        <v>133</v>
      </c>
      <c r="B26" s="76" t="s">
        <v>1</v>
      </c>
      <c r="C26" s="90">
        <f>VLOOKUP(C19,P6:AB22,4,0)</f>
        <v>170</v>
      </c>
      <c r="D26" s="31" t="s">
        <v>3</v>
      </c>
      <c r="E26" s="74"/>
      <c r="F26" s="74"/>
      <c r="G26" s="74"/>
      <c r="H26" s="74"/>
      <c r="I26" s="74"/>
      <c r="J26" s="39"/>
      <c r="K26" s="31"/>
      <c r="L26" s="31"/>
      <c r="M26" s="31"/>
      <c r="N26" s="31"/>
      <c r="O26" s="31"/>
      <c r="P26" s="74" t="s">
        <v>45</v>
      </c>
      <c r="Q26" s="37"/>
      <c r="R26" s="76"/>
      <c r="S26" s="91"/>
      <c r="T26" s="31"/>
      <c r="V26" s="74"/>
      <c r="W26" s="74"/>
      <c r="X26" s="74"/>
      <c r="Y26" s="74"/>
      <c r="Z26" s="74"/>
      <c r="AA26" s="74"/>
    </row>
    <row r="27" spans="1:27" ht="15.75" customHeight="1">
      <c r="A27" s="36" t="s">
        <v>134</v>
      </c>
      <c r="B27" s="76" t="s">
        <v>1</v>
      </c>
      <c r="C27" s="90">
        <f>VLOOKUP(C19,P6:AB22,6,0)</f>
        <v>12.7</v>
      </c>
      <c r="D27" s="31" t="s">
        <v>3</v>
      </c>
      <c r="E27" s="74"/>
      <c r="F27" s="74"/>
      <c r="G27" s="74"/>
      <c r="H27" s="74"/>
      <c r="I27" s="74"/>
      <c r="J27" s="39"/>
      <c r="K27" s="31"/>
      <c r="L27" s="31"/>
      <c r="M27" s="31"/>
      <c r="N27" s="31"/>
      <c r="O27" s="31"/>
      <c r="P27" s="74"/>
      <c r="Q27" s="37"/>
      <c r="R27" s="76"/>
      <c r="S27" s="91"/>
      <c r="T27" s="31"/>
      <c r="V27" s="74"/>
      <c r="W27" s="74"/>
      <c r="X27" s="74"/>
      <c r="Y27" s="74"/>
      <c r="Z27" s="74"/>
      <c r="AA27" s="74"/>
    </row>
    <row r="28" spans="1:27" ht="15.75" customHeight="1">
      <c r="A28" s="36" t="s">
        <v>105</v>
      </c>
      <c r="B28" s="76" t="s">
        <v>1</v>
      </c>
      <c r="C28" s="90">
        <f>C22+(C22-C21)</f>
        <v>707.3</v>
      </c>
      <c r="D28" s="31" t="s">
        <v>3</v>
      </c>
      <c r="E28" s="74"/>
      <c r="F28" s="74"/>
      <c r="G28" s="74"/>
      <c r="H28" s="74"/>
      <c r="I28" s="74"/>
      <c r="J28" s="39"/>
      <c r="K28" s="31"/>
      <c r="L28" s="31"/>
      <c r="M28" s="31"/>
      <c r="N28" s="31"/>
      <c r="O28" s="31"/>
      <c r="P28" s="74"/>
      <c r="Q28" s="37"/>
      <c r="R28" s="76"/>
      <c r="S28" s="91"/>
      <c r="T28" s="31"/>
      <c r="V28" s="74"/>
      <c r="W28" s="74"/>
      <c r="X28" s="74"/>
      <c r="Y28" s="74"/>
      <c r="Z28" s="74"/>
      <c r="AA28" s="74"/>
    </row>
    <row r="29" spans="1:27" ht="15.75" customHeight="1">
      <c r="A29" s="36" t="s">
        <v>102</v>
      </c>
      <c r="B29" s="76" t="s">
        <v>1</v>
      </c>
      <c r="C29" s="90">
        <f>VLOOKUP(C19,P6:AB22,5,0)</f>
        <v>8</v>
      </c>
      <c r="D29" s="31" t="s">
        <v>3</v>
      </c>
      <c r="E29" s="74"/>
      <c r="F29" s="74"/>
      <c r="G29" s="74"/>
      <c r="H29" s="74"/>
      <c r="I29" s="74"/>
      <c r="J29" s="39"/>
      <c r="K29" s="31"/>
      <c r="L29" s="31"/>
      <c r="M29" s="31"/>
      <c r="N29" s="31"/>
      <c r="O29" s="31"/>
      <c r="P29" s="74"/>
      <c r="Q29" s="31"/>
      <c r="R29" s="31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>
      <c r="A30" s="30"/>
      <c r="B30" s="74"/>
      <c r="C30" s="93"/>
      <c r="D30" s="74"/>
      <c r="E30" s="74"/>
      <c r="F30" s="74"/>
      <c r="G30" s="74"/>
      <c r="H30" s="74"/>
      <c r="I30" s="74"/>
      <c r="J30" s="39"/>
      <c r="K30" s="31"/>
      <c r="L30" s="31"/>
      <c r="M30" s="31"/>
      <c r="N30" s="31"/>
      <c r="O30" s="31"/>
      <c r="P30" s="74"/>
      <c r="Q30" s="31"/>
      <c r="R30" s="31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>
      <c r="A31" s="40" t="s">
        <v>10</v>
      </c>
      <c r="B31" s="74"/>
      <c r="C31" s="93"/>
      <c r="D31" s="74"/>
      <c r="E31" s="45"/>
      <c r="F31" s="31"/>
      <c r="G31" s="31"/>
      <c r="H31" s="74"/>
      <c r="I31" s="74"/>
      <c r="J31" s="39"/>
      <c r="K31" s="31"/>
      <c r="L31" s="31"/>
      <c r="M31" s="31"/>
      <c r="N31" s="31"/>
      <c r="O31" s="31"/>
      <c r="P31" s="74"/>
      <c r="Q31" s="31"/>
      <c r="R31" s="31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43" t="s">
        <v>30</v>
      </c>
      <c r="B32" s="94"/>
      <c r="C32" s="14">
        <v>25</v>
      </c>
      <c r="D32" s="34" t="s">
        <v>0</v>
      </c>
      <c r="E32" s="31"/>
      <c r="F32" s="31"/>
      <c r="G32" s="31"/>
      <c r="H32" s="74"/>
      <c r="I32" s="74"/>
      <c r="J32" s="39"/>
      <c r="K32" s="31"/>
      <c r="L32" s="31"/>
      <c r="M32" s="31"/>
      <c r="N32" s="31"/>
      <c r="O32" s="31"/>
      <c r="P32" s="74"/>
      <c r="Q32" s="31"/>
      <c r="R32" s="31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>
      <c r="A33" s="43" t="s">
        <v>31</v>
      </c>
      <c r="B33" s="94"/>
      <c r="C33" s="14">
        <v>1.5625</v>
      </c>
      <c r="D33" s="34" t="s">
        <v>0</v>
      </c>
      <c r="E33" s="31"/>
      <c r="F33" s="31"/>
      <c r="G33" s="31"/>
      <c r="H33" s="31"/>
      <c r="I33" s="31"/>
      <c r="J33" s="39"/>
      <c r="K33" s="31"/>
      <c r="L33" s="31"/>
      <c r="M33" s="31"/>
      <c r="N33" s="31"/>
      <c r="O33" s="31"/>
      <c r="P33" s="48"/>
      <c r="Q33" s="31"/>
      <c r="R33" s="31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43" t="s">
        <v>130</v>
      </c>
      <c r="B34" s="46"/>
      <c r="C34" s="14">
        <v>3.125</v>
      </c>
      <c r="D34" s="34" t="s">
        <v>0</v>
      </c>
      <c r="E34" s="31"/>
      <c r="F34" s="74"/>
      <c r="G34" s="74"/>
      <c r="H34" s="87"/>
      <c r="I34" s="87"/>
      <c r="J34" s="35"/>
      <c r="K34" s="34"/>
      <c r="L34" s="34"/>
      <c r="M34" s="34"/>
      <c r="N34" s="34"/>
      <c r="O34" s="34"/>
      <c r="P34" s="48"/>
      <c r="Q34" s="31"/>
      <c r="R34" s="31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15.75" customHeight="1">
      <c r="A35" s="43"/>
      <c r="B35" s="46"/>
      <c r="C35" s="38"/>
      <c r="D35" s="34"/>
      <c r="E35" s="31"/>
      <c r="F35" s="74"/>
      <c r="G35" s="74"/>
      <c r="H35" s="87"/>
      <c r="I35" s="87"/>
      <c r="J35" s="35"/>
      <c r="K35" s="34"/>
      <c r="L35" s="34"/>
      <c r="M35" s="34"/>
      <c r="N35" s="34"/>
      <c r="O35" s="34"/>
      <c r="P35" s="48"/>
      <c r="Q35" s="31"/>
      <c r="R35" s="31"/>
      <c r="S35" s="74"/>
      <c r="T35" s="74"/>
      <c r="U35" s="74"/>
      <c r="V35" s="74"/>
      <c r="W35" s="74"/>
      <c r="X35" s="74"/>
      <c r="Y35" s="74"/>
      <c r="Z35" s="74"/>
      <c r="AA35" s="74"/>
    </row>
    <row r="36" spans="1:27" ht="15.75" customHeight="1">
      <c r="A36" s="40" t="s">
        <v>64</v>
      </c>
      <c r="B36" s="41"/>
      <c r="C36" s="38"/>
      <c r="D36" s="31"/>
      <c r="E36" s="31"/>
      <c r="F36" s="74"/>
      <c r="G36" s="74"/>
      <c r="H36" s="87"/>
      <c r="I36" s="87"/>
      <c r="J36" s="35"/>
      <c r="K36" s="34"/>
      <c r="L36" s="34"/>
      <c r="M36" s="34"/>
      <c r="N36" s="34"/>
      <c r="O36" s="34"/>
      <c r="P36" s="48"/>
      <c r="Q36" s="31"/>
      <c r="R36" s="31"/>
      <c r="S36" s="74"/>
      <c r="T36" s="74"/>
      <c r="U36" s="74"/>
      <c r="V36" s="74"/>
      <c r="W36" s="74"/>
      <c r="X36" s="74"/>
      <c r="Y36" s="74"/>
      <c r="Z36" s="74"/>
      <c r="AA36" s="74"/>
    </row>
    <row r="37" spans="1:27" ht="15.75" customHeight="1">
      <c r="A37" s="40" t="s">
        <v>62</v>
      </c>
      <c r="E37" s="37"/>
      <c r="F37" s="37"/>
      <c r="G37" s="37"/>
      <c r="H37" s="31"/>
      <c r="I37" s="31"/>
      <c r="J37" s="39"/>
      <c r="K37" s="31"/>
      <c r="L37" s="31"/>
      <c r="M37" s="31"/>
      <c r="N37" s="31"/>
      <c r="O37" s="31"/>
      <c r="P37" s="48"/>
      <c r="Q37" s="31"/>
      <c r="R37" s="31"/>
      <c r="S37" s="74"/>
      <c r="T37" s="74"/>
      <c r="U37" s="74"/>
      <c r="V37" s="74"/>
      <c r="W37" s="74"/>
      <c r="X37" s="74"/>
      <c r="Y37" s="74"/>
      <c r="Z37" s="74"/>
      <c r="AA37" s="74"/>
    </row>
    <row r="38" spans="1:27" ht="15.75" customHeight="1">
      <c r="A38" s="40" t="s">
        <v>40</v>
      </c>
      <c r="B38" s="41"/>
      <c r="C38" s="31"/>
      <c r="D38" s="31"/>
      <c r="E38" s="31"/>
      <c r="F38" s="37"/>
      <c r="G38" s="37"/>
      <c r="H38" s="31"/>
      <c r="I38" s="31"/>
      <c r="J38" s="39"/>
      <c r="K38" s="31"/>
      <c r="L38" s="31"/>
      <c r="M38" s="31"/>
      <c r="N38" s="31"/>
      <c r="O38" s="31"/>
      <c r="P38" s="48"/>
      <c r="Q38" s="31"/>
      <c r="R38" s="31"/>
      <c r="S38" s="74"/>
      <c r="T38" s="74"/>
      <c r="U38" s="74"/>
      <c r="V38" s="74"/>
      <c r="W38" s="74"/>
      <c r="X38" s="74"/>
      <c r="Y38" s="74"/>
      <c r="Z38" s="74"/>
      <c r="AA38" s="74"/>
    </row>
    <row r="39" spans="1:27" ht="15.75" customHeight="1">
      <c r="A39" s="36" t="s">
        <v>11</v>
      </c>
      <c r="B39" s="76" t="s">
        <v>1</v>
      </c>
      <c r="C39" s="95">
        <f>VLOOKUP(C19,P6:AB22,3,0)/20</f>
        <v>18</v>
      </c>
      <c r="D39" s="74" t="s">
        <v>9</v>
      </c>
      <c r="E39" s="31"/>
      <c r="F39" s="31"/>
      <c r="G39" s="31"/>
      <c r="H39" s="31"/>
      <c r="I39" s="31"/>
      <c r="J39" s="39"/>
      <c r="K39" s="31"/>
      <c r="L39" s="31"/>
      <c r="M39" s="31"/>
      <c r="N39" s="31"/>
      <c r="O39" s="31"/>
      <c r="P39" s="48"/>
      <c r="Q39" s="31"/>
      <c r="R39" s="31"/>
      <c r="S39" s="74"/>
      <c r="T39" s="74"/>
      <c r="U39" s="74"/>
      <c r="V39" s="74"/>
      <c r="W39" s="74"/>
      <c r="X39" s="74"/>
      <c r="Y39" s="74"/>
      <c r="Z39" s="74"/>
      <c r="AA39" s="74"/>
    </row>
    <row r="40" spans="1:27" ht="15.75" customHeight="1">
      <c r="A40" s="36" t="s">
        <v>12</v>
      </c>
      <c r="B40" s="76" t="s">
        <v>1</v>
      </c>
      <c r="C40" s="41">
        <f>VLOOKUP(C19,P6:AB22,2,0)</f>
        <v>72.7</v>
      </c>
      <c r="D40" s="31" t="s">
        <v>19</v>
      </c>
      <c r="E40" s="31"/>
      <c r="F40" s="31"/>
      <c r="G40" s="31"/>
      <c r="H40" s="31"/>
      <c r="I40" s="31"/>
      <c r="J40" s="39"/>
      <c r="K40" s="31"/>
      <c r="L40" s="31"/>
      <c r="M40" s="31"/>
      <c r="N40" s="31"/>
      <c r="O40" s="31"/>
      <c r="P40" s="48"/>
      <c r="Q40" s="31"/>
      <c r="R40" s="31"/>
      <c r="S40" s="74"/>
      <c r="T40" s="74"/>
      <c r="U40" s="74"/>
      <c r="V40" s="74"/>
      <c r="W40" s="74"/>
      <c r="X40" s="74"/>
      <c r="Y40" s="74"/>
      <c r="Z40" s="74"/>
      <c r="AA40" s="74"/>
    </row>
    <row r="41" spans="1:27" ht="15.75" customHeight="1">
      <c r="A41" s="36" t="s">
        <v>53</v>
      </c>
      <c r="B41" s="76" t="s">
        <v>1</v>
      </c>
      <c r="C41" s="41">
        <f>VLOOKUP(C19,P6:AB22,9,0)</f>
        <v>16270</v>
      </c>
      <c r="D41" s="31" t="s">
        <v>22</v>
      </c>
      <c r="E41" s="31"/>
      <c r="F41" s="31"/>
      <c r="G41" s="31"/>
      <c r="H41" s="31"/>
      <c r="I41" s="31"/>
      <c r="J41" s="39"/>
      <c r="K41" s="31"/>
      <c r="L41" s="31"/>
      <c r="M41" s="31"/>
      <c r="N41" s="31"/>
      <c r="O41" s="31"/>
      <c r="P41" s="48"/>
      <c r="Q41" s="31"/>
      <c r="R41" s="31"/>
      <c r="S41" s="74"/>
      <c r="T41" s="74"/>
      <c r="U41" s="74"/>
      <c r="V41" s="74"/>
      <c r="W41" s="74"/>
      <c r="X41" s="74"/>
      <c r="Y41" s="74"/>
      <c r="Z41" s="74"/>
      <c r="AA41" s="74"/>
    </row>
    <row r="42" spans="1:27" ht="15.75" customHeight="1">
      <c r="A42" s="36" t="s">
        <v>54</v>
      </c>
      <c r="B42" s="76" t="s">
        <v>1</v>
      </c>
      <c r="C42" s="41">
        <f>VLOOKUP(C19,P6:AB22,12,0)</f>
        <v>1040</v>
      </c>
      <c r="D42" s="31" t="s">
        <v>22</v>
      </c>
      <c r="E42" s="31"/>
      <c r="F42" s="31"/>
      <c r="G42" s="31"/>
      <c r="H42" s="31"/>
      <c r="I42" s="31"/>
      <c r="J42" s="39"/>
      <c r="K42" s="31"/>
      <c r="L42" s="31"/>
      <c r="M42" s="31"/>
      <c r="N42" s="31"/>
      <c r="O42" s="31"/>
      <c r="P42" s="48"/>
      <c r="Q42" s="31"/>
      <c r="R42" s="31"/>
      <c r="S42" s="74"/>
      <c r="T42" s="74"/>
      <c r="U42" s="74"/>
      <c r="V42" s="74"/>
      <c r="W42" s="74"/>
      <c r="X42" s="74"/>
      <c r="Y42" s="74"/>
      <c r="Z42" s="74"/>
      <c r="AA42" s="74"/>
    </row>
    <row r="43" spans="1:27" ht="15.75" customHeight="1">
      <c r="A43" s="36" t="s">
        <v>55</v>
      </c>
      <c r="B43" s="76" t="s">
        <v>1</v>
      </c>
      <c r="C43" s="95">
        <f>VLOOKUP(C19,P6:AB22,10,0)</f>
        <v>904</v>
      </c>
      <c r="D43" s="31" t="s">
        <v>20</v>
      </c>
      <c r="J43" s="47"/>
      <c r="K43" s="17"/>
      <c r="L43" s="17"/>
      <c r="M43" s="17"/>
      <c r="N43" s="17"/>
      <c r="O43" s="17"/>
      <c r="P43" s="48"/>
      <c r="Q43" s="31"/>
      <c r="R43" s="31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15.75" customHeight="1">
      <c r="A44" s="36" t="s">
        <v>56</v>
      </c>
      <c r="B44" s="76" t="s">
        <v>1</v>
      </c>
      <c r="C44" s="41">
        <f>VLOOKUP(C19,P6:AB22,11,0)</f>
        <v>15</v>
      </c>
      <c r="D44" s="31" t="s">
        <v>9</v>
      </c>
      <c r="J44" s="47"/>
      <c r="K44" s="17"/>
      <c r="L44" s="17"/>
      <c r="M44" s="17"/>
      <c r="N44" s="17"/>
      <c r="O44" s="17"/>
      <c r="P44" s="48"/>
      <c r="Q44" s="31"/>
      <c r="R44" s="31"/>
      <c r="S44" s="74"/>
      <c r="T44" s="74"/>
      <c r="U44" s="74"/>
      <c r="V44" s="74"/>
      <c r="W44" s="74"/>
      <c r="X44" s="74"/>
      <c r="Y44" s="74"/>
      <c r="Z44" s="74"/>
      <c r="AA44" s="74"/>
    </row>
    <row r="45" spans="1:27" ht="15.75" customHeight="1">
      <c r="A45" s="36" t="s">
        <v>57</v>
      </c>
      <c r="B45" s="76" t="s">
        <v>1</v>
      </c>
      <c r="C45" s="41">
        <f>VLOOKUP(C19,P6:AB22,13,0)</f>
        <v>3.79</v>
      </c>
      <c r="D45" s="31" t="s">
        <v>9</v>
      </c>
      <c r="J45" s="47"/>
      <c r="K45" s="17"/>
      <c r="L45" s="17"/>
      <c r="M45" s="17"/>
      <c r="N45" s="17"/>
      <c r="O45" s="17"/>
      <c r="P45" s="48"/>
      <c r="Q45" s="31"/>
      <c r="R45" s="31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15.75" customHeight="1">
      <c r="A46" s="24"/>
      <c r="B46" s="27"/>
      <c r="C46" s="27"/>
      <c r="D46" s="31"/>
      <c r="J46" s="47"/>
      <c r="K46" s="17"/>
      <c r="L46" s="17"/>
      <c r="M46" s="17"/>
      <c r="N46" s="17"/>
      <c r="O46" s="17"/>
      <c r="P46" s="48"/>
      <c r="Q46" s="31"/>
      <c r="R46" s="31"/>
      <c r="S46" s="74"/>
      <c r="T46" s="74"/>
      <c r="U46" s="74"/>
      <c r="V46" s="74"/>
      <c r="W46" s="74"/>
      <c r="X46" s="74"/>
      <c r="Y46" s="74"/>
      <c r="Z46" s="74"/>
      <c r="AA46" s="74"/>
    </row>
    <row r="47" spans="1:27" ht="15.75" customHeight="1">
      <c r="A47" s="40" t="s">
        <v>63</v>
      </c>
      <c r="B47" s="27"/>
      <c r="C47" s="27"/>
      <c r="D47" s="31"/>
      <c r="E47" s="81"/>
      <c r="F47" s="81"/>
      <c r="G47" s="81"/>
      <c r="H47" s="81"/>
      <c r="I47" s="48"/>
      <c r="J47" s="49"/>
      <c r="K47" s="48"/>
      <c r="L47" s="48"/>
      <c r="M47" s="48"/>
      <c r="N47" s="48"/>
      <c r="O47" s="48"/>
      <c r="P47" s="48"/>
      <c r="Q47" s="64"/>
      <c r="R47" s="64"/>
      <c r="S47" s="99"/>
      <c r="W47" s="74"/>
      <c r="X47" s="74"/>
      <c r="Y47" s="74"/>
      <c r="Z47" s="74"/>
      <c r="AA47" s="74"/>
    </row>
    <row r="48" spans="1:27" ht="15.75" customHeight="1">
      <c r="A48" s="50" t="s">
        <v>46</v>
      </c>
      <c r="B48" s="51" t="s">
        <v>1</v>
      </c>
      <c r="C48" s="51">
        <f>VLOOKUP(C19,P6:AB22,8,0)/VLOOKUP(C19,P6:AB22,5,0)</f>
        <v>37.325</v>
      </c>
      <c r="D48" s="25" t="s">
        <v>78</v>
      </c>
      <c r="E48" s="148" t="str">
        <f>IF(C48&lt;81.978,"Compact",IF(C48&lt;122.64,"Non compact","Slender"))</f>
        <v>Compact</v>
      </c>
      <c r="F48" s="81"/>
      <c r="G48" s="81"/>
      <c r="H48" s="81"/>
      <c r="I48" s="48"/>
      <c r="J48" s="52" t="s">
        <v>92</v>
      </c>
      <c r="K48" s="137"/>
      <c r="L48" s="137"/>
      <c r="M48" s="137"/>
      <c r="N48" s="137"/>
      <c r="O48" s="137"/>
      <c r="P48" s="48"/>
      <c r="Q48" s="64"/>
      <c r="R48" s="64"/>
      <c r="S48" s="99"/>
      <c r="T48" s="99"/>
      <c r="U48" s="99"/>
      <c r="V48" s="99"/>
      <c r="W48" s="74"/>
      <c r="X48" s="74"/>
      <c r="Y48" s="74"/>
      <c r="Z48" s="74"/>
      <c r="AA48" s="74"/>
    </row>
    <row r="49" spans="1:27" ht="15.75" customHeight="1">
      <c r="A49" s="50" t="s">
        <v>47</v>
      </c>
      <c r="B49" s="51" t="s">
        <v>1</v>
      </c>
      <c r="C49" s="51">
        <f>(C20/2-C23/2-VLOOKUP(C19,P6:AB22,7,0))/C21</f>
        <v>4.960629921259843</v>
      </c>
      <c r="D49" s="25" t="s">
        <v>79</v>
      </c>
      <c r="E49" s="148" t="str">
        <f>IF(C49&lt;10.9,"Compact",IF(C49&lt;14.646,"Non compact","Slender"))</f>
        <v>Compact</v>
      </c>
      <c r="F49" s="81"/>
      <c r="G49" s="81"/>
      <c r="H49" s="81"/>
      <c r="I49" s="48"/>
      <c r="J49" s="52" t="s">
        <v>93</v>
      </c>
      <c r="K49" s="137"/>
      <c r="L49" s="137"/>
      <c r="M49" s="137"/>
      <c r="N49" s="137"/>
      <c r="O49" s="137"/>
      <c r="P49" s="48"/>
      <c r="Q49" s="64"/>
      <c r="R49" s="64"/>
      <c r="S49" s="99"/>
      <c r="T49" s="99"/>
      <c r="U49" s="99"/>
      <c r="V49" s="99"/>
      <c r="W49" s="74"/>
      <c r="X49" s="74"/>
      <c r="Y49" s="74"/>
      <c r="Z49" s="74"/>
      <c r="AA49" s="74"/>
    </row>
    <row r="50" spans="1:27" ht="15.75" customHeight="1">
      <c r="A50" s="53" t="s">
        <v>44</v>
      </c>
      <c r="B50" s="149" t="str">
        <f>IF(AND(E48="Compact",E49="Compact"),"Compact",IF(AND(E48&lt;&gt;"Slender",E49&lt;&gt;"Slender",OR(E48="Non compact",E49="Non compact")),"Non compact","Slender"))</f>
        <v>Compact</v>
      </c>
      <c r="C50" s="26"/>
      <c r="D50" s="31"/>
      <c r="E50" s="81"/>
      <c r="F50" s="81"/>
      <c r="G50" s="81"/>
      <c r="H50" s="81"/>
      <c r="I50" s="48"/>
      <c r="J50" s="49"/>
      <c r="K50" s="48"/>
      <c r="L50" s="48"/>
      <c r="M50" s="48"/>
      <c r="N50" s="48"/>
      <c r="O50" s="48"/>
      <c r="P50" s="48"/>
      <c r="Q50" s="17"/>
      <c r="R50" s="17"/>
      <c r="T50" s="99"/>
      <c r="U50" s="99"/>
      <c r="V50" s="99"/>
      <c r="W50" s="74"/>
      <c r="X50" s="74"/>
      <c r="Y50" s="74"/>
      <c r="Z50" s="74"/>
      <c r="AA50" s="74"/>
    </row>
    <row r="51" spans="1:27" ht="15.75" customHeight="1">
      <c r="A51" s="40"/>
      <c r="B51" s="41"/>
      <c r="C51" s="31"/>
      <c r="D51" s="31"/>
      <c r="E51" s="31"/>
      <c r="F51" s="31"/>
      <c r="G51" s="31"/>
      <c r="H51" s="31"/>
      <c r="I51" s="31"/>
      <c r="J51" s="39"/>
      <c r="K51" s="31"/>
      <c r="L51" s="31"/>
      <c r="M51" s="31"/>
      <c r="N51" s="31"/>
      <c r="O51" s="31"/>
      <c r="P51" s="31"/>
      <c r="Q51" s="31"/>
      <c r="R51" s="31"/>
      <c r="S51" s="74"/>
      <c r="T51" s="74"/>
      <c r="U51" s="74"/>
      <c r="V51" s="74"/>
      <c r="W51" s="74"/>
      <c r="X51" s="74"/>
      <c r="Y51" s="74"/>
      <c r="Z51" s="74"/>
      <c r="AA51" s="74"/>
    </row>
    <row r="52" spans="1:27" ht="15.75" customHeight="1">
      <c r="A52" s="40" t="s">
        <v>71</v>
      </c>
      <c r="B52" s="41"/>
      <c r="C52" s="74"/>
      <c r="D52" s="74"/>
      <c r="E52" s="74"/>
      <c r="F52" s="31"/>
      <c r="G52" s="31"/>
      <c r="H52" s="31"/>
      <c r="I52" s="31"/>
      <c r="J52" s="39"/>
      <c r="K52" s="31"/>
      <c r="L52" s="31"/>
      <c r="M52" s="31"/>
      <c r="N52" s="31"/>
      <c r="O52" s="31"/>
      <c r="P52" s="48"/>
      <c r="Q52" s="31"/>
      <c r="R52" s="31"/>
      <c r="S52" s="74"/>
      <c r="T52" s="74"/>
      <c r="U52" s="74"/>
      <c r="V52" s="74"/>
      <c r="W52" s="74"/>
      <c r="X52" s="74"/>
      <c r="Y52" s="74"/>
      <c r="Z52" s="74"/>
      <c r="AA52" s="74"/>
    </row>
    <row r="53" spans="1:27" ht="15.75" customHeight="1">
      <c r="A53" s="36" t="s">
        <v>48</v>
      </c>
      <c r="B53" s="41" t="s">
        <v>1</v>
      </c>
      <c r="C53" s="41">
        <f>C10*100/C43</f>
        <v>1.2373971238938053</v>
      </c>
      <c r="D53" s="31" t="s">
        <v>21</v>
      </c>
      <c r="E53" s="31"/>
      <c r="F53" s="76" t="s">
        <v>32</v>
      </c>
      <c r="G53" s="76" t="s">
        <v>1</v>
      </c>
      <c r="H53" s="122">
        <v>1</v>
      </c>
      <c r="I53" s="88"/>
      <c r="J53" s="52" t="s">
        <v>94</v>
      </c>
      <c r="K53" s="137"/>
      <c r="L53" s="137"/>
      <c r="M53" s="137"/>
      <c r="N53" s="137"/>
      <c r="O53" s="137"/>
      <c r="P53" s="48"/>
      <c r="Q53" s="31"/>
      <c r="R53" s="31"/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36" t="s">
        <v>23</v>
      </c>
      <c r="B54" s="41" t="s">
        <v>1</v>
      </c>
      <c r="C54" s="41">
        <f>C11/C40</f>
        <v>0.04625309491059147</v>
      </c>
      <c r="D54" s="31" t="s">
        <v>21</v>
      </c>
      <c r="E54" s="31"/>
      <c r="F54" s="74"/>
      <c r="G54" s="74"/>
      <c r="H54" s="74"/>
      <c r="I54" s="74"/>
      <c r="J54" s="39"/>
      <c r="K54" s="31"/>
      <c r="L54" s="31"/>
      <c r="M54" s="31"/>
      <c r="N54" s="31"/>
      <c r="O54" s="31"/>
      <c r="P54" s="48"/>
      <c r="Q54" s="31"/>
      <c r="R54" s="31"/>
      <c r="S54" s="74"/>
      <c r="T54" s="74"/>
      <c r="U54" s="74"/>
      <c r="V54" s="74"/>
      <c r="W54" s="74"/>
      <c r="X54" s="74"/>
      <c r="Y54" s="74"/>
      <c r="Z54" s="74"/>
      <c r="AA54" s="74"/>
    </row>
    <row r="55" spans="1:27" ht="15.75" customHeight="1">
      <c r="A55" s="157" t="s">
        <v>18</v>
      </c>
      <c r="B55" s="158" t="s">
        <v>1</v>
      </c>
      <c r="C55" s="31" t="s">
        <v>42</v>
      </c>
      <c r="D55" s="31"/>
      <c r="E55" s="17"/>
      <c r="F55" s="37">
        <f>(20*(C20/1000))/(H8^0.5)</f>
        <v>2.19469056285087</v>
      </c>
      <c r="G55" s="31" t="s">
        <v>0</v>
      </c>
      <c r="H55" s="159">
        <f>MIN(F55,F56)</f>
        <v>2.19469056285087</v>
      </c>
      <c r="I55" s="160" t="s">
        <v>0</v>
      </c>
      <c r="J55" s="54" t="s">
        <v>95</v>
      </c>
      <c r="K55" s="37"/>
      <c r="L55" s="37"/>
      <c r="M55" s="37"/>
      <c r="N55" s="37"/>
      <c r="O55" s="37"/>
      <c r="P55" s="48"/>
      <c r="Q55" s="31"/>
      <c r="R55" s="31"/>
      <c r="S55" s="74"/>
      <c r="T55" s="74"/>
      <c r="U55" s="74"/>
      <c r="V55" s="74"/>
      <c r="W55" s="74"/>
      <c r="X55" s="74"/>
      <c r="Y55" s="74"/>
      <c r="Z55" s="74"/>
      <c r="AA55" s="74"/>
    </row>
    <row r="56" spans="1:27" ht="15.75" customHeight="1">
      <c r="A56" s="157"/>
      <c r="B56" s="158"/>
      <c r="C56" s="31" t="s">
        <v>43</v>
      </c>
      <c r="D56" s="31"/>
      <c r="E56" s="31"/>
      <c r="F56" s="41">
        <f>(1380*(C20*C21/100)/(H8*C22/10)*H53)/100</f>
        <v>3.448402777777778</v>
      </c>
      <c r="G56" s="31" t="s">
        <v>0</v>
      </c>
      <c r="H56" s="159"/>
      <c r="I56" s="160"/>
      <c r="J56" s="54" t="s">
        <v>96</v>
      </c>
      <c r="K56" s="37"/>
      <c r="L56" s="37"/>
      <c r="M56" s="37"/>
      <c r="N56" s="37"/>
      <c r="O56" s="37"/>
      <c r="P56" s="48"/>
      <c r="Q56" s="37" t="s">
        <v>67</v>
      </c>
      <c r="R56" s="37" t="s">
        <v>1</v>
      </c>
      <c r="S56" s="75">
        <f>MIN((800*C26*C27*H53)/(1000*C22*C33),0.58*H8)</f>
        <v>1.392</v>
      </c>
      <c r="T56" s="31" t="s">
        <v>21</v>
      </c>
      <c r="U56" s="76" t="s">
        <v>136</v>
      </c>
      <c r="V56" s="76" t="s">
        <v>1</v>
      </c>
      <c r="W56" s="74">
        <f>((C27*C26^3/12)+(C22*C29^3/36))/10000</f>
        <v>520.4711666666667</v>
      </c>
      <c r="X56" s="31" t="s">
        <v>22</v>
      </c>
      <c r="Y56" s="74"/>
      <c r="Z56" s="74"/>
      <c r="AA56" s="74"/>
    </row>
    <row r="57" spans="1:27" ht="15.75" customHeight="1" thickBot="1">
      <c r="A57" s="153"/>
      <c r="B57" s="55" t="s">
        <v>66</v>
      </c>
      <c r="C57" s="55"/>
      <c r="D57" s="55"/>
      <c r="E57" s="55"/>
      <c r="F57" s="154" t="str">
        <f>IF(AND(H55&gt;C33),"There is no LTB","There is LTB")</f>
        <v>There is no LTB</v>
      </c>
      <c r="G57" s="155"/>
      <c r="H57" s="55"/>
      <c r="I57" s="55"/>
      <c r="J57" s="97"/>
      <c r="K57" s="31"/>
      <c r="L57" s="31"/>
      <c r="M57" s="31"/>
      <c r="N57" s="31"/>
      <c r="O57" s="31"/>
      <c r="P57" s="48"/>
      <c r="Q57" s="37" t="s">
        <v>137</v>
      </c>
      <c r="R57" s="37" t="s">
        <v>1</v>
      </c>
      <c r="S57" s="76">
        <f>(C20*C21+C22*C23/6)/100</f>
        <v>26.39</v>
      </c>
      <c r="T57" s="31" t="s">
        <v>19</v>
      </c>
      <c r="U57" s="76" t="s">
        <v>33</v>
      </c>
      <c r="V57" s="76" t="s">
        <v>1</v>
      </c>
      <c r="W57" s="74">
        <f>(W56/S57)^0.5</f>
        <v>4.440978212357308</v>
      </c>
      <c r="X57" s="31" t="s">
        <v>9</v>
      </c>
      <c r="Y57" s="74"/>
      <c r="Z57" s="74"/>
      <c r="AA57" s="74"/>
    </row>
    <row r="58" spans="1:27" ht="15.75" customHeight="1">
      <c r="A58" s="36" t="s">
        <v>38</v>
      </c>
      <c r="B58" s="37" t="s">
        <v>1</v>
      </c>
      <c r="C58" s="37">
        <f>IF(F57="There is LTB",S63,S64)</f>
        <v>1.536</v>
      </c>
      <c r="D58" s="31" t="s">
        <v>21</v>
      </c>
      <c r="E58" s="31"/>
      <c r="F58" s="171"/>
      <c r="G58" s="171"/>
      <c r="H58" s="98"/>
      <c r="I58" s="98"/>
      <c r="J58" s="71"/>
      <c r="K58" s="138"/>
      <c r="L58" s="138"/>
      <c r="M58" s="138"/>
      <c r="N58" s="138"/>
      <c r="O58" s="138"/>
      <c r="P58" s="48"/>
      <c r="Q58" s="37" t="s">
        <v>35</v>
      </c>
      <c r="R58" s="37" t="s">
        <v>1</v>
      </c>
      <c r="S58" s="76">
        <f>C33*100/W57</f>
        <v>35.18368983779842</v>
      </c>
      <c r="T58" s="74"/>
      <c r="U58" s="76">
        <f>84*(H53/H8)^0.5</f>
        <v>54.22176684690383</v>
      </c>
      <c r="V58" s="76">
        <f>188*(H53/H8)^0.5</f>
        <v>121.35347818116573</v>
      </c>
      <c r="W58" s="74"/>
      <c r="X58" s="31"/>
      <c r="Y58" s="74"/>
      <c r="Z58" s="74"/>
      <c r="AA58" s="74"/>
    </row>
    <row r="59" spans="1:27" ht="15.75" customHeight="1">
      <c r="A59" s="36" t="s">
        <v>49</v>
      </c>
      <c r="B59" s="37" t="s">
        <v>1</v>
      </c>
      <c r="C59" s="37">
        <f>C58</f>
        <v>1.536</v>
      </c>
      <c r="D59" s="31" t="s">
        <v>21</v>
      </c>
      <c r="E59" s="31"/>
      <c r="F59" s="56"/>
      <c r="G59" s="45"/>
      <c r="H59" s="74"/>
      <c r="I59" s="74"/>
      <c r="J59" s="39"/>
      <c r="K59" s="31"/>
      <c r="L59" s="31"/>
      <c r="M59" s="31"/>
      <c r="N59" s="31"/>
      <c r="O59" s="31"/>
      <c r="P59" s="48"/>
      <c r="Q59" s="37" t="s">
        <v>34</v>
      </c>
      <c r="R59" s="37" t="s">
        <v>1</v>
      </c>
      <c r="S59" s="76">
        <f>0.58*H8</f>
        <v>1.392</v>
      </c>
      <c r="T59" s="31" t="s">
        <v>21</v>
      </c>
      <c r="U59" s="76"/>
      <c r="V59" s="76"/>
      <c r="W59" s="74"/>
      <c r="X59" s="31"/>
      <c r="Y59" s="74"/>
      <c r="Z59" s="74"/>
      <c r="AA59" s="74"/>
    </row>
    <row r="60" spans="1:27" ht="15.75" customHeight="1">
      <c r="A60" s="36" t="s">
        <v>24</v>
      </c>
      <c r="B60" s="41" t="s">
        <v>1</v>
      </c>
      <c r="C60" s="41">
        <f>0.7*C32</f>
        <v>17.5</v>
      </c>
      <c r="D60" s="74" t="s">
        <v>0</v>
      </c>
      <c r="E60" s="74"/>
      <c r="F60" s="74"/>
      <c r="G60" s="57"/>
      <c r="H60" s="31"/>
      <c r="I60" s="31"/>
      <c r="J60" s="39"/>
      <c r="K60" s="31"/>
      <c r="L60" s="31"/>
      <c r="M60" s="31"/>
      <c r="N60" s="31"/>
      <c r="O60" s="31"/>
      <c r="P60" s="48"/>
      <c r="Q60" s="37" t="s">
        <v>36</v>
      </c>
      <c r="R60" s="37" t="s">
        <v>1</v>
      </c>
      <c r="S60" s="76">
        <f>IF(U60&gt;0.58*H8,0.58*H8,U60)</f>
        <v>1.392</v>
      </c>
      <c r="T60" s="31" t="s">
        <v>21</v>
      </c>
      <c r="U60" s="76">
        <f>(0.64-((S58^2*H8)/(1.176*10^5*H53)))*H8</f>
        <v>1.4753685536031476</v>
      </c>
      <c r="V60" s="76"/>
      <c r="W60" s="77"/>
      <c r="X60" s="31"/>
      <c r="Y60" s="74"/>
      <c r="Z60" s="74"/>
      <c r="AA60" s="74"/>
    </row>
    <row r="61" spans="1:27" ht="15.75" customHeight="1">
      <c r="A61" s="36" t="s">
        <v>25</v>
      </c>
      <c r="B61" s="41" t="s">
        <v>1</v>
      </c>
      <c r="C61" s="41">
        <f>C34</f>
        <v>3.125</v>
      </c>
      <c r="D61" s="31" t="s">
        <v>0</v>
      </c>
      <c r="E61" s="31"/>
      <c r="F61" s="31"/>
      <c r="G61" s="31"/>
      <c r="H61" s="31"/>
      <c r="I61" s="41"/>
      <c r="J61" s="39"/>
      <c r="K61" s="31"/>
      <c r="L61" s="31"/>
      <c r="M61" s="31"/>
      <c r="N61" s="31"/>
      <c r="O61" s="31"/>
      <c r="P61" s="48"/>
      <c r="Q61" s="37" t="s">
        <v>37</v>
      </c>
      <c r="R61" s="37" t="s">
        <v>1</v>
      </c>
      <c r="S61" s="76">
        <f>IF(U61&gt;0.58*H8,0.58*H8,U61)</f>
        <v>1.392</v>
      </c>
      <c r="T61" s="31" t="s">
        <v>21</v>
      </c>
      <c r="U61" s="76">
        <f>(12000*H53)/S58^2</f>
        <v>9.693898743463434</v>
      </c>
      <c r="V61" s="76"/>
      <c r="W61" s="74"/>
      <c r="X61" s="74"/>
      <c r="Y61" s="74"/>
      <c r="Z61" s="74"/>
      <c r="AA61" s="74"/>
    </row>
    <row r="62" spans="1:27" ht="15.75" customHeight="1">
      <c r="A62" s="58" t="s">
        <v>26</v>
      </c>
      <c r="B62" s="41" t="s">
        <v>1</v>
      </c>
      <c r="C62" s="41">
        <f>C60*100/C44</f>
        <v>116.66666666666667</v>
      </c>
      <c r="D62" s="31"/>
      <c r="E62" s="31"/>
      <c r="F62" s="31"/>
      <c r="G62" s="31"/>
      <c r="H62" s="31"/>
      <c r="I62" s="31"/>
      <c r="J62" s="39"/>
      <c r="K62" s="31"/>
      <c r="L62" s="31"/>
      <c r="M62" s="31"/>
      <c r="N62" s="31"/>
      <c r="O62" s="31"/>
      <c r="P62" s="48"/>
      <c r="Q62" s="37" t="s">
        <v>68</v>
      </c>
      <c r="R62" s="37" t="s">
        <v>1</v>
      </c>
      <c r="S62" s="76">
        <f>IF(S58&lt;U58,S59,IF(AND(S58&gt;U58,S58&lt;V58),S60,S61))</f>
        <v>1.392</v>
      </c>
      <c r="T62" s="31" t="s">
        <v>21</v>
      </c>
      <c r="U62" s="37" t="s">
        <v>38</v>
      </c>
      <c r="V62" s="37" t="s">
        <v>1</v>
      </c>
      <c r="W62" s="76">
        <f>(S56^2+S62^2)^0.5</f>
        <v>1.9685852788233482</v>
      </c>
      <c r="X62" s="31" t="s">
        <v>21</v>
      </c>
      <c r="Y62" s="74"/>
      <c r="Z62" s="74"/>
      <c r="AA62" s="74"/>
    </row>
    <row r="63" spans="1:27" ht="15.75" customHeight="1">
      <c r="A63" s="58" t="s">
        <v>27</v>
      </c>
      <c r="B63" s="41" t="s">
        <v>1</v>
      </c>
      <c r="C63" s="41">
        <f>C61*100/C45</f>
        <v>82.45382585751979</v>
      </c>
      <c r="D63" s="31"/>
      <c r="E63" s="31"/>
      <c r="F63" s="31"/>
      <c r="G63" s="31"/>
      <c r="H63" s="31"/>
      <c r="I63" s="31"/>
      <c r="J63" s="39"/>
      <c r="K63" s="31"/>
      <c r="L63" s="31"/>
      <c r="M63" s="31"/>
      <c r="N63" s="31"/>
      <c r="O63" s="31"/>
      <c r="P63" s="48"/>
      <c r="Q63" s="37" t="s">
        <v>138</v>
      </c>
      <c r="R63" s="37" t="s">
        <v>1</v>
      </c>
      <c r="S63" s="76">
        <f>IF(W62&gt;0.58*H8,0.58*H8,W62)</f>
        <v>1.392</v>
      </c>
      <c r="T63" s="31" t="s">
        <v>21</v>
      </c>
      <c r="U63" s="31"/>
      <c r="V63" s="74"/>
      <c r="W63" s="74"/>
      <c r="X63" s="74"/>
      <c r="Y63" s="74"/>
      <c r="Z63" s="74"/>
      <c r="AA63" s="74"/>
    </row>
    <row r="64" spans="1:27" ht="15.75" customHeight="1">
      <c r="A64" s="30"/>
      <c r="B64" s="31"/>
      <c r="C64" s="59" t="s">
        <v>28</v>
      </c>
      <c r="D64" s="37" t="s">
        <v>1</v>
      </c>
      <c r="E64" s="41">
        <f>MAX(C62,C63)</f>
        <v>116.66666666666667</v>
      </c>
      <c r="F64" s="31" t="s">
        <v>13</v>
      </c>
      <c r="G64" s="150" t="str">
        <f>IF(AND(E64&lt;180),"SAFE","Unsafe")</f>
        <v>SAFE</v>
      </c>
      <c r="H64" s="74"/>
      <c r="I64" s="74"/>
      <c r="J64" s="52" t="s">
        <v>97</v>
      </c>
      <c r="K64" s="137"/>
      <c r="L64" s="137"/>
      <c r="M64" s="137"/>
      <c r="N64" s="137"/>
      <c r="O64" s="137"/>
      <c r="P64" s="125"/>
      <c r="Q64" s="37" t="s">
        <v>69</v>
      </c>
      <c r="R64" s="37" t="s">
        <v>1</v>
      </c>
      <c r="S64" s="37">
        <f>IF(B50="Compact",0.64*H8,0.58*H8)</f>
        <v>1.536</v>
      </c>
      <c r="T64" s="31" t="s">
        <v>21</v>
      </c>
      <c r="U64" s="37"/>
      <c r="V64" s="37"/>
      <c r="W64" s="37"/>
      <c r="X64" s="31"/>
      <c r="Y64" s="74"/>
      <c r="Z64" s="74"/>
      <c r="AA64" s="74"/>
    </row>
    <row r="65" spans="1:27" ht="15.75" customHeight="1">
      <c r="A65" s="36" t="s">
        <v>51</v>
      </c>
      <c r="B65" s="41" t="s">
        <v>1</v>
      </c>
      <c r="C65" s="41">
        <f>IF(AND(E64&lt;100),(P4-Q4*(E64)^2),(7500/(E64)^2))</f>
        <v>0.5510204081632653</v>
      </c>
      <c r="D65" s="31" t="s">
        <v>21</v>
      </c>
      <c r="E65" s="31"/>
      <c r="F65" s="31"/>
      <c r="G65" s="37"/>
      <c r="H65" s="31"/>
      <c r="I65" s="31"/>
      <c r="J65" s="39"/>
      <c r="K65" s="31"/>
      <c r="L65" s="31"/>
      <c r="M65" s="31"/>
      <c r="N65" s="31"/>
      <c r="O65" s="31"/>
      <c r="P65" s="48"/>
      <c r="Q65" s="78"/>
      <c r="R65" s="78"/>
      <c r="S65" s="78"/>
      <c r="T65" s="78"/>
      <c r="U65" s="78"/>
      <c r="V65" s="78"/>
      <c r="W65" s="78"/>
      <c r="X65" s="74"/>
      <c r="Y65" s="74"/>
      <c r="Z65" s="74"/>
      <c r="AA65" s="74"/>
    </row>
    <row r="66" spans="1:27" ht="15.75" customHeight="1">
      <c r="A66" s="36" t="s">
        <v>52</v>
      </c>
      <c r="B66" s="41" t="s">
        <v>1</v>
      </c>
      <c r="C66" s="41">
        <f>C54/C65</f>
        <v>0.08394080187477712</v>
      </c>
      <c r="D66" s="31"/>
      <c r="E66" s="27"/>
      <c r="F66" s="27"/>
      <c r="G66" s="147"/>
      <c r="H66" s="31"/>
      <c r="I66" s="31"/>
      <c r="J66" s="39"/>
      <c r="K66" s="31"/>
      <c r="L66" s="31"/>
      <c r="M66" s="31"/>
      <c r="N66" s="31"/>
      <c r="O66" s="31"/>
      <c r="P66" s="48"/>
      <c r="Q66" s="31"/>
      <c r="R66" s="31"/>
      <c r="S66" s="31"/>
      <c r="T66" s="31"/>
      <c r="U66" s="31"/>
      <c r="V66" s="31"/>
      <c r="W66" s="31"/>
      <c r="X66" s="74"/>
      <c r="Y66" s="74"/>
      <c r="Z66" s="74"/>
      <c r="AA66" s="74"/>
    </row>
    <row r="67" spans="1:27" ht="15.75" customHeight="1">
      <c r="A67" s="36" t="s">
        <v>29</v>
      </c>
      <c r="B67" s="41" t="s">
        <v>1</v>
      </c>
      <c r="C67" s="41" t="str">
        <f>IF(AND(C66&lt;0.15),"1.00",MAX((0.85/(1-C54/(7500/(C62)^2))),1))</f>
        <v>1.00</v>
      </c>
      <c r="D67" s="31"/>
      <c r="E67" s="31"/>
      <c r="F67" s="31"/>
      <c r="G67" s="37"/>
      <c r="H67" s="31"/>
      <c r="I67" s="31"/>
      <c r="J67" s="39"/>
      <c r="K67" s="31"/>
      <c r="L67" s="31"/>
      <c r="M67" s="31"/>
      <c r="N67" s="31"/>
      <c r="O67" s="31"/>
      <c r="P67" s="125"/>
      <c r="Q67" s="37"/>
      <c r="R67" s="37"/>
      <c r="S67" s="37"/>
      <c r="T67" s="37"/>
      <c r="U67" s="37"/>
      <c r="V67" s="37"/>
      <c r="W67" s="37"/>
      <c r="X67" s="74"/>
      <c r="Y67" s="74"/>
      <c r="Z67" s="74"/>
      <c r="AA67" s="74"/>
    </row>
    <row r="68" spans="1:27" ht="15.75" customHeight="1">
      <c r="A68" s="60" t="s">
        <v>14</v>
      </c>
      <c r="B68" s="74"/>
      <c r="C68" s="31"/>
      <c r="D68" s="31"/>
      <c r="E68" s="37"/>
      <c r="F68" s="41"/>
      <c r="G68" s="37"/>
      <c r="H68" s="61"/>
      <c r="I68" s="61"/>
      <c r="J68" s="62"/>
      <c r="K68" s="61"/>
      <c r="L68" s="61"/>
      <c r="M68" s="61"/>
      <c r="N68" s="61"/>
      <c r="O68" s="61"/>
      <c r="P68" s="48"/>
      <c r="Q68" s="37"/>
      <c r="R68" s="37"/>
      <c r="S68" s="37"/>
      <c r="T68" s="37"/>
      <c r="U68" s="37"/>
      <c r="V68" s="37"/>
      <c r="W68" s="37"/>
      <c r="X68" s="74"/>
      <c r="Y68" s="74"/>
      <c r="Z68" s="74"/>
      <c r="AA68" s="74"/>
    </row>
    <row r="69" spans="1:27" ht="15.75" customHeight="1">
      <c r="A69" s="30" t="s">
        <v>50</v>
      </c>
      <c r="B69" s="31"/>
      <c r="C69" s="37">
        <f>C66+C67*C53/C59</f>
        <v>0.8895378877431399</v>
      </c>
      <c r="D69" s="63" t="str">
        <f>IF(C69&gt;E69,"&gt;","&lt;")</f>
        <v>&lt;</v>
      </c>
      <c r="E69" s="41">
        <f>IF(E10="a",1,1.2)</f>
        <v>1</v>
      </c>
      <c r="F69" s="99"/>
      <c r="G69" s="150" t="str">
        <f>IF(AND(C69&lt;E69),"SAFE","Unsafe")</f>
        <v>SAFE</v>
      </c>
      <c r="J69" s="54" t="s">
        <v>99</v>
      </c>
      <c r="K69" s="37"/>
      <c r="L69" s="37"/>
      <c r="M69" s="37"/>
      <c r="N69" s="37"/>
      <c r="O69" s="37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:27" ht="15.75" customHeight="1">
      <c r="A70" s="30"/>
      <c r="B70" s="74"/>
      <c r="C70" s="31"/>
      <c r="D70" s="31"/>
      <c r="E70" s="37"/>
      <c r="F70" s="63"/>
      <c r="G70" s="41"/>
      <c r="H70" s="99"/>
      <c r="I70" s="65"/>
      <c r="J70" s="66"/>
      <c r="K70" s="65"/>
      <c r="L70" s="65"/>
      <c r="M70" s="65"/>
      <c r="N70" s="65"/>
      <c r="O70" s="65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:27" ht="15.75" customHeight="1">
      <c r="A71" s="40" t="s">
        <v>72</v>
      </c>
      <c r="B71" s="41"/>
      <c r="C71" s="31"/>
      <c r="D71" s="31"/>
      <c r="E71" s="37"/>
      <c r="F71" s="41"/>
      <c r="G71" s="37"/>
      <c r="H71" s="31"/>
      <c r="I71" s="31"/>
      <c r="J71" s="39"/>
      <c r="K71" s="31"/>
      <c r="L71" s="31"/>
      <c r="M71" s="31"/>
      <c r="N71" s="31"/>
      <c r="O71" s="31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1:27" ht="15.75" customHeight="1">
      <c r="A72" s="36" t="s">
        <v>73</v>
      </c>
      <c r="B72" s="41" t="s">
        <v>1</v>
      </c>
      <c r="C72" s="41">
        <f>C15*100/(VLOOKUP(C19,P6:AB22,8,FALSE)*C23)</f>
        <v>0.21859929671801737</v>
      </c>
      <c r="D72" s="31" t="s">
        <v>21</v>
      </c>
      <c r="E72" s="41" t="str">
        <f>IF(C72&gt;F72,"&gt;","&lt;")</f>
        <v>&lt;</v>
      </c>
      <c r="F72" s="99">
        <v>0.84</v>
      </c>
      <c r="G72" s="150" t="str">
        <f>IF(AND(C72&lt;F72),"SAFE","Unsafe")</f>
        <v>SAFE</v>
      </c>
      <c r="H72" s="31"/>
      <c r="I72" s="31"/>
      <c r="J72" s="54" t="s">
        <v>100</v>
      </c>
      <c r="K72" s="37"/>
      <c r="L72" s="37"/>
      <c r="M72" s="37"/>
      <c r="N72" s="37"/>
      <c r="O72" s="37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1:27" ht="15.75" customHeight="1">
      <c r="A73" s="36"/>
      <c r="B73" s="41"/>
      <c r="C73" s="41"/>
      <c r="D73" s="31"/>
      <c r="E73" s="41"/>
      <c r="F73" s="99"/>
      <c r="G73" s="65"/>
      <c r="H73" s="31"/>
      <c r="I73" s="31"/>
      <c r="J73" s="54"/>
      <c r="K73" s="37"/>
      <c r="L73" s="37"/>
      <c r="M73" s="37"/>
      <c r="N73" s="37"/>
      <c r="O73" s="37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:27" ht="15.75" customHeight="1">
      <c r="A74" s="40" t="s">
        <v>149</v>
      </c>
      <c r="B74" s="41"/>
      <c r="C74" s="41"/>
      <c r="D74" s="31"/>
      <c r="E74" s="41"/>
      <c r="F74" s="99"/>
      <c r="G74" s="65"/>
      <c r="H74" s="31"/>
      <c r="I74" s="31"/>
      <c r="J74" s="54"/>
      <c r="K74" s="37"/>
      <c r="L74" s="37"/>
      <c r="M74" s="37"/>
      <c r="N74" s="37"/>
      <c r="O74" s="37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7" ht="15.75" customHeight="1">
      <c r="A75" s="36" t="s">
        <v>150</v>
      </c>
      <c r="B75" s="41" t="s">
        <v>1</v>
      </c>
      <c r="C75" s="41">
        <f>(C69^2+3*C72^2)^0.5</f>
        <v>0.96676502383328</v>
      </c>
      <c r="D75" s="41" t="str">
        <f>IF(C75&gt;E75,"&gt;","&lt;")</f>
        <v>&lt;</v>
      </c>
      <c r="E75" s="41">
        <f>IF(E10="a",1.1,1.32)</f>
        <v>1.1</v>
      </c>
      <c r="F75" s="65"/>
      <c r="G75" s="150" t="str">
        <f>IF(AND(C75&lt;E75),"SAFE","Unsafe")</f>
        <v>SAFE</v>
      </c>
      <c r="H75" s="31"/>
      <c r="I75" s="31"/>
      <c r="J75" s="54" t="s">
        <v>151</v>
      </c>
      <c r="K75" s="37"/>
      <c r="L75" s="37"/>
      <c r="M75" s="37"/>
      <c r="N75" s="37"/>
      <c r="O75" s="37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15.75" customHeight="1">
      <c r="A76" s="36"/>
      <c r="B76" s="41"/>
      <c r="C76" s="41"/>
      <c r="D76" s="31"/>
      <c r="E76" s="37"/>
      <c r="F76" s="41"/>
      <c r="G76" s="31"/>
      <c r="H76" s="31"/>
      <c r="I76" s="31"/>
      <c r="J76" s="39"/>
      <c r="K76" s="31"/>
      <c r="L76" s="31"/>
      <c r="M76" s="31"/>
      <c r="N76" s="31"/>
      <c r="O76" s="31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ht="15.75" customHeight="1">
      <c r="A77" s="40" t="s">
        <v>74</v>
      </c>
      <c r="B77" s="41"/>
      <c r="C77" s="74"/>
      <c r="D77" s="74"/>
      <c r="E77" s="74"/>
      <c r="F77" s="31"/>
      <c r="G77" s="31"/>
      <c r="H77" s="31"/>
      <c r="I77" s="31"/>
      <c r="J77" s="39"/>
      <c r="K77" s="31"/>
      <c r="L77" s="31"/>
      <c r="M77" s="31"/>
      <c r="N77" s="31"/>
      <c r="O77" s="31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:27" ht="15.75" customHeight="1">
      <c r="A78" s="67" t="s">
        <v>40</v>
      </c>
      <c r="B78" s="41"/>
      <c r="C78" s="31"/>
      <c r="D78" s="31"/>
      <c r="E78" s="74"/>
      <c r="F78" s="31"/>
      <c r="G78" s="31"/>
      <c r="H78" s="31"/>
      <c r="I78" s="31"/>
      <c r="J78" s="39"/>
      <c r="K78" s="31"/>
      <c r="L78" s="31"/>
      <c r="M78" s="31"/>
      <c r="N78" s="31"/>
      <c r="O78" s="31"/>
      <c r="P78" s="74"/>
      <c r="Q78" s="74"/>
      <c r="R78" s="74"/>
      <c r="S78" s="74"/>
      <c r="V78" s="74"/>
      <c r="W78" s="74"/>
      <c r="X78" s="74"/>
      <c r="Y78" s="74"/>
      <c r="Z78" s="74"/>
      <c r="AA78" s="74"/>
    </row>
    <row r="79" spans="1:27" ht="15.75" customHeight="1">
      <c r="A79" s="36" t="s">
        <v>11</v>
      </c>
      <c r="B79" s="76" t="s">
        <v>1</v>
      </c>
      <c r="C79" s="95">
        <f>C28/20</f>
        <v>35.364999999999995</v>
      </c>
      <c r="D79" s="74" t="s">
        <v>9</v>
      </c>
      <c r="E79" s="74"/>
      <c r="F79" s="31"/>
      <c r="G79" s="31"/>
      <c r="H79" s="31"/>
      <c r="I79" s="31"/>
      <c r="J79" s="39"/>
      <c r="K79" s="31"/>
      <c r="L79" s="31"/>
      <c r="M79" s="31"/>
      <c r="N79" s="31"/>
      <c r="O79" s="31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:27" ht="15.75" customHeight="1">
      <c r="A80" s="36" t="s">
        <v>12</v>
      </c>
      <c r="B80" s="76" t="s">
        <v>1</v>
      </c>
      <c r="C80" s="41">
        <f>C40+(C22-C21)*C29/100+C26*C27/100</f>
        <v>122.07400000000001</v>
      </c>
      <c r="D80" s="31" t="s">
        <v>19</v>
      </c>
      <c r="E80" s="74"/>
      <c r="F80" s="31"/>
      <c r="G80" s="31"/>
      <c r="H80" s="31"/>
      <c r="I80" s="31"/>
      <c r="J80" s="39"/>
      <c r="K80" s="31"/>
      <c r="L80" s="31"/>
      <c r="M80" s="31"/>
      <c r="N80" s="31"/>
      <c r="O80" s="31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:27" ht="15.75" customHeight="1">
      <c r="A81" s="36" t="s">
        <v>53</v>
      </c>
      <c r="B81" s="76" t="s">
        <v>1</v>
      </c>
      <c r="C81" s="41">
        <f>(((C23*(C22-2*C21)^3)/12+(C23*(C22-2*C21))*(C22/2-C21/2)^2)*2+(C20*C21*(C22-C21)^2)*2)/10000</f>
        <v>73220.74601373334</v>
      </c>
      <c r="D81" s="31" t="s">
        <v>22</v>
      </c>
      <c r="E81" s="74"/>
      <c r="F81" s="31"/>
      <c r="G81" s="31"/>
      <c r="H81" s="31"/>
      <c r="I81" s="31"/>
      <c r="J81" s="39"/>
      <c r="K81" s="31"/>
      <c r="L81" s="31"/>
      <c r="M81" s="31"/>
      <c r="N81" s="31"/>
      <c r="O81" s="31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 spans="1:27" ht="15.75" customHeight="1">
      <c r="A82" s="36" t="s">
        <v>54</v>
      </c>
      <c r="B82" s="76" t="s">
        <v>1</v>
      </c>
      <c r="C82" s="41">
        <f>C42+(C22*C23^3/120000)+(C27*C26^3/120000)</f>
        <v>1561.4951666666666</v>
      </c>
      <c r="D82" s="31" t="s">
        <v>22</v>
      </c>
      <c r="E82" s="74"/>
      <c r="F82" s="31"/>
      <c r="G82" s="31"/>
      <c r="H82" s="31"/>
      <c r="I82" s="31"/>
      <c r="J82" s="39"/>
      <c r="K82" s="31"/>
      <c r="L82" s="31"/>
      <c r="M82" s="31"/>
      <c r="N82" s="31"/>
      <c r="O82" s="31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:27" ht="15.75" customHeight="1">
      <c r="A83" s="36" t="s">
        <v>55</v>
      </c>
      <c r="B83" s="76" t="s">
        <v>1</v>
      </c>
      <c r="C83" s="95">
        <f>C81/C79</f>
        <v>2070.4296907601683</v>
      </c>
      <c r="D83" s="31" t="s">
        <v>20</v>
      </c>
      <c r="E83" s="74"/>
      <c r="F83" s="31"/>
      <c r="G83" s="31"/>
      <c r="H83" s="31"/>
      <c r="I83" s="31"/>
      <c r="J83" s="39"/>
      <c r="K83" s="31"/>
      <c r="L83" s="31"/>
      <c r="M83" s="31"/>
      <c r="N83" s="31"/>
      <c r="O83" s="31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:27" ht="15.75" customHeight="1">
      <c r="A84" s="36" t="s">
        <v>56</v>
      </c>
      <c r="B84" s="76" t="s">
        <v>1</v>
      </c>
      <c r="C84" s="41">
        <f>(C81/C80)^0.5</f>
        <v>24.49094184382943</v>
      </c>
      <c r="D84" s="31" t="s">
        <v>9</v>
      </c>
      <c r="E84" s="74"/>
      <c r="F84" s="31"/>
      <c r="G84" s="31"/>
      <c r="H84" s="31"/>
      <c r="I84" s="31"/>
      <c r="J84" s="39"/>
      <c r="K84" s="31"/>
      <c r="L84" s="31"/>
      <c r="M84" s="31"/>
      <c r="N84" s="31"/>
      <c r="O84" s="31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 spans="1:27" ht="15.75" customHeight="1">
      <c r="A85" s="36" t="s">
        <v>57</v>
      </c>
      <c r="B85" s="76" t="s">
        <v>1</v>
      </c>
      <c r="C85" s="41">
        <f>(C82/C80)^0.5</f>
        <v>3.5765041595482283</v>
      </c>
      <c r="D85" s="31" t="s">
        <v>9</v>
      </c>
      <c r="E85" s="74"/>
      <c r="F85" s="31"/>
      <c r="G85" s="31"/>
      <c r="H85" s="31"/>
      <c r="I85" s="31"/>
      <c r="J85" s="39"/>
      <c r="K85" s="31"/>
      <c r="L85" s="31"/>
      <c r="M85" s="31"/>
      <c r="N85" s="31"/>
      <c r="O85" s="31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 spans="1:27" ht="15.75" customHeight="1">
      <c r="A86" s="36"/>
      <c r="B86" s="76"/>
      <c r="C86" s="41"/>
      <c r="D86" s="31"/>
      <c r="E86" s="74"/>
      <c r="F86" s="31"/>
      <c r="G86" s="31"/>
      <c r="H86" s="31"/>
      <c r="I86" s="31"/>
      <c r="J86" s="39"/>
      <c r="K86" s="31"/>
      <c r="L86" s="31"/>
      <c r="M86" s="31"/>
      <c r="N86" s="31"/>
      <c r="O86" s="31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 spans="1:15" ht="15.75" customHeight="1">
      <c r="A87" s="30" t="s">
        <v>17</v>
      </c>
      <c r="B87" s="37" t="s">
        <v>1</v>
      </c>
      <c r="C87" s="15">
        <v>2.5</v>
      </c>
      <c r="D87" s="31" t="s">
        <v>0</v>
      </c>
      <c r="E87" s="37"/>
      <c r="F87" s="68"/>
      <c r="G87" s="31"/>
      <c r="H87" s="31"/>
      <c r="I87" s="31"/>
      <c r="J87" s="39"/>
      <c r="K87" s="31"/>
      <c r="L87" s="31"/>
      <c r="M87" s="31"/>
      <c r="N87" s="31"/>
      <c r="O87" s="31"/>
    </row>
    <row r="88" spans="1:15" ht="15.75" customHeight="1">
      <c r="A88" s="43" t="s">
        <v>58</v>
      </c>
      <c r="B88" s="34"/>
      <c r="C88" s="14">
        <v>1.5625</v>
      </c>
      <c r="D88" s="34" t="s">
        <v>0</v>
      </c>
      <c r="J88" s="47"/>
      <c r="K88" s="17"/>
      <c r="L88" s="17"/>
      <c r="M88" s="17"/>
      <c r="N88" s="17"/>
      <c r="O88" s="17"/>
    </row>
    <row r="89" spans="1:15" ht="15.75" customHeight="1">
      <c r="A89" s="43"/>
      <c r="B89" s="34"/>
      <c r="C89" s="38"/>
      <c r="D89" s="34"/>
      <c r="J89" s="47"/>
      <c r="K89" s="17"/>
      <c r="L89" s="17"/>
      <c r="M89" s="17"/>
      <c r="N89" s="17"/>
      <c r="O89" s="17"/>
    </row>
    <row r="90" spans="1:15" ht="15.75" customHeight="1">
      <c r="A90" s="40" t="s">
        <v>63</v>
      </c>
      <c r="B90" s="34"/>
      <c r="C90" s="38"/>
      <c r="D90" s="34"/>
      <c r="J90" s="47"/>
      <c r="K90" s="17"/>
      <c r="L90" s="17"/>
      <c r="M90" s="17"/>
      <c r="N90" s="17"/>
      <c r="O90" s="17"/>
    </row>
    <row r="91" spans="1:15" ht="15.75" customHeight="1">
      <c r="A91" s="50" t="s">
        <v>46</v>
      </c>
      <c r="B91" s="51" t="s">
        <v>1</v>
      </c>
      <c r="C91" s="51">
        <f>VLOOKUP(C19,P6:AB22,8,0)/VLOOKUP(C19,P6:AB22,5,0)</f>
        <v>37.325</v>
      </c>
      <c r="D91" s="25" t="s">
        <v>78</v>
      </c>
      <c r="E91" s="148" t="str">
        <f>IF(C91&lt;81.978,"Compact",IF(C91&lt;122.64,"Non compact","Slender"))</f>
        <v>Compact</v>
      </c>
      <c r="J91" s="52" t="s">
        <v>92</v>
      </c>
      <c r="K91" s="137"/>
      <c r="L91" s="137"/>
      <c r="M91" s="137"/>
      <c r="N91" s="137"/>
      <c r="O91" s="137"/>
    </row>
    <row r="92" spans="1:15" ht="15.75" customHeight="1">
      <c r="A92" s="50" t="s">
        <v>47</v>
      </c>
      <c r="B92" s="51" t="s">
        <v>1</v>
      </c>
      <c r="C92" s="51">
        <f>(C20/2-C23/2-VLOOKUP(C19,P6:AB22,7,0))/C21</f>
        <v>4.960629921259843</v>
      </c>
      <c r="D92" s="25" t="s">
        <v>79</v>
      </c>
      <c r="E92" s="148" t="str">
        <f>IF(C92&lt;10.9,"Compact",IF(C92&lt;14.646,"Non compact","Slender"))</f>
        <v>Compact</v>
      </c>
      <c r="J92" s="52" t="s">
        <v>93</v>
      </c>
      <c r="K92" s="137"/>
      <c r="L92" s="137"/>
      <c r="M92" s="137"/>
      <c r="N92" s="137"/>
      <c r="O92" s="137"/>
    </row>
    <row r="93" spans="1:15" ht="15.75" customHeight="1">
      <c r="A93" s="53" t="s">
        <v>44</v>
      </c>
      <c r="B93" s="149" t="str">
        <f>IF(AND(E91="Compact",E92="Compact"),"Compact",IF(AND(E91&lt;&gt;"Slender",E92&lt;&gt;"Slender",OR(E91="Non compact",E92="Non compact")),"Non compact","Slender"))</f>
        <v>Compact</v>
      </c>
      <c r="C93" s="26"/>
      <c r="D93" s="34"/>
      <c r="J93" s="47"/>
      <c r="K93" s="17"/>
      <c r="L93" s="17"/>
      <c r="M93" s="17"/>
      <c r="N93" s="17"/>
      <c r="O93" s="17"/>
    </row>
    <row r="94" spans="1:15" ht="15.75" customHeight="1">
      <c r="A94" s="53"/>
      <c r="B94" s="69"/>
      <c r="C94" s="26"/>
      <c r="D94" s="34"/>
      <c r="J94" s="47"/>
      <c r="K94" s="17"/>
      <c r="L94" s="17"/>
      <c r="M94" s="17"/>
      <c r="N94" s="17"/>
      <c r="O94" s="17"/>
    </row>
    <row r="95" spans="1:15" ht="15.75" customHeight="1">
      <c r="A95" s="40" t="s">
        <v>65</v>
      </c>
      <c r="B95" s="69"/>
      <c r="C95" s="26"/>
      <c r="D95" s="34"/>
      <c r="J95" s="47"/>
      <c r="K95" s="17"/>
      <c r="L95" s="17"/>
      <c r="M95" s="17"/>
      <c r="N95" s="17"/>
      <c r="O95" s="17"/>
    </row>
    <row r="96" spans="1:15" ht="15.75" customHeight="1">
      <c r="A96" s="36" t="s">
        <v>48</v>
      </c>
      <c r="B96" s="41" t="s">
        <v>1</v>
      </c>
      <c r="C96" s="41">
        <f>C13*100/C83</f>
        <v>1.1054999888258141</v>
      </c>
      <c r="D96" s="31" t="s">
        <v>21</v>
      </c>
      <c r="E96" s="31"/>
      <c r="F96" s="76"/>
      <c r="G96" s="76"/>
      <c r="H96" s="88"/>
      <c r="I96" s="88"/>
      <c r="J96" s="70"/>
      <c r="K96" s="139"/>
      <c r="L96" s="139"/>
      <c r="M96" s="139"/>
      <c r="N96" s="139"/>
      <c r="O96" s="139"/>
    </row>
    <row r="97" spans="1:15" ht="15.75" customHeight="1">
      <c r="A97" s="36" t="s">
        <v>23</v>
      </c>
      <c r="B97" s="41" t="s">
        <v>1</v>
      </c>
      <c r="C97" s="41">
        <f>C14/C80</f>
        <v>0.028460605862018117</v>
      </c>
      <c r="D97" s="31" t="s">
        <v>21</v>
      </c>
      <c r="E97" s="31"/>
      <c r="F97" s="74"/>
      <c r="G97" s="74"/>
      <c r="H97" s="74"/>
      <c r="I97" s="74"/>
      <c r="J97" s="39"/>
      <c r="K97" s="31"/>
      <c r="L97" s="31"/>
      <c r="M97" s="31"/>
      <c r="N97" s="31"/>
      <c r="O97" s="31"/>
    </row>
    <row r="98" spans="1:17" ht="15.75" customHeight="1">
      <c r="A98" s="157" t="s">
        <v>18</v>
      </c>
      <c r="B98" s="158" t="s">
        <v>1</v>
      </c>
      <c r="C98" s="31" t="s">
        <v>42</v>
      </c>
      <c r="D98" s="31"/>
      <c r="E98" s="17"/>
      <c r="F98" s="37">
        <f>(20*(C26/1000))/(H8^0.5)</f>
        <v>2.19469056285087</v>
      </c>
      <c r="G98" s="31" t="s">
        <v>0</v>
      </c>
      <c r="H98" s="159">
        <f>MIN(F98,F99)</f>
        <v>1.7551604693906406</v>
      </c>
      <c r="I98" s="159" t="s">
        <v>0</v>
      </c>
      <c r="J98" s="54" t="s">
        <v>95</v>
      </c>
      <c r="K98" s="37"/>
      <c r="L98" s="37"/>
      <c r="M98" s="37"/>
      <c r="N98" s="37"/>
      <c r="O98" s="37"/>
      <c r="Q98" s="79" t="s">
        <v>76</v>
      </c>
    </row>
    <row r="99" spans="1:24" ht="15.75" customHeight="1">
      <c r="A99" s="157"/>
      <c r="B99" s="158"/>
      <c r="C99" s="31" t="s">
        <v>43</v>
      </c>
      <c r="D99" s="31"/>
      <c r="E99" s="31"/>
      <c r="F99" s="41">
        <f>(1380*(C26*C27/100)/(H8*C28/10)*H53)/100</f>
        <v>1.7551604693906406</v>
      </c>
      <c r="G99" s="31" t="s">
        <v>0</v>
      </c>
      <c r="H99" s="159"/>
      <c r="I99" s="159"/>
      <c r="J99" s="54" t="s">
        <v>96</v>
      </c>
      <c r="K99" s="37"/>
      <c r="L99" s="37"/>
      <c r="M99" s="37"/>
      <c r="N99" s="37"/>
      <c r="O99" s="37"/>
      <c r="Q99" s="37" t="s">
        <v>67</v>
      </c>
      <c r="R99" s="37" t="s">
        <v>1</v>
      </c>
      <c r="S99" s="75">
        <f>MIN((800*C26*C27*H53)/(1000*C88*C28),0.58*H8)</f>
        <v>1.392</v>
      </c>
      <c r="T99" s="31" t="s">
        <v>21</v>
      </c>
      <c r="U99" s="76" t="s">
        <v>136</v>
      </c>
      <c r="V99" s="76" t="s">
        <v>1</v>
      </c>
      <c r="W99" s="74">
        <f>((C21*C20^3/12)+(C28*C29^3/36))/10000</f>
        <v>520.9651044444445</v>
      </c>
      <c r="X99" s="31" t="s">
        <v>22</v>
      </c>
    </row>
    <row r="100" spans="1:24" ht="15.75" customHeight="1">
      <c r="A100" s="36"/>
      <c r="B100" s="31" t="s">
        <v>75</v>
      </c>
      <c r="C100" s="31"/>
      <c r="D100" s="31"/>
      <c r="E100" s="31"/>
      <c r="F100" s="151" t="str">
        <f>IF(AND(H98&lt;C88),"There is LTB","There is no LTB")</f>
        <v>There is no LTB</v>
      </c>
      <c r="G100" s="45"/>
      <c r="H100" s="74"/>
      <c r="I100" s="74"/>
      <c r="J100" s="39"/>
      <c r="K100" s="31"/>
      <c r="L100" s="31"/>
      <c r="M100" s="31"/>
      <c r="N100" s="31"/>
      <c r="O100" s="31"/>
      <c r="Q100" s="37" t="s">
        <v>137</v>
      </c>
      <c r="R100" s="37" t="s">
        <v>1</v>
      </c>
      <c r="S100" s="76">
        <f>(C26*C27+C28*C29/6)/100</f>
        <v>31.020666666666667</v>
      </c>
      <c r="T100" s="31" t="s">
        <v>19</v>
      </c>
      <c r="U100" s="76" t="s">
        <v>33</v>
      </c>
      <c r="V100" s="76" t="s">
        <v>1</v>
      </c>
      <c r="W100" s="74">
        <f>(W99/S100)^0.5</f>
        <v>4.098064160459825</v>
      </c>
      <c r="X100" s="31" t="s">
        <v>9</v>
      </c>
    </row>
    <row r="101" spans="1:24" ht="15.75" customHeight="1">
      <c r="A101" s="36" t="s">
        <v>38</v>
      </c>
      <c r="B101" s="37" t="s">
        <v>1</v>
      </c>
      <c r="C101" s="37">
        <f>IF(F100="There is LTB",S106,S107)</f>
        <v>1.536</v>
      </c>
      <c r="D101" s="31" t="s">
        <v>21</v>
      </c>
      <c r="E101" s="31"/>
      <c r="F101" s="172" t="s">
        <v>39</v>
      </c>
      <c r="G101" s="172"/>
      <c r="H101" s="124" t="s">
        <v>45</v>
      </c>
      <c r="I101" s="98"/>
      <c r="J101" s="71"/>
      <c r="K101" s="138"/>
      <c r="L101" s="138"/>
      <c r="M101" s="138"/>
      <c r="N101" s="138"/>
      <c r="O101" s="138"/>
      <c r="Q101" s="37" t="s">
        <v>35</v>
      </c>
      <c r="R101" s="37" t="s">
        <v>1</v>
      </c>
      <c r="S101" s="76">
        <f>C88*100/W100</f>
        <v>38.127758346874664</v>
      </c>
      <c r="T101" s="74"/>
      <c r="U101" s="76">
        <f>84*(H53/H8)^0.5</f>
        <v>54.22176684690383</v>
      </c>
      <c r="V101" s="76">
        <f>188*(H53/H8)^0.5</f>
        <v>121.35347818116573</v>
      </c>
      <c r="W101" s="74"/>
      <c r="X101" s="31"/>
    </row>
    <row r="102" spans="1:24" ht="15.75" customHeight="1">
      <c r="A102" s="36" t="s">
        <v>49</v>
      </c>
      <c r="B102" s="37" t="s">
        <v>1</v>
      </c>
      <c r="C102" s="37">
        <f>IF(H101="no",C101,IF(H98&gt;C33,S118,S117))</f>
        <v>1.536</v>
      </c>
      <c r="D102" s="31" t="s">
        <v>21</v>
      </c>
      <c r="E102" s="31"/>
      <c r="F102" s="56"/>
      <c r="G102" s="45"/>
      <c r="H102" s="74"/>
      <c r="I102" s="74"/>
      <c r="J102" s="39"/>
      <c r="K102" s="31"/>
      <c r="L102" s="31"/>
      <c r="M102" s="31"/>
      <c r="N102" s="31"/>
      <c r="O102" s="31"/>
      <c r="Q102" s="37" t="s">
        <v>34</v>
      </c>
      <c r="R102" s="37" t="s">
        <v>1</v>
      </c>
      <c r="S102" s="76">
        <f>0.58*H8</f>
        <v>1.392</v>
      </c>
      <c r="T102" s="31" t="s">
        <v>21</v>
      </c>
      <c r="U102" s="76"/>
      <c r="V102" s="76"/>
      <c r="W102" s="74"/>
      <c r="X102" s="31"/>
    </row>
    <row r="103" spans="1:24" ht="15.75" customHeight="1">
      <c r="A103" s="36" t="s">
        <v>24</v>
      </c>
      <c r="B103" s="41" t="s">
        <v>1</v>
      </c>
      <c r="C103" s="41">
        <f>0.65*C32</f>
        <v>16.25</v>
      </c>
      <c r="D103" s="74" t="s">
        <v>0</v>
      </c>
      <c r="E103" s="74"/>
      <c r="F103" s="74"/>
      <c r="G103" s="57"/>
      <c r="H103" s="31"/>
      <c r="I103" s="31"/>
      <c r="J103" s="39"/>
      <c r="K103" s="31"/>
      <c r="L103" s="31"/>
      <c r="M103" s="31"/>
      <c r="N103" s="31"/>
      <c r="O103" s="31"/>
      <c r="Q103" s="37" t="s">
        <v>36</v>
      </c>
      <c r="R103" s="37" t="s">
        <v>1</v>
      </c>
      <c r="S103" s="76">
        <f>IF(U103&gt;0.58*H8,0.58*H8,U103)</f>
        <v>1.392</v>
      </c>
      <c r="T103" s="31" t="s">
        <v>21</v>
      </c>
      <c r="U103" s="76">
        <f>(0.64-((S101^2*H8)/(1.176*10^5*H53)))*H8</f>
        <v>1.4647970960053385</v>
      </c>
      <c r="V103" s="76"/>
      <c r="W103" s="77"/>
      <c r="X103" s="31"/>
    </row>
    <row r="104" spans="1:24" ht="15.75" customHeight="1">
      <c r="A104" s="36" t="s">
        <v>25</v>
      </c>
      <c r="B104" s="41" t="s">
        <v>1</v>
      </c>
      <c r="C104" s="41">
        <f>C33</f>
        <v>1.5625</v>
      </c>
      <c r="D104" s="31" t="s">
        <v>0</v>
      </c>
      <c r="E104" s="31"/>
      <c r="F104" s="31"/>
      <c r="G104" s="31"/>
      <c r="H104" s="31"/>
      <c r="I104" s="31"/>
      <c r="J104" s="39"/>
      <c r="K104" s="31"/>
      <c r="L104" s="31"/>
      <c r="M104" s="31"/>
      <c r="N104" s="31"/>
      <c r="O104" s="31"/>
      <c r="Q104" s="37" t="s">
        <v>37</v>
      </c>
      <c r="R104" s="37" t="s">
        <v>1</v>
      </c>
      <c r="S104" s="76">
        <f>IF(U104&gt;0.58*H8,0.58*H8,U104)</f>
        <v>1.392</v>
      </c>
      <c r="T104" s="31" t="s">
        <v>21</v>
      </c>
      <c r="U104" s="76">
        <f>(12000*H53)/S101^2</f>
        <v>8.254650710382325</v>
      </c>
      <c r="V104" s="76"/>
      <c r="W104" s="74"/>
      <c r="X104" s="74"/>
    </row>
    <row r="105" spans="1:24" ht="15.75" customHeight="1">
      <c r="A105" s="58" t="s">
        <v>26</v>
      </c>
      <c r="B105" s="41" t="s">
        <v>1</v>
      </c>
      <c r="C105" s="41">
        <f>C103*100/C84</f>
        <v>66.35106197066995</v>
      </c>
      <c r="D105" s="31"/>
      <c r="E105" s="31"/>
      <c r="F105" s="31"/>
      <c r="G105" s="31"/>
      <c r="H105" s="31"/>
      <c r="I105" s="31"/>
      <c r="J105" s="39"/>
      <c r="K105" s="31"/>
      <c r="L105" s="31"/>
      <c r="M105" s="31"/>
      <c r="N105" s="31"/>
      <c r="O105" s="31"/>
      <c r="Q105" s="37" t="s">
        <v>68</v>
      </c>
      <c r="R105" s="37" t="s">
        <v>1</v>
      </c>
      <c r="S105" s="76">
        <f>IF(S101&lt;U101,S102,IF(AND(S101&gt;U101,S101&lt;V101),S103,S104))</f>
        <v>1.392</v>
      </c>
      <c r="T105" s="31" t="s">
        <v>21</v>
      </c>
      <c r="U105" s="37" t="s">
        <v>38</v>
      </c>
      <c r="V105" s="37" t="s">
        <v>1</v>
      </c>
      <c r="W105" s="76">
        <f>(S99^2+S105^2)^0.5</f>
        <v>1.9685852788233482</v>
      </c>
      <c r="X105" s="31" t="s">
        <v>21</v>
      </c>
    </row>
    <row r="106" spans="1:24" ht="15.75" customHeight="1">
      <c r="A106" s="58" t="s">
        <v>27</v>
      </c>
      <c r="B106" s="41" t="s">
        <v>1</v>
      </c>
      <c r="C106" s="41">
        <f>C104*100/C85</f>
        <v>43.68791228240511</v>
      </c>
      <c r="D106" s="31"/>
      <c r="E106" s="31"/>
      <c r="F106" s="31"/>
      <c r="G106" s="31"/>
      <c r="H106" s="31"/>
      <c r="I106" s="31"/>
      <c r="J106" s="39"/>
      <c r="K106" s="31"/>
      <c r="L106" s="31"/>
      <c r="M106" s="31"/>
      <c r="N106" s="31"/>
      <c r="O106" s="31"/>
      <c r="Q106" s="37" t="s">
        <v>138</v>
      </c>
      <c r="R106" s="37" t="s">
        <v>1</v>
      </c>
      <c r="S106" s="76">
        <f>IF(W105&gt;0.58*H8,0.58*H8,W105)</f>
        <v>1.392</v>
      </c>
      <c r="T106" s="31" t="s">
        <v>21</v>
      </c>
      <c r="U106" s="31"/>
      <c r="V106" s="74"/>
      <c r="W106" s="74"/>
      <c r="X106" s="74"/>
    </row>
    <row r="107" spans="1:24" ht="15.75" customHeight="1">
      <c r="A107" s="30"/>
      <c r="B107" s="31"/>
      <c r="C107" s="59" t="s">
        <v>28</v>
      </c>
      <c r="D107" s="37" t="s">
        <v>1</v>
      </c>
      <c r="E107" s="41">
        <f>MAX(C105,C106)</f>
        <v>66.35106197066995</v>
      </c>
      <c r="F107" s="31" t="s">
        <v>13</v>
      </c>
      <c r="G107" s="150" t="str">
        <f>IF(AND(E107&lt;180),"SAFE","Unsafe")</f>
        <v>SAFE</v>
      </c>
      <c r="H107" s="74"/>
      <c r="I107" s="74"/>
      <c r="J107" s="52" t="s">
        <v>97</v>
      </c>
      <c r="K107" s="137"/>
      <c r="L107" s="137"/>
      <c r="M107" s="137"/>
      <c r="N107" s="137"/>
      <c r="O107" s="137"/>
      <c r="Q107" s="37" t="s">
        <v>69</v>
      </c>
      <c r="R107" s="37" t="s">
        <v>1</v>
      </c>
      <c r="S107" s="37">
        <f>IF(B93="Compact",0.64*H8,0.58*H8)</f>
        <v>1.536</v>
      </c>
      <c r="T107" s="31" t="s">
        <v>21</v>
      </c>
      <c r="U107" s="37"/>
      <c r="V107" s="37"/>
      <c r="W107" s="37"/>
      <c r="X107" s="31"/>
    </row>
    <row r="108" spans="1:15" ht="15.75" customHeight="1">
      <c r="A108" s="36" t="s">
        <v>51</v>
      </c>
      <c r="B108" s="41" t="s">
        <v>1</v>
      </c>
      <c r="C108" s="41">
        <f>IF(AND(E107&lt;100),(P4-Q4*(E107)^2),(7500/(E107)^2))</f>
        <v>1.1138398773986804</v>
      </c>
      <c r="D108" s="31" t="s">
        <v>21</v>
      </c>
      <c r="E108" s="31"/>
      <c r="F108" s="31"/>
      <c r="G108" s="37"/>
      <c r="H108" s="31"/>
      <c r="I108" s="31"/>
      <c r="J108" s="39"/>
      <c r="K108" s="31"/>
      <c r="L108" s="31"/>
      <c r="M108" s="31"/>
      <c r="N108" s="31"/>
      <c r="O108" s="31"/>
    </row>
    <row r="109" spans="1:17" ht="15.75" customHeight="1">
      <c r="A109" s="36" t="s">
        <v>52</v>
      </c>
      <c r="B109" s="41" t="s">
        <v>1</v>
      </c>
      <c r="C109" s="41">
        <f>C97/C108</f>
        <v>0.025551792891889</v>
      </c>
      <c r="D109" s="31"/>
      <c r="E109" s="27"/>
      <c r="F109" s="27"/>
      <c r="G109" s="147"/>
      <c r="H109" s="31"/>
      <c r="I109" s="31"/>
      <c r="J109" s="39"/>
      <c r="K109" s="31"/>
      <c r="L109" s="31"/>
      <c r="M109" s="31"/>
      <c r="N109" s="31"/>
      <c r="O109" s="31"/>
      <c r="Q109" s="79" t="s">
        <v>77</v>
      </c>
    </row>
    <row r="110" spans="1:24" ht="15.75" customHeight="1" thickBot="1">
      <c r="A110" s="153" t="s">
        <v>29</v>
      </c>
      <c r="B110" s="96" t="s">
        <v>1</v>
      </c>
      <c r="C110" s="96" t="str">
        <f>IF(AND(C109&lt;0.15),"1.00",MAX((0.85/(1-C97/(7500/(C105)^2))),1))</f>
        <v>1.00</v>
      </c>
      <c r="D110" s="55"/>
      <c r="E110" s="55"/>
      <c r="F110" s="55"/>
      <c r="G110" s="156"/>
      <c r="H110" s="55"/>
      <c r="I110" s="55"/>
      <c r="J110" s="97"/>
      <c r="K110" s="31"/>
      <c r="L110" s="31"/>
      <c r="M110" s="31"/>
      <c r="N110" s="31"/>
      <c r="O110" s="31"/>
      <c r="Q110" s="37" t="s">
        <v>67</v>
      </c>
      <c r="R110" s="37" t="s">
        <v>1</v>
      </c>
      <c r="S110" s="75">
        <f>MIN((800*C26*C27*H53)/(1000*C33*C28),0.58*H8)</f>
        <v>1.392</v>
      </c>
      <c r="T110" s="31" t="s">
        <v>21</v>
      </c>
      <c r="U110" s="76" t="s">
        <v>136</v>
      </c>
      <c r="V110" s="76" t="s">
        <v>1</v>
      </c>
      <c r="W110" s="74">
        <f>((C21*C20^3/12)+(C28*C29^3/36))/10000</f>
        <v>520.9651044444445</v>
      </c>
      <c r="X110" s="31" t="s">
        <v>22</v>
      </c>
    </row>
    <row r="111" spans="1:24" ht="15.75" customHeight="1">
      <c r="A111" s="60" t="s">
        <v>14</v>
      </c>
      <c r="B111" s="74"/>
      <c r="C111" s="31"/>
      <c r="D111" s="31"/>
      <c r="E111" s="37"/>
      <c r="F111" s="41"/>
      <c r="G111" s="37"/>
      <c r="H111" s="61"/>
      <c r="I111" s="61"/>
      <c r="J111" s="62"/>
      <c r="K111" s="61"/>
      <c r="L111" s="61"/>
      <c r="M111" s="61"/>
      <c r="N111" s="61"/>
      <c r="O111" s="61"/>
      <c r="Q111" s="37" t="s">
        <v>137</v>
      </c>
      <c r="R111" s="37" t="s">
        <v>1</v>
      </c>
      <c r="S111" s="76">
        <f>(C26*C27+C28*C29/6)/100</f>
        <v>31.020666666666667</v>
      </c>
      <c r="T111" s="31" t="s">
        <v>19</v>
      </c>
      <c r="U111" s="76" t="s">
        <v>33</v>
      </c>
      <c r="V111" s="76" t="s">
        <v>1</v>
      </c>
      <c r="W111" s="74">
        <f>(W110/S111)^0.5</f>
        <v>4.098064160459825</v>
      </c>
      <c r="X111" s="31" t="s">
        <v>9</v>
      </c>
    </row>
    <row r="112" spans="1:24" ht="15.75" customHeight="1">
      <c r="A112" s="30" t="s">
        <v>50</v>
      </c>
      <c r="B112" s="31"/>
      <c r="C112" s="63">
        <f>C109+(C96/C102)*C110</f>
        <v>0.7452783481170284</v>
      </c>
      <c r="D112" s="41" t="str">
        <f>IF(C112&gt;E112,"&gt;","&lt;")</f>
        <v>&lt;</v>
      </c>
      <c r="E112" s="99">
        <f>IF(E13="a",1,1.2)</f>
        <v>1</v>
      </c>
      <c r="F112" s="99"/>
      <c r="G112" s="150" t="str">
        <f>IF(AND(C112&lt;E112),"SAFE","Unsafe")</f>
        <v>SAFE</v>
      </c>
      <c r="H112" s="99"/>
      <c r="I112" s="65"/>
      <c r="J112" s="54" t="s">
        <v>99</v>
      </c>
      <c r="K112" s="37"/>
      <c r="L112" s="37"/>
      <c r="M112" s="37"/>
      <c r="N112" s="37"/>
      <c r="O112" s="37"/>
      <c r="Q112" s="37" t="s">
        <v>35</v>
      </c>
      <c r="R112" s="37" t="s">
        <v>1</v>
      </c>
      <c r="S112" s="76">
        <f>C33*100/W100</f>
        <v>38.127758346874664</v>
      </c>
      <c r="T112" s="74"/>
      <c r="U112" s="76">
        <f>84*(H53/H8)^0.5</f>
        <v>54.22176684690383</v>
      </c>
      <c r="V112" s="76">
        <f>188*(H53/H8)^0.5</f>
        <v>121.35347818116573</v>
      </c>
      <c r="W112" s="74"/>
      <c r="X112" s="31"/>
    </row>
    <row r="113" spans="1:24" ht="15.75" customHeight="1">
      <c r="A113" s="100"/>
      <c r="J113" s="47"/>
      <c r="K113" s="17"/>
      <c r="L113" s="17"/>
      <c r="M113" s="17"/>
      <c r="N113" s="17"/>
      <c r="O113" s="17"/>
      <c r="Q113" s="37" t="s">
        <v>34</v>
      </c>
      <c r="R113" s="37" t="s">
        <v>1</v>
      </c>
      <c r="S113" s="76">
        <f>0.58*H8</f>
        <v>1.392</v>
      </c>
      <c r="T113" s="31" t="s">
        <v>21</v>
      </c>
      <c r="U113" s="76"/>
      <c r="V113" s="76"/>
      <c r="W113" s="74"/>
      <c r="X113" s="31"/>
    </row>
    <row r="114" spans="1:24" ht="15.75" customHeight="1">
      <c r="A114" s="100"/>
      <c r="J114" s="47"/>
      <c r="K114" s="17"/>
      <c r="L114" s="17"/>
      <c r="M114" s="17"/>
      <c r="N114" s="17"/>
      <c r="O114" s="17"/>
      <c r="Q114" s="37" t="s">
        <v>36</v>
      </c>
      <c r="R114" s="37" t="s">
        <v>1</v>
      </c>
      <c r="S114" s="76">
        <f>IF(U114&gt;0.58*H8,0.58*H8,U114)</f>
        <v>1.392</v>
      </c>
      <c r="T114" s="31" t="s">
        <v>21</v>
      </c>
      <c r="U114" s="76">
        <f>(0.64-((S112^2*H8)/(1.176*10^5*H53)))*H8</f>
        <v>1.4647970960053385</v>
      </c>
      <c r="V114" s="76"/>
      <c r="W114" s="77"/>
      <c r="X114" s="31"/>
    </row>
    <row r="115" spans="1:24" ht="15.75" customHeight="1">
      <c r="A115" s="100"/>
      <c r="J115" s="47"/>
      <c r="K115" s="17"/>
      <c r="L115" s="17"/>
      <c r="M115" s="17"/>
      <c r="N115" s="17"/>
      <c r="O115" s="17"/>
      <c r="Q115" s="37" t="s">
        <v>37</v>
      </c>
      <c r="R115" s="37" t="s">
        <v>1</v>
      </c>
      <c r="S115" s="76">
        <f>IF(U115&gt;0.58*H8,0.58*H8,U115)</f>
        <v>1.392</v>
      </c>
      <c r="T115" s="31" t="s">
        <v>21</v>
      </c>
      <c r="U115" s="76">
        <f>(12000*H53)/S112^2</f>
        <v>8.254650710382325</v>
      </c>
      <c r="V115" s="76"/>
      <c r="W115" s="74"/>
      <c r="X115" s="74"/>
    </row>
    <row r="116" spans="1:24" ht="15.75" customHeight="1">
      <c r="A116" s="100"/>
      <c r="B116" s="17"/>
      <c r="C116" s="17"/>
      <c r="D116" s="17"/>
      <c r="E116" s="17"/>
      <c r="F116" s="17"/>
      <c r="G116" s="17"/>
      <c r="H116" s="17"/>
      <c r="I116" s="18"/>
      <c r="J116" s="47"/>
      <c r="K116" s="17"/>
      <c r="L116" s="17"/>
      <c r="M116" s="17"/>
      <c r="N116" s="17"/>
      <c r="O116" s="17"/>
      <c r="Q116" s="37" t="s">
        <v>68</v>
      </c>
      <c r="R116" s="37" t="s">
        <v>1</v>
      </c>
      <c r="S116" s="76">
        <f>IF(S112&lt;U112,S113,IF(AND(S112&gt;U112,S112&lt;V112),S114,S115))</f>
        <v>1.392</v>
      </c>
      <c r="T116" s="31" t="s">
        <v>21</v>
      </c>
      <c r="U116" s="37" t="s">
        <v>38</v>
      </c>
      <c r="V116" s="37" t="s">
        <v>1</v>
      </c>
      <c r="W116" s="76">
        <f>(S110^2+S116^2)^0.5</f>
        <v>1.9685852788233482</v>
      </c>
      <c r="X116" s="31" t="s">
        <v>21</v>
      </c>
    </row>
    <row r="117" spans="1:24" ht="15.75" customHeight="1">
      <c r="A117" s="100"/>
      <c r="J117" s="47"/>
      <c r="K117" s="17"/>
      <c r="L117" s="17"/>
      <c r="M117" s="17"/>
      <c r="N117" s="17"/>
      <c r="O117" s="17"/>
      <c r="Q117" s="37" t="s">
        <v>138</v>
      </c>
      <c r="R117" s="37" t="s">
        <v>1</v>
      </c>
      <c r="S117" s="76">
        <f>IF(W116&gt;0.58*H8,0.58*H8,W116)</f>
        <v>1.392</v>
      </c>
      <c r="T117" s="31" t="s">
        <v>21</v>
      </c>
      <c r="U117" s="31"/>
      <c r="V117" s="74"/>
      <c r="W117" s="74"/>
      <c r="X117" s="74"/>
    </row>
    <row r="118" spans="1:24" ht="15.75" customHeight="1">
      <c r="A118" s="100"/>
      <c r="J118" s="47"/>
      <c r="K118" s="17"/>
      <c r="L118" s="17"/>
      <c r="M118" s="17"/>
      <c r="N118" s="17"/>
      <c r="O118" s="17"/>
      <c r="Q118" s="37" t="s">
        <v>69</v>
      </c>
      <c r="R118" s="37" t="s">
        <v>1</v>
      </c>
      <c r="S118" s="37">
        <f>IF(B93="Compact",0.64*H8,0.58*H8)</f>
        <v>1.536</v>
      </c>
      <c r="T118" s="31" t="s">
        <v>21</v>
      </c>
      <c r="U118" s="37"/>
      <c r="V118" s="37"/>
      <c r="W118" s="37"/>
      <c r="X118" s="31"/>
    </row>
    <row r="119" spans="1:15" ht="15.75" customHeight="1">
      <c r="A119" s="100"/>
      <c r="J119" s="47"/>
      <c r="K119" s="17"/>
      <c r="L119" s="17"/>
      <c r="M119" s="17"/>
      <c r="N119" s="17"/>
      <c r="O119" s="17"/>
    </row>
    <row r="120" spans="1:15" ht="15.75" customHeight="1">
      <c r="A120" s="100"/>
      <c r="J120" s="47"/>
      <c r="K120" s="17"/>
      <c r="L120" s="17"/>
      <c r="M120" s="17"/>
      <c r="N120" s="17"/>
      <c r="O120" s="17"/>
    </row>
    <row r="121" spans="1:15" ht="15.75" customHeight="1">
      <c r="A121" s="100"/>
      <c r="J121" s="47"/>
      <c r="K121" s="17"/>
      <c r="L121" s="17"/>
      <c r="M121" s="17"/>
      <c r="N121" s="17"/>
      <c r="O121" s="17"/>
    </row>
    <row r="122" spans="1:15" ht="15.75" customHeight="1">
      <c r="A122" s="100"/>
      <c r="J122" s="47"/>
      <c r="K122" s="17"/>
      <c r="L122" s="17"/>
      <c r="M122" s="17"/>
      <c r="N122" s="17"/>
      <c r="O122" s="17"/>
    </row>
    <row r="123" spans="1:15" ht="15.75" customHeight="1">
      <c r="A123" s="100"/>
      <c r="J123" s="47"/>
      <c r="K123" s="17"/>
      <c r="L123" s="17"/>
      <c r="M123" s="17"/>
      <c r="N123" s="17"/>
      <c r="O123" s="17"/>
    </row>
    <row r="124" spans="1:15" ht="15.75" customHeight="1">
      <c r="A124" s="100"/>
      <c r="J124" s="47"/>
      <c r="K124" s="17"/>
      <c r="L124" s="17"/>
      <c r="M124" s="17"/>
      <c r="N124" s="17"/>
      <c r="O124" s="17"/>
    </row>
    <row r="125" spans="1:15" ht="15.75" customHeight="1">
      <c r="A125" s="100"/>
      <c r="J125" s="47"/>
      <c r="K125" s="17"/>
      <c r="L125" s="17"/>
      <c r="M125" s="17"/>
      <c r="N125" s="17"/>
      <c r="O125" s="17"/>
    </row>
    <row r="126" spans="1:15" ht="15.75" customHeight="1">
      <c r="A126" s="100"/>
      <c r="J126" s="47"/>
      <c r="K126" s="17"/>
      <c r="L126" s="17"/>
      <c r="M126" s="17"/>
      <c r="N126" s="17"/>
      <c r="O126" s="17"/>
    </row>
    <row r="127" spans="1:15" ht="15.75" customHeight="1">
      <c r="A127" s="100"/>
      <c r="J127" s="47"/>
      <c r="K127" s="17"/>
      <c r="L127" s="17"/>
      <c r="M127" s="17"/>
      <c r="N127" s="17"/>
      <c r="O127" s="17"/>
    </row>
    <row r="128" spans="1:15" ht="15.75" customHeight="1">
      <c r="A128" s="100"/>
      <c r="J128" s="47"/>
      <c r="K128" s="17"/>
      <c r="L128" s="17"/>
      <c r="M128" s="17"/>
      <c r="N128" s="17"/>
      <c r="O128" s="17"/>
    </row>
    <row r="129" spans="1:15" ht="15.75" customHeight="1">
      <c r="A129" s="100"/>
      <c r="J129" s="47"/>
      <c r="K129" s="17"/>
      <c r="L129" s="17"/>
      <c r="M129" s="17"/>
      <c r="N129" s="17"/>
      <c r="O129" s="17"/>
    </row>
    <row r="130" spans="1:15" ht="15.75" customHeight="1">
      <c r="A130" s="100"/>
      <c r="J130" s="47"/>
      <c r="K130" s="17"/>
      <c r="L130" s="17"/>
      <c r="M130" s="17"/>
      <c r="N130" s="17"/>
      <c r="O130" s="17"/>
    </row>
    <row r="131" spans="1:15" ht="15.75" customHeight="1">
      <c r="A131" s="100"/>
      <c r="J131" s="47"/>
      <c r="K131" s="17"/>
      <c r="L131" s="17"/>
      <c r="M131" s="17"/>
      <c r="N131" s="17"/>
      <c r="O131" s="17"/>
    </row>
    <row r="132" spans="1:15" ht="15.75" customHeight="1">
      <c r="A132" s="100"/>
      <c r="J132" s="47"/>
      <c r="K132" s="17"/>
      <c r="L132" s="17"/>
      <c r="M132" s="17"/>
      <c r="N132" s="17"/>
      <c r="O132" s="17"/>
    </row>
    <row r="133" spans="1:15" ht="15.75" customHeight="1">
      <c r="A133" s="100"/>
      <c r="J133" s="47"/>
      <c r="K133" s="17"/>
      <c r="L133" s="17"/>
      <c r="M133" s="17"/>
      <c r="N133" s="17"/>
      <c r="O133" s="17"/>
    </row>
    <row r="134" spans="1:15" ht="15.75" customHeight="1">
      <c r="A134" s="100"/>
      <c r="J134" s="47"/>
      <c r="K134" s="17"/>
      <c r="L134" s="17"/>
      <c r="M134" s="17"/>
      <c r="N134" s="17"/>
      <c r="O134" s="17"/>
    </row>
    <row r="135" spans="1:15" ht="15.75" customHeight="1">
      <c r="A135" s="100"/>
      <c r="J135" s="47"/>
      <c r="K135" s="17"/>
      <c r="L135" s="17"/>
      <c r="M135" s="17"/>
      <c r="N135" s="17"/>
      <c r="O135" s="17"/>
    </row>
    <row r="136" spans="1:15" ht="15.75" customHeight="1">
      <c r="A136" s="100"/>
      <c r="J136" s="47"/>
      <c r="K136" s="17"/>
      <c r="L136" s="17"/>
      <c r="M136" s="17"/>
      <c r="N136" s="17"/>
      <c r="O136" s="17"/>
    </row>
    <row r="137" spans="1:15" ht="15.75" customHeight="1">
      <c r="A137" s="100"/>
      <c r="J137" s="47"/>
      <c r="K137" s="17"/>
      <c r="L137" s="17"/>
      <c r="M137" s="17"/>
      <c r="N137" s="17"/>
      <c r="O137" s="17"/>
    </row>
    <row r="138" spans="1:15" ht="15.75" customHeight="1">
      <c r="A138" s="100"/>
      <c r="J138" s="47"/>
      <c r="K138" s="17"/>
      <c r="L138" s="17"/>
      <c r="M138" s="17"/>
      <c r="N138" s="17"/>
      <c r="O138" s="17"/>
    </row>
    <row r="139" spans="1:15" ht="15.75" customHeight="1">
      <c r="A139" s="100"/>
      <c r="J139" s="47"/>
      <c r="K139" s="17"/>
      <c r="L139" s="17"/>
      <c r="M139" s="17"/>
      <c r="N139" s="17"/>
      <c r="O139" s="17"/>
    </row>
    <row r="140" spans="1:15" ht="15.75" customHeight="1">
      <c r="A140" s="100"/>
      <c r="J140" s="47"/>
      <c r="K140" s="17"/>
      <c r="L140" s="17"/>
      <c r="M140" s="17"/>
      <c r="N140" s="17"/>
      <c r="O140" s="17"/>
    </row>
    <row r="141" spans="1:15" ht="15.75" customHeight="1">
      <c r="A141" s="100"/>
      <c r="J141" s="47"/>
      <c r="K141" s="17"/>
      <c r="L141" s="17"/>
      <c r="M141" s="17"/>
      <c r="N141" s="17"/>
      <c r="O141" s="17"/>
    </row>
    <row r="142" spans="1:15" ht="15.75" customHeight="1">
      <c r="A142" s="100"/>
      <c r="J142" s="47"/>
      <c r="K142" s="17"/>
      <c r="L142" s="17"/>
      <c r="M142" s="17"/>
      <c r="N142" s="17"/>
      <c r="O142" s="17"/>
    </row>
    <row r="143" spans="1:15" ht="15.75" customHeight="1">
      <c r="A143" s="100"/>
      <c r="J143" s="47"/>
      <c r="K143" s="17"/>
      <c r="L143" s="17"/>
      <c r="M143" s="17"/>
      <c r="N143" s="17"/>
      <c r="O143" s="17"/>
    </row>
    <row r="144" spans="1:15" ht="15.75" customHeight="1">
      <c r="A144" s="100"/>
      <c r="J144" s="47"/>
      <c r="K144" s="17"/>
      <c r="L144" s="17"/>
      <c r="M144" s="17"/>
      <c r="N144" s="17"/>
      <c r="O144" s="17"/>
    </row>
    <row r="145" spans="1:15" ht="15.75" customHeight="1">
      <c r="A145" s="100"/>
      <c r="J145" s="47"/>
      <c r="K145" s="17"/>
      <c r="L145" s="17"/>
      <c r="M145" s="17"/>
      <c r="N145" s="17"/>
      <c r="O145" s="17"/>
    </row>
    <row r="146" spans="1:15" ht="15.75" customHeight="1">
      <c r="A146" s="100"/>
      <c r="J146" s="47"/>
      <c r="K146" s="17"/>
      <c r="L146" s="17"/>
      <c r="M146" s="17"/>
      <c r="N146" s="17"/>
      <c r="O146" s="17"/>
    </row>
    <row r="147" spans="1:15" ht="15.75" customHeight="1">
      <c r="A147" s="100"/>
      <c r="J147" s="47"/>
      <c r="K147" s="17"/>
      <c r="L147" s="17"/>
      <c r="M147" s="17"/>
      <c r="N147" s="17"/>
      <c r="O147" s="17"/>
    </row>
    <row r="148" spans="1:15" ht="15.75" customHeight="1">
      <c r="A148" s="100"/>
      <c r="J148" s="47"/>
      <c r="K148" s="17"/>
      <c r="L148" s="17"/>
      <c r="M148" s="17"/>
      <c r="N148" s="17"/>
      <c r="O148" s="17"/>
    </row>
    <row r="149" spans="1:15" ht="15.75" customHeight="1">
      <c r="A149" s="100"/>
      <c r="J149" s="47"/>
      <c r="K149" s="17"/>
      <c r="L149" s="17"/>
      <c r="M149" s="17"/>
      <c r="N149" s="17"/>
      <c r="O149" s="17"/>
    </row>
    <row r="150" spans="1:15" ht="15.75" customHeight="1">
      <c r="A150" s="100"/>
      <c r="B150" s="17"/>
      <c r="C150" s="17"/>
      <c r="D150" s="17"/>
      <c r="E150" s="17"/>
      <c r="F150" s="17"/>
      <c r="G150" s="17"/>
      <c r="H150" s="17"/>
      <c r="I150" s="17"/>
      <c r="J150" s="47"/>
      <c r="K150" s="17"/>
      <c r="L150" s="17"/>
      <c r="M150" s="17"/>
      <c r="N150" s="17"/>
      <c r="O150" s="17"/>
    </row>
    <row r="151" spans="1:10" ht="15.75" customHeight="1">
      <c r="A151" s="100"/>
      <c r="J151" s="47"/>
    </row>
    <row r="152" spans="1:10" ht="15.75" customHeight="1">
      <c r="A152" s="100"/>
      <c r="J152" s="47"/>
    </row>
    <row r="153" spans="1:10" ht="15.75" customHeight="1">
      <c r="A153" s="100"/>
      <c r="J153" s="47"/>
    </row>
    <row r="154" spans="1:10" ht="15.75" customHeight="1">
      <c r="A154" s="100"/>
      <c r="J154" s="47"/>
    </row>
    <row r="155" spans="1:10" ht="15.75" customHeight="1">
      <c r="A155" s="100"/>
      <c r="J155" s="47"/>
    </row>
    <row r="156" spans="1:10" ht="15.75" customHeight="1">
      <c r="A156" s="100"/>
      <c r="J156" s="47"/>
    </row>
    <row r="157" spans="1:10" ht="15.75" customHeight="1">
      <c r="A157" s="100"/>
      <c r="J157" s="47"/>
    </row>
    <row r="158" spans="1:10" ht="15.75" customHeight="1">
      <c r="A158" s="100"/>
      <c r="J158" s="47"/>
    </row>
    <row r="159" spans="1:10" ht="15.75" customHeight="1">
      <c r="A159" s="100"/>
      <c r="J159" s="47"/>
    </row>
    <row r="160" spans="1:10" ht="15.75" customHeight="1">
      <c r="A160" s="100"/>
      <c r="J160" s="47"/>
    </row>
    <row r="161" spans="1:10" ht="15.75" customHeight="1">
      <c r="A161" s="100"/>
      <c r="J161" s="47"/>
    </row>
    <row r="162" spans="1:10" ht="15.75" customHeight="1">
      <c r="A162" s="100"/>
      <c r="J162" s="47"/>
    </row>
    <row r="163" spans="1:10" ht="15.75" customHeight="1" thickBot="1">
      <c r="A163" s="72"/>
      <c r="B163" s="23"/>
      <c r="C163" s="23"/>
      <c r="D163" s="23"/>
      <c r="E163" s="23"/>
      <c r="F163" s="23"/>
      <c r="G163" s="23"/>
      <c r="H163" s="23"/>
      <c r="I163" s="23"/>
      <c r="J163" s="73"/>
    </row>
  </sheetData>
  <sheetProtection/>
  <mergeCells count="13">
    <mergeCell ref="H98:H99"/>
    <mergeCell ref="I98:I99"/>
    <mergeCell ref="A98:A99"/>
    <mergeCell ref="B98:B99"/>
    <mergeCell ref="F58:G58"/>
    <mergeCell ref="F101:G101"/>
    <mergeCell ref="A55:A56"/>
    <mergeCell ref="B55:B56"/>
    <mergeCell ref="H55:H56"/>
    <mergeCell ref="I55:I56"/>
    <mergeCell ref="D1:G1"/>
    <mergeCell ref="H1:I2"/>
    <mergeCell ref="D2:G2"/>
  </mergeCells>
  <conditionalFormatting sqref="E48:E49 B50 E91:E92 B93">
    <cfRule type="cellIs" priority="1" dxfId="1" operator="equal" stopIfTrue="1">
      <formula>"Compact"</formula>
    </cfRule>
    <cfRule type="cellIs" priority="2" dxfId="1" operator="equal" stopIfTrue="1">
      <formula>"Non compact"</formula>
    </cfRule>
    <cfRule type="cellIs" priority="3" dxfId="0" operator="equal" stopIfTrue="1">
      <formula>"Slender"</formula>
    </cfRule>
  </conditionalFormatting>
  <conditionalFormatting sqref="G107 G112 G75 G72 G69 G64">
    <cfRule type="cellIs" priority="4" dxfId="1" operator="equal" stopIfTrue="1">
      <formula>"SAFE"</formula>
    </cfRule>
    <cfRule type="cellIs" priority="5" dxfId="0" operator="equal" stopIfTrue="1">
      <formula>"Unsafe"</formula>
    </cfRule>
  </conditionalFormatting>
  <dataValidations count="4">
    <dataValidation type="list" allowBlank="1" showInputMessage="1" showErrorMessage="1" sqref="C19">
      <formula1>$P$6:$P$20</formula1>
    </dataValidation>
    <dataValidation type="list" allowBlank="1" showInputMessage="1" showErrorMessage="1" sqref="E10:E13">
      <formula1>$P$23:$P$24</formula1>
    </dataValidation>
    <dataValidation type="list" allowBlank="1" showInputMessage="1" showErrorMessage="1" sqref="H101">
      <formula1>$P$25:$P$26</formula1>
    </dataValidation>
    <dataValidation type="list" allowBlank="1" showInputMessage="1" showErrorMessage="1" sqref="G7">
      <formula1>$P$1:$P$3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78" r:id="rId5"/>
  <rowBreaks count="1" manualBreakCount="1">
    <brk id="57" max="9" man="1"/>
  </rowBreaks>
  <colBreaks count="1" manualBreakCount="1">
    <brk id="15" max="65535" man="1"/>
  </colBreaks>
  <drawing r:id="rId4"/>
  <legacyDrawing r:id="rId3"/>
  <oleObjects>
    <oleObject progId="AutoCAD.Drawing.17" shapeId="468394" r:id="rId1"/>
    <oleObject progId="AutoCAD.Drawing.17" shapeId="46839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5@leD</cp:lastModifiedBy>
  <cp:lastPrinted>2009-02-11T09:07:31Z</cp:lastPrinted>
  <dcterms:created xsi:type="dcterms:W3CDTF">1997-10-17T07:03:38Z</dcterms:created>
  <dcterms:modified xsi:type="dcterms:W3CDTF">2010-11-30T15:53:59Z</dcterms:modified>
  <cp:category/>
  <cp:version/>
  <cp:contentType/>
  <cp:contentStatus/>
</cp:coreProperties>
</file>