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Angelo/Google Drive/Founder Finance/FF New Spreadsheets/"/>
    </mc:Choice>
  </mc:AlternateContent>
  <xr:revisionPtr revIDLastSave="0" documentId="13_ncr:1_{E2F9B6C3-0166-DF45-80F0-B6C37261AC88}" xr6:coauthVersionLast="45" xr6:coauthVersionMax="45" xr10:uidLastSave="{00000000-0000-0000-0000-000000000000}"/>
  <bookViews>
    <workbookView xWindow="0" yWindow="460" windowWidth="28800" windowHeight="17540" activeTab="1" xr2:uid="{613388EC-96E3-114F-93D7-31A677387F4C}"/>
  </bookViews>
  <sheets>
    <sheet name="Introduction" sheetId="3" r:id="rId1"/>
    <sheet name="Conversion" sheetId="1" r:id="rId2"/>
    <sheet name="Math"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2" l="1"/>
  <c r="B9" i="2"/>
  <c r="B8" i="2"/>
  <c r="J18" i="2"/>
  <c r="K18" i="2"/>
  <c r="J29" i="2"/>
  <c r="K29" i="2"/>
  <c r="J28" i="2"/>
  <c r="K28" i="2"/>
  <c r="J17" i="2"/>
  <c r="K17" i="2"/>
  <c r="J33" i="2"/>
  <c r="K33" i="2"/>
  <c r="J25" i="2"/>
  <c r="K25" i="2"/>
  <c r="J32" i="2"/>
  <c r="K32" i="2"/>
  <c r="J21" i="2"/>
  <c r="K21" i="2"/>
  <c r="J24" i="2"/>
  <c r="K24" i="2"/>
  <c r="J20" i="2"/>
  <c r="K20" i="2"/>
  <c r="J31" i="2"/>
  <c r="K31" i="2"/>
  <c r="J19" i="2"/>
  <c r="K19" i="2"/>
  <c r="J27" i="2"/>
  <c r="K27" i="2"/>
  <c r="J23" i="2"/>
  <c r="K23" i="2"/>
  <c r="J16" i="2"/>
  <c r="K16" i="2"/>
  <c r="J30" i="2"/>
  <c r="K30" i="2"/>
  <c r="J26" i="2"/>
  <c r="K26" i="2"/>
  <c r="J22" i="2"/>
  <c r="K22" i="2"/>
  <c r="M33" i="2"/>
  <c r="O33" i="2"/>
  <c r="M17" i="2"/>
  <c r="O17" i="2"/>
  <c r="M18" i="2"/>
  <c r="O18" i="2"/>
  <c r="M19" i="2"/>
  <c r="O19" i="2"/>
  <c r="M20" i="2"/>
  <c r="O20" i="2"/>
  <c r="M21" i="2"/>
  <c r="O21" i="2"/>
  <c r="M22" i="2"/>
  <c r="O22" i="2"/>
  <c r="M23" i="2"/>
  <c r="O23" i="2"/>
  <c r="M24" i="2"/>
  <c r="O24" i="2"/>
  <c r="M25" i="2"/>
  <c r="O25" i="2"/>
  <c r="M26" i="2"/>
  <c r="O26" i="2"/>
  <c r="M27" i="2"/>
  <c r="O27" i="2"/>
  <c r="M28" i="2"/>
  <c r="O28" i="2"/>
  <c r="M29" i="2"/>
  <c r="O29" i="2"/>
  <c r="M30" i="2"/>
  <c r="O30" i="2"/>
  <c r="M31" i="2"/>
  <c r="O31" i="2"/>
  <c r="M32" i="2"/>
  <c r="O32" i="2"/>
  <c r="M16" i="2"/>
  <c r="O16" i="2"/>
  <c r="H21" i="1"/>
  <c r="P19" i="2"/>
  <c r="P23" i="2"/>
  <c r="P27" i="2"/>
  <c r="P31" i="2"/>
  <c r="P17" i="2"/>
  <c r="P25" i="2"/>
  <c r="P33" i="2"/>
  <c r="P18" i="2"/>
  <c r="P26" i="2"/>
  <c r="P16" i="2"/>
  <c r="P20" i="2"/>
  <c r="P24" i="2"/>
  <c r="P28" i="2"/>
  <c r="P32" i="2"/>
  <c r="P21" i="2"/>
  <c r="P29" i="2"/>
  <c r="P22" i="2"/>
  <c r="P30" i="2"/>
  <c r="N16" i="2"/>
  <c r="N25" i="2"/>
  <c r="N17" i="2"/>
  <c r="N32" i="2"/>
  <c r="N28" i="2"/>
  <c r="N24" i="2"/>
  <c r="N20" i="2"/>
  <c r="N33" i="2"/>
  <c r="N22" i="2"/>
  <c r="N19" i="2"/>
  <c r="N18" i="2"/>
  <c r="N26" i="2"/>
  <c r="N30" i="2"/>
  <c r="N23" i="2"/>
  <c r="N27" i="2"/>
  <c r="N31" i="2"/>
  <c r="N21" i="2"/>
  <c r="N29" i="2"/>
  <c r="C19" i="2"/>
  <c r="C23" i="2"/>
  <c r="C27" i="2"/>
  <c r="C31" i="2"/>
  <c r="C17" i="2"/>
  <c r="C20" i="2"/>
  <c r="C24" i="2"/>
  <c r="C28" i="2"/>
  <c r="C32" i="2"/>
  <c r="C21" i="2"/>
  <c r="C25" i="2"/>
  <c r="C29" i="2"/>
  <c r="C33" i="2"/>
  <c r="C30" i="2"/>
  <c r="C18" i="2"/>
  <c r="C16" i="2"/>
  <c r="C22" i="2"/>
  <c r="C26" i="2"/>
  <c r="H15" i="1"/>
  <c r="H16" i="1"/>
  <c r="H28" i="1"/>
  <c r="E15" i="1"/>
  <c r="E16" i="1"/>
  <c r="B12" i="2"/>
  <c r="E26" i="2"/>
  <c r="E30" i="2"/>
  <c r="E21" i="2"/>
  <c r="E24" i="2"/>
  <c r="E31" i="2"/>
  <c r="E22" i="2"/>
  <c r="E33" i="2"/>
  <c r="E27" i="2"/>
  <c r="E16" i="2"/>
  <c r="E29" i="2"/>
  <c r="E32" i="2"/>
  <c r="E23" i="2"/>
  <c r="E20" i="2"/>
  <c r="E18" i="2"/>
  <c r="E25" i="2"/>
  <c r="E28" i="2"/>
  <c r="E17" i="2"/>
  <c r="E19" i="2"/>
  <c r="H22" i="1"/>
  <c r="H17" i="1"/>
  <c r="E21" i="1"/>
  <c r="E22" i="1"/>
  <c r="E17" i="1"/>
  <c r="F28" i="2"/>
  <c r="D28" i="2"/>
  <c r="F23" i="2"/>
  <c r="D23" i="2"/>
  <c r="F27" i="2"/>
  <c r="D27" i="2"/>
  <c r="F24" i="2"/>
  <c r="D24" i="2"/>
  <c r="F25" i="2"/>
  <c r="D25" i="2"/>
  <c r="F32" i="2"/>
  <c r="D32" i="2"/>
  <c r="F33" i="2"/>
  <c r="D33" i="2"/>
  <c r="F21" i="2"/>
  <c r="D21" i="2"/>
  <c r="F19" i="2"/>
  <c r="D19" i="2"/>
  <c r="F18" i="2"/>
  <c r="D18" i="2"/>
  <c r="F29" i="2"/>
  <c r="D29" i="2"/>
  <c r="F22" i="2"/>
  <c r="D22" i="2"/>
  <c r="F30" i="2"/>
  <c r="D30" i="2"/>
  <c r="F17" i="2"/>
  <c r="D17" i="2"/>
  <c r="F20" i="2"/>
  <c r="D20" i="2"/>
  <c r="F16" i="2"/>
  <c r="D16" i="2"/>
  <c r="F31" i="2"/>
  <c r="D31" i="2"/>
  <c r="F26" i="2"/>
  <c r="D26" i="2"/>
  <c r="E18" i="1"/>
  <c r="H18" i="1"/>
  <c r="E23" i="1"/>
  <c r="E24" i="1"/>
  <c r="H24" i="1"/>
  <c r="H23" i="1"/>
  <c r="B26" i="1"/>
  <c r="G26" i="2"/>
  <c r="Q26" i="2"/>
  <c r="G16" i="2"/>
  <c r="Q16" i="2"/>
  <c r="G17" i="2"/>
  <c r="H17" i="2"/>
  <c r="Q17" i="2"/>
  <c r="G22" i="2"/>
  <c r="H22" i="2"/>
  <c r="Q22" i="2"/>
  <c r="G18" i="2"/>
  <c r="Q18" i="2"/>
  <c r="G21" i="2"/>
  <c r="Q21" i="2"/>
  <c r="G32" i="2"/>
  <c r="H32" i="2"/>
  <c r="Q32" i="2"/>
  <c r="G24" i="2"/>
  <c r="Q24" i="2"/>
  <c r="G23" i="2"/>
  <c r="Q23" i="2"/>
  <c r="G31" i="2"/>
  <c r="H31" i="2"/>
  <c r="Q31" i="2"/>
  <c r="G20" i="2"/>
  <c r="Q20" i="2"/>
  <c r="G30" i="2"/>
  <c r="H30" i="2"/>
  <c r="Q30" i="2"/>
  <c r="G29" i="2"/>
  <c r="Q29" i="2"/>
  <c r="G19" i="2"/>
  <c r="H19" i="2"/>
  <c r="Q19" i="2"/>
  <c r="G33" i="2"/>
  <c r="Q33" i="2"/>
  <c r="G25" i="2"/>
  <c r="H25" i="2"/>
  <c r="Q25" i="2"/>
  <c r="G27" i="2"/>
  <c r="H27" i="2"/>
  <c r="Q27" i="2"/>
  <c r="G28" i="2"/>
  <c r="H28" i="2"/>
  <c r="Q28" i="2"/>
  <c r="R33" i="2"/>
  <c r="S33" i="2"/>
  <c r="R20" i="2"/>
  <c r="S20" i="2"/>
  <c r="R23" i="2"/>
  <c r="S23" i="2"/>
  <c r="R18" i="2"/>
  <c r="S18" i="2"/>
  <c r="R25" i="2"/>
  <c r="S25" i="2"/>
  <c r="R27" i="2"/>
  <c r="S27" i="2"/>
  <c r="R29" i="2"/>
  <c r="S29" i="2"/>
  <c r="I22" i="2"/>
  <c r="H24" i="2"/>
  <c r="I24" i="2"/>
  <c r="I27" i="2"/>
  <c r="H29" i="2"/>
  <c r="I29" i="2"/>
  <c r="R32" i="2"/>
  <c r="S32" i="2"/>
  <c r="R17" i="2"/>
  <c r="S17" i="2"/>
  <c r="R26" i="2"/>
  <c r="S26" i="2"/>
  <c r="R28" i="2"/>
  <c r="S28" i="2"/>
  <c r="R19" i="2"/>
  <c r="S19" i="2"/>
  <c r="R30" i="2"/>
  <c r="S30" i="2"/>
  <c r="R31" i="2"/>
  <c r="S31" i="2"/>
  <c r="I32" i="2"/>
  <c r="I17" i="2"/>
  <c r="H21" i="2"/>
  <c r="I21" i="2"/>
  <c r="R21" i="2"/>
  <c r="S21" i="2"/>
  <c r="T21" i="2"/>
  <c r="U21" i="2"/>
  <c r="H16" i="2"/>
  <c r="I16" i="2"/>
  <c r="I28" i="2"/>
  <c r="I25" i="2"/>
  <c r="T25" i="2"/>
  <c r="U25" i="2"/>
  <c r="I19" i="2"/>
  <c r="I30" i="2"/>
  <c r="I31" i="2"/>
  <c r="H33" i="2"/>
  <c r="I33" i="2"/>
  <c r="T33" i="2"/>
  <c r="U33" i="2"/>
  <c r="H20" i="2"/>
  <c r="I20" i="2"/>
  <c r="R24" i="2"/>
  <c r="S24" i="2"/>
  <c r="R22" i="2"/>
  <c r="S22" i="2"/>
  <c r="R16" i="2"/>
  <c r="S16" i="2"/>
  <c r="H23" i="2"/>
  <c r="I23" i="2"/>
  <c r="H18" i="2"/>
  <c r="I18" i="2"/>
  <c r="H26" i="2"/>
  <c r="I26" i="2"/>
  <c r="H29" i="1"/>
  <c r="H30" i="1"/>
  <c r="T16" i="2"/>
  <c r="U16" i="2"/>
  <c r="T26" i="2"/>
  <c r="U26" i="2"/>
  <c r="T32" i="2"/>
  <c r="U32" i="2"/>
  <c r="T23" i="2"/>
  <c r="U23" i="2"/>
  <c r="T31" i="2"/>
  <c r="U31" i="2"/>
  <c r="T29" i="2"/>
  <c r="U29" i="2"/>
  <c r="T22" i="2"/>
  <c r="U22" i="2"/>
  <c r="T28" i="2"/>
  <c r="U28" i="2"/>
  <c r="T30" i="2"/>
  <c r="U30" i="2"/>
  <c r="T17" i="2"/>
  <c r="U17" i="2"/>
  <c r="T18" i="2"/>
  <c r="U18" i="2"/>
  <c r="T20" i="2"/>
  <c r="U20" i="2"/>
  <c r="T27" i="2"/>
  <c r="U27" i="2"/>
  <c r="T19" i="2"/>
  <c r="U19" i="2"/>
  <c r="T24" i="2"/>
  <c r="U24" i="2"/>
  <c r="H31" i="1"/>
  <c r="I29" i="1"/>
  <c r="I30" i="1"/>
  <c r="I31" i="1"/>
  <c r="I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tc={F2519AD8-AE44-E54C-9892-5DE6C520C8E2}</author>
    <author>Angelo Santinelli</author>
  </authors>
  <commentList>
    <comment ref="E15" authorId="0" shapeId="0" xr:uid="{F2519AD8-AE44-E54C-9892-5DE6C520C8E2}">
      <text>
        <t xml:space="preserve">[Threaded comment]
Your version of Excel allows you to read this threaded comment; however, any edits to it will get removed if the file is opened in a newer version of Excel. Learn more: https://go.microsoft.com/fwlink/?linkid=870924
Comment:
    The effective valuation is equal to the pre$ valuation less the purchasing power of the note size divided by 1 - Discount.
</t>
      </text>
    </comment>
    <comment ref="H15" authorId="1" shapeId="0" xr:uid="{5BF94D56-2CB2-224D-A92D-E5E58F941205}">
      <text>
        <r>
          <rPr>
            <b/>
            <sz val="10"/>
            <color rgb="FF000000"/>
            <rFont val="Tahoma"/>
            <family val="2"/>
          </rPr>
          <t>Angelo Santinelli:</t>
        </r>
        <r>
          <rPr>
            <sz val="10"/>
            <color rgb="FF000000"/>
            <rFont val="Tahoma"/>
            <family val="2"/>
          </rPr>
          <t xml:space="preserve">
</t>
        </r>
        <r>
          <rPr>
            <sz val="10"/>
            <color rgb="FF000000"/>
            <rFont val="Tahoma"/>
            <family val="2"/>
          </rPr>
          <t xml:space="preserve">The effective valuation is equal to the pre$ less the buying power of the note or the pre$ divided by the CAP times the Note Size.
</t>
        </r>
      </text>
    </comment>
    <comment ref="E21" authorId="1" shapeId="0" xr:uid="{CF21938E-9EBC-3D44-A290-EC2AC9DE7FE9}">
      <text>
        <r>
          <rPr>
            <b/>
            <sz val="10"/>
            <color rgb="FF000000"/>
            <rFont val="Tahoma"/>
            <family val="2"/>
          </rPr>
          <t>Angelo Santinelli:</t>
        </r>
        <r>
          <rPr>
            <sz val="10"/>
            <color rgb="FF000000"/>
            <rFont val="Tahoma"/>
            <family val="2"/>
          </rPr>
          <t xml:space="preserve">
</t>
        </r>
        <r>
          <rPr>
            <sz val="10"/>
            <color rgb="FF000000"/>
            <rFont val="Tahoma"/>
            <family val="2"/>
          </rPr>
          <t>The note holder purchases shares at the discount rate or share price times 1 - Discount</t>
        </r>
      </text>
    </comment>
    <comment ref="H21" authorId="1" shapeId="0" xr:uid="{D0C36712-4D91-1A4D-AE71-98000B77E7C7}">
      <text>
        <r>
          <rPr>
            <b/>
            <sz val="10"/>
            <color rgb="FF000000"/>
            <rFont val="Tahoma"/>
            <family val="2"/>
          </rPr>
          <t>Angelo Santinelli:</t>
        </r>
        <r>
          <rPr>
            <sz val="10"/>
            <color rgb="FF000000"/>
            <rFont val="Tahoma"/>
            <family val="2"/>
          </rPr>
          <t xml:space="preserve">
</t>
        </r>
        <r>
          <rPr>
            <sz val="10"/>
            <color rgb="FF000000"/>
            <rFont val="Tahoma"/>
            <family val="2"/>
          </rPr>
          <t>The note holder forgoes the discount and purchases shares at the note CAP less the intital investment divided by the shares outstanding.</t>
        </r>
      </text>
    </comment>
  </commentList>
</comments>
</file>

<file path=xl/sharedStrings.xml><?xml version="1.0" encoding="utf-8"?>
<sst xmlns="http://schemas.openxmlformats.org/spreadsheetml/2006/main" count="86" uniqueCount="61">
  <si>
    <t>Assumptions:</t>
  </si>
  <si>
    <t>Note converts after an equity investment of $1.5m</t>
  </si>
  <si>
    <t>Company  (pre funding):</t>
  </si>
  <si>
    <t>DISCOUNT</t>
  </si>
  <si>
    <t>CAP</t>
  </si>
  <si>
    <t>Shares outstanding*</t>
  </si>
  <si>
    <t>Convertible note terms:</t>
  </si>
  <si>
    <t>Note Size</t>
  </si>
  <si>
    <t>Note Cap</t>
  </si>
  <si>
    <t>Note Discount</t>
  </si>
  <si>
    <t>Series A terms:</t>
  </si>
  <si>
    <t>Series A investment</t>
  </si>
  <si>
    <t>Series A valuation</t>
  </si>
  <si>
    <t>Series A at conversion</t>
  </si>
  <si>
    <t>Effective valuation</t>
  </si>
  <si>
    <t>Share price</t>
  </si>
  <si>
    <t>Equity</t>
  </si>
  <si>
    <t>Note Holder at Conversion</t>
  </si>
  <si>
    <t xml:space="preserve">Number of shares </t>
  </si>
  <si>
    <t>Number of shares</t>
  </si>
  <si>
    <t>Return</t>
  </si>
  <si>
    <t>Cap Table (Overview)</t>
  </si>
  <si>
    <t>shares</t>
  </si>
  <si>
    <t>%</t>
  </si>
  <si>
    <t>Team</t>
  </si>
  <si>
    <t>Series A</t>
  </si>
  <si>
    <t>Note holder</t>
  </si>
  <si>
    <t xml:space="preserve">Assumes no post-money otpion pool </t>
  </si>
  <si>
    <t>*Shares issued to the Team</t>
  </si>
  <si>
    <t>Principle Amount:</t>
  </si>
  <si>
    <t>Discount:</t>
  </si>
  <si>
    <t>Cap:</t>
  </si>
  <si>
    <t>Price Per Share:</t>
  </si>
  <si>
    <t>PPS w/ Disc.:</t>
  </si>
  <si>
    <t>Liqidation Pref:</t>
  </si>
  <si>
    <t>Pre-$ Valuation (M)</t>
  </si>
  <si>
    <t>Liqidation Preferrence</t>
  </si>
  <si>
    <t>Return on Liq. Pref.</t>
  </si>
  <si>
    <t>No. of Shares</t>
  </si>
  <si>
    <t>Share Price with Discount</t>
  </si>
  <si>
    <t>Ser A Effective Pre-$ Valutation</t>
  </si>
  <si>
    <t>Series A No. of Shares</t>
  </si>
  <si>
    <t>Ser A Share Price</t>
  </si>
  <si>
    <t>Total No. of Shares Post Ser A</t>
  </si>
  <si>
    <t>Note Holder Equity Ownership</t>
  </si>
  <si>
    <t>Share Price with Cap</t>
  </si>
  <si>
    <t>Founder Finance</t>
  </si>
  <si>
    <r>
      <t xml:space="preserve">Instructions: Part 1 - Enter in </t>
    </r>
    <r>
      <rPr>
        <sz val="12"/>
        <color rgb="FF0070C0"/>
        <rFont val="Calibri (Body)"/>
      </rPr>
      <t>Blue</t>
    </r>
    <r>
      <rPr>
        <sz val="12"/>
        <color theme="1"/>
        <rFont val="Calibri"/>
        <family val="2"/>
        <scheme val="minor"/>
      </rPr>
      <t xml:space="preserve"> Cells only.  </t>
    </r>
  </si>
  <si>
    <t>Notes</t>
  </si>
  <si>
    <t>This Excel model is for educational purposes only and should not be used for any other reason.</t>
  </si>
  <si>
    <t>All content is Copyright material of  Entrepreneurial-Edge</t>
  </si>
  <si>
    <t>https://www.entrepreneurial-edge.com</t>
  </si>
  <si>
    <t>© 2020 Entrepreneurial-Edge</t>
  </si>
  <si>
    <t>All rights reserved.  The contents of this publication, including but not limited to all written material, content layout, images, formulas, and code, are protected under international copyright and trademark laws.  No part of this publication may be modified, manipulated, reproduced, distributed, or transmitted in any form by any means, including photocopying, recording, or other electronic or mechanical methods, without prior written permission of the publisher, except in the case of certain noncommercial uses permitted by copyright law.</t>
  </si>
  <si>
    <t>Convertible Notes</t>
  </si>
  <si>
    <t>© Entrepreneurial-Edge.com. All rights reserved.</t>
  </si>
  <si>
    <t>FOUNDER FINANCE</t>
  </si>
  <si>
    <t>Excludes 5% interest paid to noteholders in the form of shares issued at the time of conversion</t>
  </si>
  <si>
    <t>Note holder converts via :</t>
  </si>
  <si>
    <t xml:space="preserve">Convertible Note Math </t>
  </si>
  <si>
    <t>* Carefully examine the difference in Return on Liquidation Preferrence under Discount and Cap. Thus the "Windfall Problem."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</si>
</sst>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000_);_(* \(#,##0.000\);_(* &quot;-&quot;??_);_(@_)"/>
    <numFmt numFmtId="165" formatCode="_(* #,##0_);_(* \(#,##0\);_(* &quot;-&quot;??_);_(@_)"/>
    <numFmt numFmtId="166" formatCode="_(&quot;$&quot;* #,##0_);_(&quot;$&quot;* \(#,##0\);_(&quot;$&quot;* &quot;-&quot;??_);_(@_)"/>
    <numFmt numFmtId="167" formatCode="_(&quot;$&quot;* #,##0.000_);_(&quot;$&quot;* \(#,##0.000\);_(&quot;$&quot;* &quot;-&quot;??_);_(@_)"/>
    <numFmt numFmtId="168" formatCode="_(&quot;$&quot;* #,##0.000_);_(&quot;$&quot;* \(#,##0.000\);_(&quot;$&quot;* &quot;-&quot;???_);_(@_)"/>
    <numFmt numFmtId="169" formatCode="_(* #,##0.0000_);_(* \(#,##0.0000\);_(* &quot;-&quot;??_);_(@_)"/>
  </numFmts>
  <fonts count="21">
    <font>
      <sz val="12"/>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4"/>
      <color theme="0"/>
      <name val="Calibri"/>
      <family val="2"/>
      <scheme val="minor"/>
    </font>
    <font>
      <sz val="10"/>
      <color rgb="FF000000"/>
      <name val="Tahoma"/>
      <family val="2"/>
    </font>
    <font>
      <b/>
      <sz val="10"/>
      <color rgb="FF000000"/>
      <name val="Tahoma"/>
      <family val="2"/>
    </font>
    <font>
      <sz val="12"/>
      <name val="Calibri"/>
      <family val="2"/>
      <scheme val="minor"/>
    </font>
    <font>
      <sz val="10"/>
      <color theme="1"/>
      <name val="Calibri"/>
      <family val="2"/>
      <scheme val="minor"/>
    </font>
    <font>
      <b/>
      <sz val="12"/>
      <color theme="0"/>
      <name val="Calibri"/>
      <family val="2"/>
      <scheme val="minor"/>
    </font>
    <font>
      <sz val="12"/>
      <color theme="0"/>
      <name val="Calibri"/>
      <family val="2"/>
      <scheme val="minor"/>
    </font>
    <font>
      <u/>
      <sz val="12"/>
      <color theme="10"/>
      <name val="Calibri"/>
      <family val="2"/>
      <scheme val="minor"/>
    </font>
    <font>
      <b/>
      <sz val="26"/>
      <color rgb="FF002060"/>
      <name val="Calibri (Body)"/>
    </font>
    <font>
      <b/>
      <sz val="26"/>
      <color rgb="FF002060"/>
      <name val="Calibri"/>
      <family val="2"/>
      <scheme val="minor"/>
    </font>
    <font>
      <sz val="12"/>
      <color rgb="FF0070C0"/>
      <name val="Calibri (Body)"/>
    </font>
    <font>
      <sz val="11"/>
      <color theme="1"/>
      <name val="Calibri"/>
      <family val="2"/>
      <scheme val="minor"/>
    </font>
    <font>
      <sz val="11"/>
      <color theme="1"/>
      <name val="Arial Narrow"/>
      <family val="2"/>
    </font>
    <font>
      <u/>
      <sz val="10"/>
      <color theme="10"/>
      <name val="Arial"/>
      <family val="2"/>
    </font>
    <font>
      <u/>
      <sz val="10"/>
      <color theme="1"/>
      <name val="Arial"/>
      <family val="2"/>
    </font>
    <font>
      <b/>
      <sz val="16"/>
      <color theme="0"/>
      <name val="Calibri"/>
      <family val="2"/>
      <scheme val="minor"/>
    </font>
    <font>
      <sz val="12"/>
      <color rgb="FF0070C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D7D31"/>
        <bgColor indexed="64"/>
      </patternFill>
    </fill>
    <fill>
      <patternFill patternType="solid">
        <fgColor rgb="FFFFD966"/>
        <bgColor indexed="64"/>
      </patternFill>
    </fill>
    <fill>
      <patternFill patternType="solid">
        <fgColor rgb="FF002060"/>
        <bgColor indexed="64"/>
      </patternFill>
    </fill>
    <fill>
      <patternFill patternType="solid">
        <fgColor theme="5"/>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5" fillId="0" borderId="0"/>
    <xf numFmtId="0" fontId="17" fillId="0" borderId="0" applyNumberFormat="0" applyFill="0" applyBorder="0" applyAlignment="0" applyProtection="0"/>
  </cellStyleXfs>
  <cellXfs count="104">
    <xf numFmtId="0" fontId="0" fillId="0" borderId="0" xfId="0"/>
    <xf numFmtId="0" fontId="2" fillId="0" borderId="0" xfId="0" applyFont="1"/>
    <xf numFmtId="0" fontId="3" fillId="0" borderId="0" xfId="0" applyFont="1"/>
    <xf numFmtId="0" fontId="2" fillId="0" borderId="1" xfId="0" applyFont="1" applyBorder="1"/>
    <xf numFmtId="0" fontId="0" fillId="0" borderId="1" xfId="0" applyBorder="1"/>
    <xf numFmtId="43" fontId="0" fillId="0" borderId="0" xfId="1" applyNumberFormat="1" applyFont="1"/>
    <xf numFmtId="165" fontId="0" fillId="0" borderId="0" xfId="1" applyNumberFormat="1" applyFont="1"/>
    <xf numFmtId="44" fontId="0" fillId="0" borderId="0" xfId="2" applyFont="1"/>
    <xf numFmtId="166" fontId="0" fillId="0" borderId="0" xfId="2" applyNumberFormat="1" applyFont="1"/>
    <xf numFmtId="9" fontId="0" fillId="0" borderId="0" xfId="3" applyFont="1"/>
    <xf numFmtId="0" fontId="0" fillId="0" borderId="0" xfId="0" applyBorder="1"/>
    <xf numFmtId="0" fontId="0" fillId="0" borderId="0" xfId="0" applyFill="1"/>
    <xf numFmtId="0" fontId="4" fillId="0" borderId="0" xfId="0" applyFont="1" applyFill="1" applyAlignment="1">
      <alignment horizontal="left"/>
    </xf>
    <xf numFmtId="0" fontId="2" fillId="0" borderId="1" xfId="0" applyFont="1" applyFill="1" applyBorder="1"/>
    <xf numFmtId="0" fontId="0" fillId="0" borderId="1" xfId="0" applyFill="1" applyBorder="1"/>
    <xf numFmtId="0" fontId="0" fillId="0" borderId="0" xfId="0" applyFill="1" applyBorder="1"/>
    <xf numFmtId="165" fontId="0" fillId="0" borderId="0" xfId="0" applyNumberFormat="1"/>
    <xf numFmtId="165" fontId="0" fillId="0" borderId="1" xfId="0" applyNumberFormat="1" applyBorder="1"/>
    <xf numFmtId="10" fontId="0" fillId="0" borderId="0" xfId="3" applyNumberFormat="1" applyFont="1"/>
    <xf numFmtId="10" fontId="0" fillId="0" borderId="0" xfId="0" applyNumberFormat="1"/>
    <xf numFmtId="44" fontId="0" fillId="0" borderId="0" xfId="0" applyNumberFormat="1"/>
    <xf numFmtId="44" fontId="0" fillId="0" borderId="0" xfId="2" applyNumberFormat="1" applyFont="1"/>
    <xf numFmtId="43" fontId="0" fillId="0" borderId="0" xfId="0" applyNumberFormat="1"/>
    <xf numFmtId="10" fontId="0" fillId="2" borderId="0" xfId="0" applyNumberFormat="1" applyFill="1"/>
    <xf numFmtId="10" fontId="0" fillId="2" borderId="0" xfId="3" applyNumberFormat="1" applyFont="1" applyFill="1"/>
    <xf numFmtId="43" fontId="0" fillId="2" borderId="0" xfId="1" applyFont="1" applyFill="1"/>
    <xf numFmtId="43" fontId="0" fillId="0" borderId="0" xfId="1" applyFont="1" applyFill="1"/>
    <xf numFmtId="10" fontId="0" fillId="2" borderId="1" xfId="3" applyNumberFormat="1" applyFont="1" applyFill="1" applyBorder="1"/>
    <xf numFmtId="10" fontId="2" fillId="0" borderId="0" xfId="0" applyNumberFormat="1" applyFont="1"/>
    <xf numFmtId="0" fontId="2" fillId="0" borderId="0" xfId="0" applyFont="1" applyAlignment="1">
      <alignment horizontal="right"/>
    </xf>
    <xf numFmtId="167" fontId="0" fillId="0" borderId="0" xfId="2" applyNumberFormat="1" applyFont="1"/>
    <xf numFmtId="168" fontId="0" fillId="0" borderId="0" xfId="0" applyNumberFormat="1"/>
    <xf numFmtId="8" fontId="0" fillId="0" borderId="0" xfId="0" applyNumberFormat="1"/>
    <xf numFmtId="43" fontId="0" fillId="0" borderId="0" xfId="1" applyNumberFormat="1" applyFont="1" applyBorder="1"/>
    <xf numFmtId="0" fontId="0" fillId="0" borderId="3" xfId="0" applyBorder="1"/>
    <xf numFmtId="8" fontId="0" fillId="0" borderId="0" xfId="0" applyNumberFormat="1" applyFill="1"/>
    <xf numFmtId="165" fontId="0" fillId="0" borderId="0" xfId="1" applyNumberFormat="1" applyFont="1" applyFill="1"/>
    <xf numFmtId="0" fontId="0" fillId="0" borderId="3" xfId="0" applyFill="1" applyBorder="1"/>
    <xf numFmtId="10" fontId="0" fillId="0" borderId="0" xfId="3" applyNumberFormat="1" applyFont="1" applyFill="1" applyBorder="1"/>
    <xf numFmtId="43" fontId="0" fillId="0" borderId="0" xfId="1" applyNumberFormat="1" applyFont="1" applyFill="1" applyBorder="1"/>
    <xf numFmtId="0" fontId="7" fillId="0" borderId="0" xfId="0" applyFont="1" applyFill="1"/>
    <xf numFmtId="164" fontId="0" fillId="0" borderId="0" xfId="1" applyNumberFormat="1" applyFont="1" applyFill="1"/>
    <xf numFmtId="165" fontId="0" fillId="0" borderId="4" xfId="1" applyNumberFormat="1" applyFont="1" applyFill="1" applyBorder="1"/>
    <xf numFmtId="0" fontId="2" fillId="0" borderId="5" xfId="0" applyFont="1" applyBorder="1" applyAlignment="1">
      <alignment horizontal="center" wrapText="1"/>
    </xf>
    <xf numFmtId="0" fontId="0" fillId="0" borderId="5" xfId="0" applyBorder="1"/>
    <xf numFmtId="0" fontId="2" fillId="0" borderId="5" xfId="0" applyFont="1" applyBorder="1"/>
    <xf numFmtId="0" fontId="0" fillId="0" borderId="0" xfId="0" applyBorder="1" applyAlignment="1">
      <alignment horizontal="left" wrapText="1"/>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169" fontId="0" fillId="0" borderId="0" xfId="1" applyNumberFormat="1" applyFont="1" applyFill="1"/>
    <xf numFmtId="169" fontId="0" fillId="0" borderId="0" xfId="1" applyNumberFormat="1" applyFont="1"/>
    <xf numFmtId="8" fontId="7" fillId="3" borderId="0" xfId="0" applyNumberFormat="1" applyFont="1" applyFill="1"/>
    <xf numFmtId="169" fontId="7" fillId="3" borderId="0" xfId="1" applyNumberFormat="1" applyFont="1" applyFill="1"/>
    <xf numFmtId="165" fontId="7" fillId="3" borderId="4" xfId="1" applyNumberFormat="1" applyFont="1" applyFill="1" applyBorder="1"/>
    <xf numFmtId="165" fontId="7" fillId="3" borderId="0" xfId="1" applyNumberFormat="1" applyFont="1" applyFill="1"/>
    <xf numFmtId="10" fontId="7" fillId="3" borderId="0" xfId="3" applyNumberFormat="1" applyFont="1" applyFill="1" applyBorder="1"/>
    <xf numFmtId="164" fontId="7" fillId="3" borderId="0" xfId="1" applyNumberFormat="1" applyFont="1" applyFill="1"/>
    <xf numFmtId="43" fontId="7" fillId="3" borderId="0" xfId="1" applyNumberFormat="1" applyFont="1" applyFill="1" applyBorder="1"/>
    <xf numFmtId="0" fontId="7" fillId="3" borderId="3" xfId="0" applyFont="1" applyFill="1" applyBorder="1"/>
    <xf numFmtId="8" fontId="0" fillId="3" borderId="0" xfId="0" applyNumberFormat="1" applyFill="1"/>
    <xf numFmtId="44" fontId="0" fillId="3" borderId="0" xfId="2" applyNumberFormat="1" applyFont="1" applyFill="1"/>
    <xf numFmtId="43" fontId="0" fillId="3" borderId="0" xfId="1" applyFont="1" applyFill="1"/>
    <xf numFmtId="43" fontId="0" fillId="3" borderId="0" xfId="1" applyNumberFormat="1" applyFont="1" applyFill="1" applyBorder="1"/>
    <xf numFmtId="169" fontId="0" fillId="3" borderId="0" xfId="1" applyNumberFormat="1" applyFont="1" applyFill="1"/>
    <xf numFmtId="165" fontId="0" fillId="3" borderId="4" xfId="1" applyNumberFormat="1" applyFont="1" applyFill="1" applyBorder="1"/>
    <xf numFmtId="165" fontId="0" fillId="3" borderId="0" xfId="1" applyNumberFormat="1" applyFont="1" applyFill="1"/>
    <xf numFmtId="10" fontId="0" fillId="3" borderId="0" xfId="3" applyNumberFormat="1" applyFont="1" applyFill="1" applyBorder="1"/>
    <xf numFmtId="164" fontId="0" fillId="3" borderId="0" xfId="1" applyNumberFormat="1" applyFont="1" applyFill="1"/>
    <xf numFmtId="0" fontId="0" fillId="3" borderId="3" xfId="0" applyFill="1" applyBorder="1"/>
    <xf numFmtId="0" fontId="0" fillId="3" borderId="0" xfId="0" applyFill="1"/>
    <xf numFmtId="0" fontId="0" fillId="4" borderId="0" xfId="0" applyFill="1"/>
    <xf numFmtId="0" fontId="0" fillId="5" borderId="0" xfId="0" applyFill="1"/>
    <xf numFmtId="0" fontId="2" fillId="4" borderId="0" xfId="0" applyFont="1" applyFill="1"/>
    <xf numFmtId="0" fontId="16" fillId="6" borderId="0" xfId="5" applyFont="1" applyFill="1" applyAlignment="1">
      <alignment vertical="top"/>
    </xf>
    <xf numFmtId="0" fontId="16" fillId="4" borderId="0" xfId="5" applyFont="1" applyFill="1"/>
    <xf numFmtId="0" fontId="16" fillId="5" borderId="0" xfId="5" applyFont="1" applyFill="1"/>
    <xf numFmtId="0" fontId="10" fillId="5" borderId="0" xfId="0" applyFont="1" applyFill="1"/>
    <xf numFmtId="0" fontId="19" fillId="5" borderId="0" xfId="0" applyFont="1" applyFill="1"/>
    <xf numFmtId="0" fontId="10" fillId="7" borderId="0" xfId="0" applyFont="1" applyFill="1"/>
    <xf numFmtId="0" fontId="19" fillId="7" borderId="0" xfId="0" applyFont="1" applyFill="1"/>
    <xf numFmtId="165" fontId="20" fillId="0" borderId="0" xfId="1" applyNumberFormat="1" applyFont="1"/>
    <xf numFmtId="166" fontId="20" fillId="0" borderId="0" xfId="2" applyNumberFormat="1" applyFont="1"/>
    <xf numFmtId="9" fontId="20" fillId="0" borderId="0" xfId="3" applyFont="1"/>
    <xf numFmtId="0" fontId="0" fillId="8" borderId="0" xfId="0" applyFill="1"/>
    <xf numFmtId="0" fontId="9" fillId="8" borderId="0" xfId="0" applyFont="1" applyFill="1"/>
    <xf numFmtId="0" fontId="10" fillId="8" borderId="0" xfId="0" applyFont="1" applyFill="1"/>
    <xf numFmtId="0" fontId="9" fillId="8" borderId="0" xfId="0" applyFont="1" applyFill="1" applyBorder="1"/>
    <xf numFmtId="0" fontId="2" fillId="8" borderId="0" xfId="0" applyFont="1" applyFill="1" applyAlignment="1">
      <alignment horizontal="center"/>
    </xf>
    <xf numFmtId="0" fontId="9" fillId="8" borderId="0" xfId="0" applyFont="1" applyFill="1" applyAlignment="1">
      <alignment horizontal="center"/>
    </xf>
    <xf numFmtId="0" fontId="9" fillId="8" borderId="0" xfId="0" applyFont="1" applyFill="1" applyAlignment="1">
      <alignment horizontal="right"/>
    </xf>
    <xf numFmtId="0" fontId="11" fillId="4" borderId="0" xfId="4" applyFill="1"/>
    <xf numFmtId="0" fontId="18" fillId="4" borderId="0" xfId="6" applyFont="1" applyFill="1"/>
    <xf numFmtId="0" fontId="16" fillId="6" borderId="0" xfId="5" applyFont="1" applyFill="1" applyAlignment="1">
      <alignment vertical="top" wrapText="1"/>
    </xf>
    <xf numFmtId="0" fontId="12" fillId="4" borderId="0" xfId="0" applyFont="1" applyFill="1" applyAlignment="1">
      <alignment vertical="center"/>
    </xf>
    <xf numFmtId="0" fontId="13" fillId="4" borderId="0" xfId="0" applyFont="1" applyFill="1" applyAlignment="1">
      <alignment vertical="center"/>
    </xf>
    <xf numFmtId="0" fontId="0" fillId="0" borderId="0" xfId="0" applyAlignment="1">
      <alignment vertical="top" wrapText="1"/>
    </xf>
    <xf numFmtId="0" fontId="0" fillId="4" borderId="0" xfId="0" applyFill="1" applyAlignment="1">
      <alignment vertical="top" wrapText="1"/>
    </xf>
    <xf numFmtId="0" fontId="16" fillId="4" borderId="1" xfId="5" applyFont="1" applyFill="1" applyBorder="1"/>
    <xf numFmtId="0" fontId="16" fillId="4" borderId="0" xfId="5" applyFont="1" applyFill="1"/>
    <xf numFmtId="0" fontId="4" fillId="7" borderId="0" xfId="0" applyFont="1" applyFill="1" applyAlignment="1">
      <alignment horizontal="left"/>
    </xf>
    <xf numFmtId="0" fontId="4" fillId="7" borderId="0" xfId="0" applyFont="1" applyFill="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cellXfs>
  <cellStyles count="7">
    <cellStyle name="Comma" xfId="1" builtinId="3"/>
    <cellStyle name="Currency" xfId="2" builtinId="4"/>
    <cellStyle name="Hyperlink" xfId="4" builtinId="8"/>
    <cellStyle name="Hyperlink 2" xfId="6" xr:uid="{211D57E0-04DE-BC45-B92B-99099BF357AA}"/>
    <cellStyle name="Normal" xfId="0" builtinId="0"/>
    <cellStyle name="Normal 2" xfId="5" xr:uid="{48308CD2-C814-8346-BEC8-2E2E87013269}"/>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ngelo Santinelli" id="{44B979FE-4DC8-9944-84ED-6DB86C2D7A5E}" userId="76ba3314bd2fbce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5" dT="2020-06-03T15:54:22.44" personId="{44B979FE-4DC8-9944-84ED-6DB86C2D7A5E}" id="{F2519AD8-AE44-E54C-9892-5DE6C520C8E2}">
    <text xml:space="preserve">The effective valuation is equal to the pre$ valuation less the purchasing power of the note size divided by 1 - Discount.
</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www.entrepreneurial-edge.com/"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16AC1-A0EF-094F-A2C8-2759AD36420C}">
  <dimension ref="B5:P29"/>
  <sheetViews>
    <sheetView workbookViewId="0">
      <selection activeCell="F58" sqref="F58"/>
    </sheetView>
  </sheetViews>
  <sheetFormatPr baseColWidth="10" defaultRowHeight="16"/>
  <cols>
    <col min="1" max="16384" width="10.83203125" style="71"/>
  </cols>
  <sheetData>
    <row r="5" spans="2:15">
      <c r="B5" s="70"/>
      <c r="C5" s="70"/>
      <c r="D5" s="70"/>
      <c r="E5" s="70"/>
      <c r="F5" s="70"/>
      <c r="G5" s="70"/>
      <c r="H5" s="70"/>
      <c r="I5" s="70"/>
      <c r="J5" s="70"/>
      <c r="K5" s="70"/>
      <c r="L5" s="70"/>
      <c r="M5" s="70"/>
      <c r="N5" s="70"/>
      <c r="O5" s="70"/>
    </row>
    <row r="6" spans="2:15">
      <c r="B6" s="70"/>
      <c r="C6" s="70"/>
      <c r="D6" s="70"/>
      <c r="E6" s="70"/>
      <c r="F6" s="70"/>
      <c r="G6" s="70"/>
      <c r="H6" s="70"/>
      <c r="I6" s="70"/>
      <c r="J6" s="70"/>
      <c r="K6" s="70"/>
      <c r="L6" s="70"/>
      <c r="M6" s="70"/>
      <c r="N6" s="70"/>
      <c r="O6" s="70"/>
    </row>
    <row r="7" spans="2:15">
      <c r="B7" s="70"/>
      <c r="C7" s="93" t="s">
        <v>46</v>
      </c>
      <c r="D7" s="94"/>
      <c r="E7" s="94"/>
      <c r="F7" s="70"/>
      <c r="G7" s="70"/>
      <c r="H7" s="70"/>
      <c r="I7" s="70"/>
      <c r="J7" s="70"/>
      <c r="K7" s="70"/>
      <c r="L7" s="70"/>
      <c r="M7" s="70"/>
      <c r="N7" s="70"/>
      <c r="O7" s="70"/>
    </row>
    <row r="8" spans="2:15">
      <c r="B8" s="70"/>
      <c r="C8" s="94"/>
      <c r="D8" s="94"/>
      <c r="E8" s="94"/>
      <c r="F8" s="70"/>
      <c r="G8" s="70"/>
      <c r="H8" s="70"/>
      <c r="I8" s="70"/>
      <c r="J8" s="70"/>
      <c r="K8" s="70"/>
      <c r="L8" s="70"/>
      <c r="M8" s="70"/>
      <c r="N8" s="70"/>
      <c r="O8" s="70"/>
    </row>
    <row r="9" spans="2:15">
      <c r="B9" s="70"/>
      <c r="C9" s="94"/>
      <c r="D9" s="94"/>
      <c r="E9" s="94"/>
      <c r="F9" s="70"/>
      <c r="G9" s="70"/>
      <c r="H9" s="70"/>
      <c r="I9" s="70"/>
      <c r="J9" s="70"/>
      <c r="K9" s="70"/>
      <c r="L9" s="70"/>
      <c r="M9" s="70"/>
      <c r="N9" s="70"/>
      <c r="O9" s="70"/>
    </row>
    <row r="10" spans="2:15">
      <c r="B10" s="70"/>
      <c r="C10" s="72" t="s">
        <v>54</v>
      </c>
      <c r="D10" s="70"/>
      <c r="E10" s="70"/>
      <c r="F10" s="70"/>
      <c r="G10" s="70"/>
      <c r="H10" s="70"/>
      <c r="I10" s="70"/>
      <c r="J10" s="70"/>
      <c r="K10" s="70"/>
      <c r="L10" s="70"/>
      <c r="M10" s="70"/>
      <c r="N10" s="70"/>
      <c r="O10" s="70"/>
    </row>
    <row r="11" spans="2:15">
      <c r="B11" s="70"/>
      <c r="C11" s="70"/>
      <c r="D11" s="70"/>
      <c r="E11" s="70"/>
      <c r="F11" s="70"/>
      <c r="G11" s="70"/>
      <c r="H11" s="70"/>
      <c r="I11" s="70"/>
      <c r="J11" s="70"/>
      <c r="K11" s="70"/>
      <c r="L11" s="70"/>
      <c r="M11" s="70"/>
      <c r="N11" s="70"/>
      <c r="O11" s="70"/>
    </row>
    <row r="12" spans="2:15">
      <c r="B12" s="70"/>
      <c r="C12" s="95" t="s">
        <v>47</v>
      </c>
      <c r="D12" s="95"/>
      <c r="E12" s="95"/>
      <c r="F12" s="95"/>
      <c r="G12" s="95"/>
      <c r="H12" s="95"/>
      <c r="I12" s="95"/>
      <c r="J12" s="95"/>
      <c r="K12" s="95"/>
      <c r="L12" s="95"/>
      <c r="M12" s="95"/>
      <c r="N12" s="95"/>
      <c r="O12" s="70"/>
    </row>
    <row r="13" spans="2:15">
      <c r="B13" s="70"/>
      <c r="C13" s="95"/>
      <c r="D13" s="95"/>
      <c r="E13" s="95"/>
      <c r="F13" s="95"/>
      <c r="G13" s="95"/>
      <c r="H13" s="95"/>
      <c r="I13" s="95"/>
      <c r="J13" s="95"/>
      <c r="K13" s="95"/>
      <c r="L13" s="95"/>
      <c r="M13" s="95"/>
      <c r="N13" s="95"/>
      <c r="O13" s="70"/>
    </row>
    <row r="14" spans="2:15">
      <c r="B14" s="70"/>
      <c r="C14" s="95"/>
      <c r="D14" s="95"/>
      <c r="E14" s="95"/>
      <c r="F14" s="95"/>
      <c r="G14" s="95"/>
      <c r="H14" s="95"/>
      <c r="I14" s="95"/>
      <c r="J14" s="95"/>
      <c r="K14" s="95"/>
      <c r="L14" s="95"/>
      <c r="M14" s="95"/>
      <c r="N14" s="95"/>
      <c r="O14" s="70"/>
    </row>
    <row r="15" spans="2:15">
      <c r="B15" s="70"/>
      <c r="C15" s="96"/>
      <c r="D15" s="96"/>
      <c r="E15" s="96"/>
      <c r="F15" s="96"/>
      <c r="G15" s="96"/>
      <c r="H15" s="96"/>
      <c r="I15" s="96"/>
      <c r="J15" s="96"/>
      <c r="K15" s="96"/>
      <c r="L15" s="96"/>
      <c r="M15" s="96"/>
      <c r="N15" s="96"/>
      <c r="O15" s="70"/>
    </row>
    <row r="16" spans="2:15">
      <c r="B16" s="70"/>
      <c r="C16" s="96"/>
      <c r="D16" s="96"/>
      <c r="E16" s="96"/>
      <c r="F16" s="96"/>
      <c r="G16" s="96"/>
      <c r="H16" s="96"/>
      <c r="I16" s="96"/>
      <c r="J16" s="96"/>
      <c r="K16" s="96"/>
      <c r="L16" s="96"/>
      <c r="M16" s="96"/>
      <c r="N16" s="96"/>
      <c r="O16" s="70"/>
    </row>
    <row r="17" spans="2:16">
      <c r="B17" s="70"/>
      <c r="C17" s="96"/>
      <c r="D17" s="96"/>
      <c r="E17" s="96"/>
      <c r="F17" s="96"/>
      <c r="G17" s="96"/>
      <c r="H17" s="96"/>
      <c r="I17" s="96"/>
      <c r="J17" s="96"/>
      <c r="K17" s="96"/>
      <c r="L17" s="96"/>
      <c r="M17" s="96"/>
      <c r="N17" s="96"/>
      <c r="O17" s="70"/>
    </row>
    <row r="18" spans="2:16">
      <c r="B18" s="70"/>
      <c r="C18" s="70"/>
      <c r="D18" s="70"/>
      <c r="E18" s="70"/>
      <c r="F18" s="70"/>
      <c r="G18" s="70"/>
      <c r="H18" s="70"/>
      <c r="I18" s="70"/>
      <c r="J18" s="70"/>
      <c r="K18" s="70"/>
      <c r="L18" s="70"/>
      <c r="M18" s="70"/>
      <c r="N18" s="70"/>
      <c r="O18" s="70"/>
    </row>
    <row r="19" spans="2:16">
      <c r="B19" s="70"/>
      <c r="C19" s="97" t="s">
        <v>48</v>
      </c>
      <c r="D19" s="97"/>
      <c r="E19" s="97"/>
      <c r="F19" s="97"/>
      <c r="G19" s="97"/>
      <c r="H19" s="97"/>
      <c r="I19" s="97"/>
      <c r="J19" s="97"/>
      <c r="K19" s="97"/>
      <c r="L19" s="97"/>
      <c r="M19" s="97"/>
      <c r="N19" s="97"/>
      <c r="O19" s="70"/>
    </row>
    <row r="20" spans="2:16">
      <c r="B20" s="70"/>
      <c r="C20" s="98" t="s">
        <v>49</v>
      </c>
      <c r="D20" s="98"/>
      <c r="E20" s="98"/>
      <c r="F20" s="98"/>
      <c r="G20" s="98"/>
      <c r="H20" s="98"/>
      <c r="I20" s="98"/>
      <c r="J20" s="98"/>
      <c r="K20" s="98"/>
      <c r="L20" s="98"/>
      <c r="M20" s="98"/>
      <c r="N20" s="98"/>
      <c r="O20" s="70"/>
    </row>
    <row r="21" spans="2:16">
      <c r="B21" s="70"/>
      <c r="C21" s="98" t="s">
        <v>50</v>
      </c>
      <c r="D21" s="98"/>
      <c r="E21" s="98"/>
      <c r="F21" s="98"/>
      <c r="G21" s="98"/>
      <c r="H21" s="98"/>
      <c r="I21" s="98"/>
      <c r="J21" s="98"/>
      <c r="K21" s="98"/>
      <c r="L21" s="98"/>
      <c r="M21" s="98"/>
      <c r="N21" s="98"/>
      <c r="O21" s="70"/>
    </row>
    <row r="22" spans="2:16">
      <c r="B22" s="70"/>
      <c r="C22" s="90" t="s">
        <v>51</v>
      </c>
      <c r="D22" s="90"/>
      <c r="E22" s="90"/>
      <c r="F22" s="90"/>
      <c r="G22" s="90"/>
      <c r="H22" s="90"/>
      <c r="I22" s="90"/>
      <c r="J22" s="90"/>
      <c r="K22" s="90"/>
      <c r="L22" s="90"/>
      <c r="M22" s="90"/>
      <c r="N22" s="90"/>
      <c r="O22" s="70"/>
    </row>
    <row r="23" spans="2:16">
      <c r="B23" s="70"/>
      <c r="C23" s="91"/>
      <c r="D23" s="91"/>
      <c r="E23" s="91"/>
      <c r="F23" s="91"/>
      <c r="G23" s="91"/>
      <c r="H23" s="91"/>
      <c r="I23" s="91"/>
      <c r="J23" s="91"/>
      <c r="K23" s="91"/>
      <c r="L23" s="91"/>
      <c r="M23" s="91"/>
      <c r="N23" s="91"/>
      <c r="O23" s="70"/>
    </row>
    <row r="24" spans="2:16">
      <c r="B24" s="70"/>
      <c r="C24" s="73" t="s">
        <v>52</v>
      </c>
      <c r="D24" s="73"/>
      <c r="E24" s="73"/>
      <c r="F24" s="73"/>
      <c r="G24" s="73"/>
      <c r="H24" s="73"/>
      <c r="I24" s="73"/>
      <c r="J24" s="73"/>
      <c r="K24" s="73"/>
      <c r="L24" s="73"/>
      <c r="M24" s="73"/>
      <c r="N24" s="73"/>
      <c r="O24" s="74"/>
      <c r="P24" s="75"/>
    </row>
    <row r="25" spans="2:16">
      <c r="B25" s="70"/>
      <c r="C25" s="92" t="s">
        <v>53</v>
      </c>
      <c r="D25" s="92"/>
      <c r="E25" s="92"/>
      <c r="F25" s="92"/>
      <c r="G25" s="92"/>
      <c r="H25" s="92"/>
      <c r="I25" s="92"/>
      <c r="J25" s="92"/>
      <c r="K25" s="92"/>
      <c r="L25" s="92"/>
      <c r="M25" s="92"/>
      <c r="N25" s="92"/>
      <c r="O25" s="74"/>
      <c r="P25" s="75"/>
    </row>
    <row r="26" spans="2:16">
      <c r="B26" s="70"/>
      <c r="C26" s="92"/>
      <c r="D26" s="92"/>
      <c r="E26" s="92"/>
      <c r="F26" s="92"/>
      <c r="G26" s="92"/>
      <c r="H26" s="92"/>
      <c r="I26" s="92"/>
      <c r="J26" s="92"/>
      <c r="K26" s="92"/>
      <c r="L26" s="92"/>
      <c r="M26" s="92"/>
      <c r="N26" s="92"/>
      <c r="O26" s="74"/>
      <c r="P26" s="75"/>
    </row>
    <row r="27" spans="2:16">
      <c r="B27" s="70"/>
      <c r="C27" s="92"/>
      <c r="D27" s="92"/>
      <c r="E27" s="92"/>
      <c r="F27" s="92"/>
      <c r="G27" s="92"/>
      <c r="H27" s="92"/>
      <c r="I27" s="92"/>
      <c r="J27" s="92"/>
      <c r="K27" s="92"/>
      <c r="L27" s="92"/>
      <c r="M27" s="92"/>
      <c r="N27" s="92"/>
      <c r="O27" s="74"/>
      <c r="P27" s="75"/>
    </row>
    <row r="28" spans="2:16">
      <c r="B28" s="70"/>
      <c r="C28" s="92"/>
      <c r="D28" s="92"/>
      <c r="E28" s="92"/>
      <c r="F28" s="92"/>
      <c r="G28" s="92"/>
      <c r="H28" s="92"/>
      <c r="I28" s="92"/>
      <c r="J28" s="92"/>
      <c r="K28" s="92"/>
      <c r="L28" s="92"/>
      <c r="M28" s="92"/>
      <c r="N28" s="92"/>
      <c r="O28" s="70"/>
    </row>
    <row r="29" spans="2:16">
      <c r="B29" s="70"/>
      <c r="C29" s="70"/>
      <c r="D29" s="70"/>
      <c r="E29" s="70"/>
      <c r="F29" s="70"/>
      <c r="G29" s="70"/>
      <c r="H29" s="70"/>
      <c r="I29" s="70"/>
      <c r="J29" s="70"/>
      <c r="K29" s="70"/>
      <c r="L29" s="70"/>
      <c r="M29" s="70"/>
      <c r="N29" s="70"/>
      <c r="O29" s="70"/>
    </row>
  </sheetData>
  <mergeCells count="9">
    <mergeCell ref="C22:N22"/>
    <mergeCell ref="C23:N23"/>
    <mergeCell ref="C25:N28"/>
    <mergeCell ref="C7:E9"/>
    <mergeCell ref="C12:N14"/>
    <mergeCell ref="C15:N17"/>
    <mergeCell ref="C19:N19"/>
    <mergeCell ref="C20:N20"/>
    <mergeCell ref="C21:N21"/>
  </mergeCells>
  <hyperlinks>
    <hyperlink ref="C22" r:id="rId1" xr:uid="{17C549BF-A20C-A14D-B9BC-05B5552AF8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B5C7-9AE3-194A-B50B-61C1BBD5D96A}">
  <dimension ref="A1:K31"/>
  <sheetViews>
    <sheetView showGridLines="0" tabSelected="1" zoomScale="118" zoomScaleNormal="220" workbookViewId="0">
      <selection sqref="A1:XFD5"/>
    </sheetView>
  </sheetViews>
  <sheetFormatPr baseColWidth="10" defaultRowHeight="16"/>
  <cols>
    <col min="1" max="1" width="30.83203125" customWidth="1"/>
    <col min="2" max="2" width="12.83203125" customWidth="1"/>
    <col min="3" max="3" width="7.83203125" customWidth="1"/>
    <col min="4" max="4" width="22.83203125" customWidth="1"/>
    <col min="5" max="5" width="12.83203125" customWidth="1"/>
    <col min="6" max="6" width="7.83203125" customWidth="1"/>
    <col min="7" max="7" width="22.83203125" customWidth="1"/>
    <col min="8" max="8" width="12.83203125" customWidth="1"/>
  </cols>
  <sheetData>
    <row r="1" spans="1:9" s="76" customFormat="1">
      <c r="A1" s="76" t="s">
        <v>55</v>
      </c>
    </row>
    <row r="2" spans="1:9" s="76" customFormat="1" ht="21">
      <c r="A2" s="77" t="s">
        <v>56</v>
      </c>
    </row>
    <row r="4" spans="1:9" s="78" customFormat="1"/>
    <row r="5" spans="1:9" s="78" customFormat="1" ht="21">
      <c r="A5" s="79" t="s">
        <v>54</v>
      </c>
    </row>
    <row r="6" spans="1:9" ht="21">
      <c r="A6" s="2"/>
    </row>
    <row r="8" spans="1:9">
      <c r="A8" s="84" t="s">
        <v>0</v>
      </c>
      <c r="B8" s="85"/>
      <c r="C8" s="85"/>
      <c r="D8" s="85"/>
      <c r="E8" s="85"/>
    </row>
    <row r="9" spans="1:9">
      <c r="A9" s="84" t="s">
        <v>1</v>
      </c>
      <c r="B9" s="85"/>
      <c r="C9" s="85"/>
      <c r="D9" s="85"/>
      <c r="E9" s="85"/>
    </row>
    <row r="10" spans="1:9">
      <c r="A10" s="84" t="s">
        <v>57</v>
      </c>
      <c r="B10" s="85"/>
      <c r="C10" s="85"/>
      <c r="D10" s="85"/>
      <c r="E10" s="85"/>
    </row>
    <row r="11" spans="1:9">
      <c r="A11" s="84" t="s">
        <v>27</v>
      </c>
      <c r="B11" s="85"/>
      <c r="C11" s="85"/>
      <c r="D11" s="85"/>
      <c r="E11" s="85"/>
    </row>
    <row r="13" spans="1:9" ht="19">
      <c r="A13" s="99" t="s">
        <v>2</v>
      </c>
      <c r="B13" s="99"/>
      <c r="C13" s="99"/>
      <c r="D13" s="99" t="s">
        <v>3</v>
      </c>
      <c r="E13" s="99"/>
      <c r="F13" s="99"/>
      <c r="G13" s="100" t="s">
        <v>4</v>
      </c>
      <c r="H13" s="100"/>
      <c r="I13" s="12"/>
    </row>
    <row r="14" spans="1:9">
      <c r="A14" s="1" t="s">
        <v>5</v>
      </c>
      <c r="B14" s="80">
        <v>850000</v>
      </c>
      <c r="D14" s="84" t="s">
        <v>13</v>
      </c>
      <c r="E14" s="83"/>
      <c r="G14" s="84" t="s">
        <v>13</v>
      </c>
      <c r="H14" s="83"/>
      <c r="I14" s="11"/>
    </row>
    <row r="15" spans="1:9">
      <c r="D15" t="s">
        <v>14</v>
      </c>
      <c r="E15" s="8">
        <f>B23-(B17/(1-B19))</f>
        <v>1281250</v>
      </c>
      <c r="G15" t="s">
        <v>14</v>
      </c>
      <c r="H15" s="8">
        <f>B23-(B23/B18)*B17</f>
        <v>1744444.4444444445</v>
      </c>
    </row>
    <row r="16" spans="1:9">
      <c r="A16" s="3" t="s">
        <v>6</v>
      </c>
      <c r="B16" s="4"/>
      <c r="C16" s="10"/>
      <c r="D16" t="s">
        <v>15</v>
      </c>
      <c r="E16" s="7">
        <f>E15/B14</f>
        <v>1.5073529411764706</v>
      </c>
      <c r="G16" t="s">
        <v>15</v>
      </c>
      <c r="H16" s="7">
        <f>H15/B14</f>
        <v>2.0522875816993467</v>
      </c>
    </row>
    <row r="17" spans="1:11">
      <c r="A17" t="s">
        <v>7</v>
      </c>
      <c r="B17" s="81">
        <v>575000</v>
      </c>
      <c r="D17" t="s">
        <v>19</v>
      </c>
      <c r="E17" s="6">
        <f>B22/E16</f>
        <v>995121.95121951227</v>
      </c>
      <c r="G17" t="s">
        <v>19</v>
      </c>
      <c r="H17" s="6">
        <f>B22/H16</f>
        <v>730891.71974522283</v>
      </c>
    </row>
    <row r="18" spans="1:11">
      <c r="A18" t="s">
        <v>8</v>
      </c>
      <c r="B18" s="81">
        <v>4500000</v>
      </c>
      <c r="D18" t="s">
        <v>16</v>
      </c>
      <c r="E18" s="19">
        <f>E17/(B14+E17+E22)</f>
        <v>0.42857142857142866</v>
      </c>
      <c r="G18" t="s">
        <v>16</v>
      </c>
      <c r="H18" s="18">
        <f>H17/(B14+H17+H22)</f>
        <v>0.42857142857142855</v>
      </c>
      <c r="K18" s="22"/>
    </row>
    <row r="19" spans="1:11">
      <c r="A19" t="s">
        <v>9</v>
      </c>
      <c r="B19" s="82">
        <v>0.2</v>
      </c>
    </row>
    <row r="20" spans="1:11">
      <c r="D20" s="84" t="s">
        <v>17</v>
      </c>
      <c r="E20" s="83"/>
      <c r="G20" s="84" t="s">
        <v>17</v>
      </c>
      <c r="H20" s="83"/>
      <c r="I20" s="11"/>
    </row>
    <row r="21" spans="1:11">
      <c r="A21" s="3" t="s">
        <v>10</v>
      </c>
      <c r="B21" s="4"/>
      <c r="C21" s="10"/>
      <c r="D21" t="s">
        <v>15</v>
      </c>
      <c r="E21" s="7">
        <f>E16*(1-B19)</f>
        <v>1.2058823529411766</v>
      </c>
      <c r="G21" t="s">
        <v>15</v>
      </c>
      <c r="H21" s="20">
        <f>(B18-B17)/B14</f>
        <v>4.617647058823529</v>
      </c>
    </row>
    <row r="22" spans="1:11">
      <c r="A22" t="s">
        <v>11</v>
      </c>
      <c r="B22" s="81">
        <v>1500000</v>
      </c>
      <c r="C22" s="10"/>
      <c r="D22" t="s">
        <v>18</v>
      </c>
      <c r="E22" s="6">
        <f>B17/E21</f>
        <v>476829.26829268289</v>
      </c>
      <c r="G22" t="s">
        <v>18</v>
      </c>
      <c r="H22" s="6">
        <f>B17/H21</f>
        <v>124522.29299363059</v>
      </c>
    </row>
    <row r="23" spans="1:11">
      <c r="A23" t="s">
        <v>12</v>
      </c>
      <c r="B23" s="81">
        <v>2000000</v>
      </c>
      <c r="D23" s="11" t="s">
        <v>16</v>
      </c>
      <c r="E23" s="23">
        <f>E22/(B14+E17+E22)</f>
        <v>0.20535714285714285</v>
      </c>
      <c r="F23" s="11"/>
      <c r="G23" s="11" t="s">
        <v>16</v>
      </c>
      <c r="H23" s="24">
        <f>H22/(B14+H17+H22)</f>
        <v>7.301587301587302E-2</v>
      </c>
      <c r="I23" s="28"/>
      <c r="J23" s="1"/>
    </row>
    <row r="24" spans="1:11">
      <c r="D24" s="11" t="s">
        <v>20</v>
      </c>
      <c r="E24" s="25">
        <f>(E22*E16)/B17</f>
        <v>1.2499999999999998</v>
      </c>
      <c r="F24" s="11"/>
      <c r="G24" s="11" t="s">
        <v>20</v>
      </c>
      <c r="H24" s="25">
        <f>(H22*H16)/B17</f>
        <v>0.44444444444444453</v>
      </c>
    </row>
    <row r="26" spans="1:11">
      <c r="A26" s="89" t="s">
        <v>58</v>
      </c>
      <c r="B26" s="1" t="str">
        <f>IF(E23&gt;H23, "DISCOUNT", "CAP")</f>
        <v>DISCOUNT</v>
      </c>
      <c r="D26" s="13"/>
      <c r="E26" s="14"/>
      <c r="F26" s="14"/>
      <c r="G26" s="14"/>
      <c r="H26" s="14"/>
      <c r="I26" s="14"/>
    </row>
    <row r="27" spans="1:11" ht="16" customHeight="1">
      <c r="D27" s="47"/>
      <c r="E27" s="46"/>
      <c r="G27" s="86" t="s">
        <v>21</v>
      </c>
      <c r="H27" s="87" t="s">
        <v>22</v>
      </c>
      <c r="I27" s="88" t="s">
        <v>23</v>
      </c>
    </row>
    <row r="28" spans="1:11">
      <c r="A28" t="s">
        <v>28</v>
      </c>
      <c r="D28" s="48"/>
      <c r="E28" s="19"/>
      <c r="G28" s="15" t="s">
        <v>24</v>
      </c>
      <c r="H28" s="16">
        <f>B14</f>
        <v>850000</v>
      </c>
      <c r="I28" s="18">
        <f>H28/H31</f>
        <v>0.3660714285714286</v>
      </c>
    </row>
    <row r="29" spans="1:11">
      <c r="D29" s="48"/>
      <c r="E29" s="46"/>
      <c r="G29" t="s">
        <v>25</v>
      </c>
      <c r="H29" s="16">
        <f>IF(B26="DISCOUNT", E17,H17)</f>
        <v>995121.95121951227</v>
      </c>
      <c r="I29" s="18">
        <f>H29/H31</f>
        <v>0.42857142857142866</v>
      </c>
    </row>
    <row r="30" spans="1:11">
      <c r="D30" s="48"/>
      <c r="E30" s="46"/>
      <c r="G30" t="s">
        <v>26</v>
      </c>
      <c r="H30" s="17">
        <f>IF(B26="DISCOUNT",E22,H22)</f>
        <v>476829.26829268289</v>
      </c>
      <c r="I30" s="27">
        <f>H30/H31</f>
        <v>0.20535714285714285</v>
      </c>
    </row>
    <row r="31" spans="1:11" ht="16" customHeight="1">
      <c r="D31" s="46"/>
      <c r="E31" s="46"/>
      <c r="H31" s="16">
        <f>SUM(H28:H30)</f>
        <v>2321951.2195121949</v>
      </c>
      <c r="I31" s="18">
        <f>H31/H31</f>
        <v>1</v>
      </c>
    </row>
  </sheetData>
  <mergeCells count="3">
    <mergeCell ref="A13:C13"/>
    <mergeCell ref="D13:F13"/>
    <mergeCell ref="G13:H13"/>
  </mergeCells>
  <pageMargins left="0.7" right="0.7" top="0.75" bottom="0.75" header="0.3" footer="0.3"/>
  <pageSetup orientation="portrait" horizontalDpi="0" verticalDpi="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3AA48-58F9-D142-8378-683430E9E8F8}">
  <dimension ref="A1:U36"/>
  <sheetViews>
    <sheetView showGridLines="0" topLeftCell="A4" zoomScale="120" zoomScaleNormal="120" workbookViewId="0">
      <selection activeCell="B36" sqref="B36"/>
    </sheetView>
  </sheetViews>
  <sheetFormatPr baseColWidth="10" defaultRowHeight="16"/>
  <cols>
    <col min="1" max="1" width="21.5" customWidth="1"/>
    <col min="2" max="2" width="13.5" bestFit="1" customWidth="1"/>
    <col min="3" max="3" width="13.5" customWidth="1"/>
    <col min="4" max="4" width="15.1640625" bestFit="1" customWidth="1"/>
    <col min="5" max="6" width="13.5" customWidth="1"/>
    <col min="8" max="8" width="14.1640625" bestFit="1" customWidth="1"/>
    <col min="9" max="9" width="12.1640625" bestFit="1" customWidth="1"/>
    <col min="10" max="10" width="14.1640625" bestFit="1" customWidth="1"/>
    <col min="12" max="12" width="3.33203125" customWidth="1"/>
    <col min="13" max="13" width="13.5" customWidth="1"/>
    <col min="14" max="14" width="15.1640625" bestFit="1" customWidth="1"/>
    <col min="15" max="16" width="13.5" customWidth="1"/>
    <col min="18" max="18" width="14.1640625" bestFit="1" customWidth="1"/>
    <col min="19" max="19" width="12.1640625" bestFit="1" customWidth="1"/>
  </cols>
  <sheetData>
    <row r="1" spans="1:21" s="76" customFormat="1">
      <c r="A1" s="76" t="s">
        <v>55</v>
      </c>
    </row>
    <row r="2" spans="1:21" s="76" customFormat="1" ht="21">
      <c r="A2" s="77" t="s">
        <v>56</v>
      </c>
    </row>
    <row r="4" spans="1:21" s="78" customFormat="1"/>
    <row r="5" spans="1:21" s="78" customFormat="1" ht="21">
      <c r="A5" s="79" t="s">
        <v>59</v>
      </c>
    </row>
    <row r="7" spans="1:21">
      <c r="A7" s="1"/>
    </row>
    <row r="8" spans="1:21">
      <c r="A8" s="29" t="s">
        <v>29</v>
      </c>
      <c r="B8" s="30">
        <f>(Conversion!B17)/1000000</f>
        <v>0.57499999999999996</v>
      </c>
      <c r="C8" s="30"/>
      <c r="G8" s="31"/>
      <c r="H8" s="31"/>
      <c r="M8" s="30"/>
      <c r="Q8" s="31"/>
      <c r="R8" s="31"/>
    </row>
    <row r="9" spans="1:21">
      <c r="A9" s="29" t="s">
        <v>30</v>
      </c>
      <c r="B9" s="9">
        <f>Conversion!B19</f>
        <v>0.2</v>
      </c>
      <c r="C9" s="9"/>
      <c r="M9" s="9"/>
    </row>
    <row r="10" spans="1:21">
      <c r="A10" s="29" t="s">
        <v>31</v>
      </c>
      <c r="B10" s="21">
        <f>Conversion!B18/1000000</f>
        <v>4.5</v>
      </c>
      <c r="C10" s="21"/>
      <c r="M10" s="21"/>
    </row>
    <row r="11" spans="1:21">
      <c r="A11" s="29" t="s">
        <v>32</v>
      </c>
      <c r="B11" s="7">
        <v>0.44485000000000002</v>
      </c>
      <c r="C11" s="7"/>
      <c r="D11" s="20"/>
      <c r="E11" s="20"/>
      <c r="F11" s="20"/>
      <c r="M11" s="7"/>
      <c r="N11" s="20"/>
      <c r="O11" s="20"/>
      <c r="P11" s="20"/>
    </row>
    <row r="12" spans="1:21">
      <c r="A12" s="29" t="s">
        <v>33</v>
      </c>
      <c r="B12" s="7">
        <f>B11*(1-B9)</f>
        <v>0.35588000000000003</v>
      </c>
      <c r="C12" s="7"/>
      <c r="M12" s="7"/>
    </row>
    <row r="13" spans="1:21">
      <c r="A13" s="29" t="s">
        <v>34</v>
      </c>
      <c r="B13" s="5">
        <v>1.5</v>
      </c>
      <c r="C13" s="5"/>
      <c r="M13" s="5"/>
    </row>
    <row r="14" spans="1:21">
      <c r="C14" s="101" t="s">
        <v>3</v>
      </c>
      <c r="D14" s="102"/>
      <c r="E14" s="102"/>
      <c r="F14" s="102"/>
      <c r="G14" s="102"/>
      <c r="H14" s="102"/>
      <c r="I14" s="102"/>
      <c r="J14" s="102"/>
      <c r="K14" s="103"/>
      <c r="M14" s="45" t="s">
        <v>4</v>
      </c>
      <c r="N14" s="44"/>
      <c r="O14" s="45"/>
      <c r="P14" s="44"/>
      <c r="Q14" s="44"/>
      <c r="R14" s="44"/>
      <c r="S14" s="44"/>
      <c r="T14" s="44"/>
      <c r="U14" s="44"/>
    </row>
    <row r="15" spans="1:21" ht="51">
      <c r="B15" s="43" t="s">
        <v>35</v>
      </c>
      <c r="C15" s="43" t="s">
        <v>40</v>
      </c>
      <c r="D15" s="43" t="s">
        <v>41</v>
      </c>
      <c r="E15" s="43" t="s">
        <v>42</v>
      </c>
      <c r="F15" s="43" t="s">
        <v>39</v>
      </c>
      <c r="G15" s="43" t="s">
        <v>38</v>
      </c>
      <c r="H15" s="43" t="s">
        <v>43</v>
      </c>
      <c r="I15" s="43" t="s">
        <v>44</v>
      </c>
      <c r="J15" s="43" t="s">
        <v>36</v>
      </c>
      <c r="K15" s="43" t="s">
        <v>37</v>
      </c>
      <c r="L15" s="44"/>
      <c r="M15" s="43" t="s">
        <v>40</v>
      </c>
      <c r="N15" s="43" t="s">
        <v>41</v>
      </c>
      <c r="O15" s="43" t="s">
        <v>42</v>
      </c>
      <c r="P15" s="43" t="s">
        <v>45</v>
      </c>
      <c r="Q15" s="43" t="s">
        <v>38</v>
      </c>
      <c r="R15" s="43" t="s">
        <v>43</v>
      </c>
      <c r="S15" s="43" t="s">
        <v>44</v>
      </c>
      <c r="T15" s="43" t="s">
        <v>36</v>
      </c>
      <c r="U15" s="43" t="s">
        <v>37</v>
      </c>
    </row>
    <row r="16" spans="1:21">
      <c r="B16" s="35">
        <v>2</v>
      </c>
      <c r="C16" s="49">
        <f>B16-(B$8/(1-B$9))</f>
        <v>1.28125</v>
      </c>
      <c r="D16" s="42">
        <f>Conversion!$B$22/E16</f>
        <v>995121.95121951227</v>
      </c>
      <c r="E16" s="35">
        <f>C16/(Conversion!B$14/1000000)</f>
        <v>1.5073529411764706</v>
      </c>
      <c r="F16" s="35">
        <f>E16*(1-$B$9)</f>
        <v>1.2058823529411766</v>
      </c>
      <c r="G16" s="36">
        <f>$B$8/F16*1000000</f>
        <v>476829.26829268283</v>
      </c>
      <c r="H16" s="36">
        <f>Conversion!$B$14+Math!D16+Math!G16</f>
        <v>2321951.2195121949</v>
      </c>
      <c r="I16" s="38">
        <f>G16/H16</f>
        <v>0.20535714285714285</v>
      </c>
      <c r="J16" s="41">
        <f>$B$8/(1-$B$9)</f>
        <v>0.71874999999999989</v>
      </c>
      <c r="K16" s="39">
        <f>J16/$B$8</f>
        <v>1.25</v>
      </c>
      <c r="L16" s="34"/>
      <c r="M16" s="50">
        <f>B16-(B16/$B$10)*$B$8</f>
        <v>1.7444444444444445</v>
      </c>
      <c r="N16" s="6">
        <f>Conversion!$B$22/O16</f>
        <v>730891.71974522283</v>
      </c>
      <c r="O16" s="32">
        <f>M16/(Conversion!$B$14/1000000)</f>
        <v>2.0522875816993467</v>
      </c>
      <c r="P16" s="21">
        <f>Conversion!$H$21</f>
        <v>4.617647058823529</v>
      </c>
      <c r="Q16" s="6">
        <f>$B$8/P16*1000000</f>
        <v>124522.29299363057</v>
      </c>
      <c r="R16" s="36">
        <f>Conversion!$B$14+Math!N16+Math!Q16</f>
        <v>1705414.0127388535</v>
      </c>
      <c r="S16" s="38">
        <f>Q16/R16</f>
        <v>7.301587301587302E-2</v>
      </c>
      <c r="T16" s="26">
        <f>IF(I16&gt;S16,Q16*P16*$B$13/1000000,Q16*O16*$B$13/1000000)</f>
        <v>0.86250000000000004</v>
      </c>
      <c r="U16" s="33">
        <f>T16/$B$8</f>
        <v>1.5000000000000002</v>
      </c>
    </row>
    <row r="17" spans="1:21">
      <c r="B17" s="35">
        <v>2.5</v>
      </c>
      <c r="C17" s="49">
        <f>B17-(B$8/(1-$B$9))</f>
        <v>1.78125</v>
      </c>
      <c r="D17" s="42">
        <f>Conversion!$B$22/E17</f>
        <v>715789.47368421045</v>
      </c>
      <c r="E17" s="35">
        <f>C17/(Conversion!B$14/1000000)</f>
        <v>2.0955882352941178</v>
      </c>
      <c r="F17" s="35">
        <f t="shared" ref="F17:F33" si="0">E17*(1-$B$9)</f>
        <v>1.6764705882352944</v>
      </c>
      <c r="G17" s="36">
        <f t="shared" ref="G17:G33" si="1">$B$8/F17*1000000</f>
        <v>342982.45614035078</v>
      </c>
      <c r="H17" s="36">
        <f>Conversion!$B$14+Math!D17+Math!G17</f>
        <v>1908771.9298245611</v>
      </c>
      <c r="I17" s="38">
        <f t="shared" ref="I17:I33" si="2">G17/H17</f>
        <v>0.17968749999999997</v>
      </c>
      <c r="J17" s="41">
        <f t="shared" ref="J17:J33" si="3">$B$8/(1-$B$9)</f>
        <v>0.71874999999999989</v>
      </c>
      <c r="K17" s="39">
        <f t="shared" ref="K17:K33" si="4">J17/$B$8</f>
        <v>1.25</v>
      </c>
      <c r="L17" s="34"/>
      <c r="M17" s="50">
        <f t="shared" ref="M17:M33" si="5">B17-(B17/$B$10)*$B$8</f>
        <v>2.1805555555555554</v>
      </c>
      <c r="N17" s="6">
        <f>Conversion!$B$22/O17</f>
        <v>584713.37579617836</v>
      </c>
      <c r="O17" s="32">
        <f>M17/(Conversion!$B$14/1000000)</f>
        <v>2.5653594771241828</v>
      </c>
      <c r="P17" s="21">
        <f>Conversion!$H$21</f>
        <v>4.617647058823529</v>
      </c>
      <c r="Q17" s="6">
        <f t="shared" ref="Q17:Q33" si="6">$B$8/P17*1000000</f>
        <v>124522.29299363057</v>
      </c>
      <c r="R17" s="36">
        <f>Conversion!$B$14+Math!N17+Math!Q17</f>
        <v>1559235.6687898089</v>
      </c>
      <c r="S17" s="38">
        <f t="shared" ref="S17:S33" si="7">Q17/R17</f>
        <v>7.9861111111111119E-2</v>
      </c>
      <c r="T17" s="26">
        <f t="shared" ref="T17:T33" si="8">IF(I17&gt;S17,Q17*P17*$B$13/1000000,Q17*O17*$B$13/1000000)</f>
        <v>0.86250000000000004</v>
      </c>
      <c r="U17" s="33">
        <f>T17/$B$8</f>
        <v>1.5000000000000002</v>
      </c>
    </row>
    <row r="18" spans="1:21">
      <c r="B18" s="35">
        <v>3</v>
      </c>
      <c r="C18" s="49">
        <f t="shared" ref="C18:C33" si="9">B18-(B$8/(1-$B$9))</f>
        <v>2.28125</v>
      </c>
      <c r="D18" s="42">
        <f>Conversion!$B$22/E18</f>
        <v>558904.10958904109</v>
      </c>
      <c r="E18" s="35">
        <f>C18/(Conversion!B$14/1000000)</f>
        <v>2.6838235294117649</v>
      </c>
      <c r="F18" s="35">
        <f t="shared" si="0"/>
        <v>2.1470588235294121</v>
      </c>
      <c r="G18" s="36">
        <f t="shared" si="1"/>
        <v>267808.21917808213</v>
      </c>
      <c r="H18" s="36">
        <f>Conversion!$B$14+Math!D18+Math!G18</f>
        <v>1676712.3287671234</v>
      </c>
      <c r="I18" s="38">
        <f t="shared" si="2"/>
        <v>0.15972222222222218</v>
      </c>
      <c r="J18" s="41">
        <f t="shared" si="3"/>
        <v>0.71874999999999989</v>
      </c>
      <c r="K18" s="39">
        <f t="shared" si="4"/>
        <v>1.25</v>
      </c>
      <c r="L18" s="34"/>
      <c r="M18" s="50">
        <f t="shared" si="5"/>
        <v>2.6166666666666667</v>
      </c>
      <c r="N18" s="6">
        <f>Conversion!$B$22/O18</f>
        <v>487261.14649681526</v>
      </c>
      <c r="O18" s="32">
        <f>M18/(Conversion!$B$14/1000000)</f>
        <v>3.0784313725490198</v>
      </c>
      <c r="P18" s="21">
        <f>Conversion!$H$21</f>
        <v>4.617647058823529</v>
      </c>
      <c r="Q18" s="6">
        <f t="shared" si="6"/>
        <v>124522.29299363057</v>
      </c>
      <c r="R18" s="36">
        <f>Conversion!$B$14+Math!N18+Math!Q18</f>
        <v>1461783.4394904457</v>
      </c>
      <c r="S18" s="38">
        <f t="shared" si="7"/>
        <v>8.5185185185185197E-2</v>
      </c>
      <c r="T18" s="26">
        <f t="shared" si="8"/>
        <v>0.86250000000000004</v>
      </c>
      <c r="U18" s="33">
        <f t="shared" ref="U18:U33" si="10">T18/$B$8</f>
        <v>1.5000000000000002</v>
      </c>
    </row>
    <row r="19" spans="1:21">
      <c r="B19" s="35">
        <v>3.5</v>
      </c>
      <c r="C19" s="49">
        <f t="shared" si="9"/>
        <v>2.78125</v>
      </c>
      <c r="D19" s="42">
        <f>Conversion!$B$22/E19</f>
        <v>458426.96629213484</v>
      </c>
      <c r="E19" s="35">
        <f>C19/(Conversion!B$14/1000000)</f>
        <v>3.2720588235294117</v>
      </c>
      <c r="F19" s="35">
        <f t="shared" si="0"/>
        <v>2.6176470588235294</v>
      </c>
      <c r="G19" s="36">
        <f t="shared" si="1"/>
        <v>219662.92134831459</v>
      </c>
      <c r="H19" s="36">
        <f>Conversion!$B$14+Math!D19+Math!G19</f>
        <v>1528089.8876404495</v>
      </c>
      <c r="I19" s="38">
        <f t="shared" si="2"/>
        <v>0.14374999999999999</v>
      </c>
      <c r="J19" s="41">
        <f t="shared" si="3"/>
        <v>0.71874999999999989</v>
      </c>
      <c r="K19" s="39">
        <f t="shared" si="4"/>
        <v>1.25</v>
      </c>
      <c r="L19" s="34"/>
      <c r="M19" s="50">
        <f t="shared" si="5"/>
        <v>3.052777777777778</v>
      </c>
      <c r="N19" s="6">
        <f>Conversion!$B$22/O19</f>
        <v>417652.41128298448</v>
      </c>
      <c r="O19" s="32">
        <f>M19/(Conversion!$B$14/1000000)</f>
        <v>3.5915032679738568</v>
      </c>
      <c r="P19" s="21">
        <f>Conversion!$H$21</f>
        <v>4.617647058823529</v>
      </c>
      <c r="Q19" s="6">
        <f t="shared" si="6"/>
        <v>124522.29299363057</v>
      </c>
      <c r="R19" s="36">
        <f>Conversion!$B$14+Math!N19+Math!Q19</f>
        <v>1392174.7042766151</v>
      </c>
      <c r="S19" s="38">
        <f t="shared" si="7"/>
        <v>8.9444444444444451E-2</v>
      </c>
      <c r="T19" s="26">
        <f t="shared" si="8"/>
        <v>0.86250000000000004</v>
      </c>
      <c r="U19" s="33">
        <f t="shared" si="10"/>
        <v>1.5000000000000002</v>
      </c>
    </row>
    <row r="20" spans="1:21">
      <c r="B20" s="35">
        <v>4</v>
      </c>
      <c r="C20" s="49">
        <f t="shared" si="9"/>
        <v>3.28125</v>
      </c>
      <c r="D20" s="42">
        <f>Conversion!$B$22/E20</f>
        <v>388571.42857142858</v>
      </c>
      <c r="E20" s="35">
        <f>C20/(Conversion!B$14/1000000)</f>
        <v>3.8602941176470589</v>
      </c>
      <c r="F20" s="35">
        <f t="shared" si="0"/>
        <v>3.0882352941176472</v>
      </c>
      <c r="G20" s="36">
        <f t="shared" si="1"/>
        <v>186190.47619047615</v>
      </c>
      <c r="H20" s="36">
        <f>Conversion!$B$14+Math!D20+Math!G20</f>
        <v>1424761.9047619049</v>
      </c>
      <c r="I20" s="38">
        <f t="shared" si="2"/>
        <v>0.13068181818181815</v>
      </c>
      <c r="J20" s="41">
        <f t="shared" si="3"/>
        <v>0.71874999999999989</v>
      </c>
      <c r="K20" s="39">
        <f t="shared" si="4"/>
        <v>1.25</v>
      </c>
      <c r="L20" s="34"/>
      <c r="M20" s="50">
        <f t="shared" si="5"/>
        <v>3.4888888888888889</v>
      </c>
      <c r="N20" s="6">
        <f>Conversion!$B$22/O20</f>
        <v>365445.85987261141</v>
      </c>
      <c r="O20" s="32">
        <f>M20/(Conversion!$B$14/1000000)</f>
        <v>4.1045751633986933</v>
      </c>
      <c r="P20" s="21">
        <f>Conversion!$H$21</f>
        <v>4.617647058823529</v>
      </c>
      <c r="Q20" s="6">
        <f t="shared" si="6"/>
        <v>124522.29299363057</v>
      </c>
      <c r="R20" s="36">
        <f>Conversion!$B$14+Math!N20+Math!Q20</f>
        <v>1339968.152866242</v>
      </c>
      <c r="S20" s="38">
        <f t="shared" si="7"/>
        <v>9.2929292929292931E-2</v>
      </c>
      <c r="T20" s="26">
        <f t="shared" si="8"/>
        <v>0.86250000000000004</v>
      </c>
      <c r="U20" s="33">
        <f t="shared" si="10"/>
        <v>1.5000000000000002</v>
      </c>
    </row>
    <row r="21" spans="1:21" s="11" customFormat="1">
      <c r="B21" s="35">
        <v>4.5</v>
      </c>
      <c r="C21" s="49">
        <f t="shared" si="9"/>
        <v>3.78125</v>
      </c>
      <c r="D21" s="42">
        <f>Conversion!$B$22/E21</f>
        <v>337190.08264462813</v>
      </c>
      <c r="E21" s="35">
        <f>C21/(Conversion!B$14/1000000)</f>
        <v>4.4485294117647056</v>
      </c>
      <c r="F21" s="35">
        <f t="shared" si="0"/>
        <v>3.5588235294117645</v>
      </c>
      <c r="G21" s="36">
        <f t="shared" si="1"/>
        <v>161570.2479338843</v>
      </c>
      <c r="H21" s="36">
        <f>Conversion!$B$14+Math!D21+Math!G21</f>
        <v>1348760.3305785125</v>
      </c>
      <c r="I21" s="38">
        <f t="shared" si="2"/>
        <v>0.11979166666666666</v>
      </c>
      <c r="J21" s="41">
        <f t="shared" si="3"/>
        <v>0.71874999999999989</v>
      </c>
      <c r="K21" s="39">
        <f t="shared" si="4"/>
        <v>1.25</v>
      </c>
      <c r="L21" s="37"/>
      <c r="M21" s="49">
        <f t="shared" si="5"/>
        <v>3.9249999999999998</v>
      </c>
      <c r="N21" s="36">
        <f>Conversion!$B$22/O21</f>
        <v>324840.76433121023</v>
      </c>
      <c r="O21" s="32">
        <f>M21/(Conversion!$B$14/1000000)</f>
        <v>4.617647058823529</v>
      </c>
      <c r="P21" s="21">
        <f>Conversion!$H$21</f>
        <v>4.617647058823529</v>
      </c>
      <c r="Q21" s="36">
        <f t="shared" si="6"/>
        <v>124522.29299363057</v>
      </c>
      <c r="R21" s="36">
        <f>Conversion!$B$14+Math!N21+Math!Q21</f>
        <v>1299363.0573248407</v>
      </c>
      <c r="S21" s="38">
        <f t="shared" si="7"/>
        <v>9.583333333333334E-2</v>
      </c>
      <c r="T21" s="26">
        <f t="shared" si="8"/>
        <v>0.86250000000000004</v>
      </c>
      <c r="U21" s="33">
        <f t="shared" si="10"/>
        <v>1.5000000000000002</v>
      </c>
    </row>
    <row r="22" spans="1:21">
      <c r="A22" s="11"/>
      <c r="B22" s="35">
        <v>5</v>
      </c>
      <c r="C22" s="49">
        <f t="shared" si="9"/>
        <v>4.28125</v>
      </c>
      <c r="D22" s="42">
        <f>Conversion!$B$22/E22</f>
        <v>297810.21897810214</v>
      </c>
      <c r="E22" s="35">
        <f>C22/(Conversion!B$14/1000000)</f>
        <v>5.0367647058823533</v>
      </c>
      <c r="F22" s="35">
        <f t="shared" si="0"/>
        <v>4.0294117647058831</v>
      </c>
      <c r="G22" s="36">
        <f t="shared" si="1"/>
        <v>142700.72992700725</v>
      </c>
      <c r="H22" s="36">
        <f>Conversion!$B$14+Math!D22+Math!G22</f>
        <v>1290510.9489051094</v>
      </c>
      <c r="I22" s="38">
        <f t="shared" si="2"/>
        <v>0.11057692307692304</v>
      </c>
      <c r="J22" s="41">
        <f t="shared" si="3"/>
        <v>0.71874999999999989</v>
      </c>
      <c r="K22" s="39">
        <f t="shared" si="4"/>
        <v>1.25</v>
      </c>
      <c r="L22" s="37"/>
      <c r="M22" s="50">
        <f t="shared" si="5"/>
        <v>4.3611111111111107</v>
      </c>
      <c r="N22" s="6">
        <f>Conversion!$B$22/O22</f>
        <v>292356.68789808918</v>
      </c>
      <c r="O22" s="32">
        <f>M22/(Conversion!$B$14/1000000)</f>
        <v>5.1307189542483655</v>
      </c>
      <c r="P22" s="21">
        <f>Conversion!$H$21</f>
        <v>4.617647058823529</v>
      </c>
      <c r="Q22" s="6">
        <f t="shared" si="6"/>
        <v>124522.29299363057</v>
      </c>
      <c r="R22" s="36">
        <f>Conversion!$B$14+Math!N22+Math!Q22</f>
        <v>1266878.9808917197</v>
      </c>
      <c r="S22" s="38">
        <f t="shared" si="7"/>
        <v>9.8290598290598288E-2</v>
      </c>
      <c r="T22" s="26">
        <f t="shared" si="8"/>
        <v>0.86250000000000004</v>
      </c>
      <c r="U22" s="33">
        <f t="shared" si="10"/>
        <v>1.5000000000000002</v>
      </c>
    </row>
    <row r="23" spans="1:21">
      <c r="B23" s="35">
        <v>5.5</v>
      </c>
      <c r="C23" s="49">
        <f t="shared" si="9"/>
        <v>4.78125</v>
      </c>
      <c r="D23" s="42">
        <f>Conversion!$B$22/E23</f>
        <v>266666.66666666669</v>
      </c>
      <c r="E23" s="35">
        <f>C23/(Conversion!B$14/1000000)</f>
        <v>5.625</v>
      </c>
      <c r="F23" s="35">
        <f t="shared" si="0"/>
        <v>4.5</v>
      </c>
      <c r="G23" s="36">
        <f t="shared" si="1"/>
        <v>127777.77777777777</v>
      </c>
      <c r="H23" s="36">
        <f>Conversion!$B$14+Math!D23+Math!G23</f>
        <v>1244444.4444444445</v>
      </c>
      <c r="I23" s="38">
        <f t="shared" si="2"/>
        <v>0.10267857142857141</v>
      </c>
      <c r="J23" s="41">
        <f t="shared" si="3"/>
        <v>0.71874999999999989</v>
      </c>
      <c r="K23" s="39">
        <f t="shared" si="4"/>
        <v>1.25</v>
      </c>
      <c r="L23" s="34"/>
      <c r="M23" s="50">
        <f t="shared" si="5"/>
        <v>4.7972222222222225</v>
      </c>
      <c r="N23" s="6">
        <f>Conversion!$B$22/O23</f>
        <v>265778.80718008103</v>
      </c>
      <c r="O23" s="32">
        <f>M23/(Conversion!$B$14/1000000)</f>
        <v>5.643790849673203</v>
      </c>
      <c r="P23" s="21">
        <f>Conversion!$H$21</f>
        <v>4.617647058823529</v>
      </c>
      <c r="Q23" s="6">
        <f t="shared" si="6"/>
        <v>124522.29299363057</v>
      </c>
      <c r="R23" s="36">
        <f>Conversion!$B$14+Math!N23+Math!Q23</f>
        <v>1240301.1001737115</v>
      </c>
      <c r="S23" s="38">
        <f t="shared" si="7"/>
        <v>0.1003968253968254</v>
      </c>
      <c r="T23" s="26">
        <f t="shared" si="8"/>
        <v>0.86250000000000004</v>
      </c>
      <c r="U23" s="33">
        <f t="shared" si="10"/>
        <v>1.5000000000000002</v>
      </c>
    </row>
    <row r="24" spans="1:21" s="40" customFormat="1">
      <c r="B24" s="51">
        <v>6</v>
      </c>
      <c r="C24" s="52">
        <f t="shared" si="9"/>
        <v>5.28125</v>
      </c>
      <c r="D24" s="53">
        <f>Conversion!$B$22/E24</f>
        <v>241420.11834319524</v>
      </c>
      <c r="E24" s="51">
        <f>C24/(Conversion!B$14/1000000)</f>
        <v>6.2132352941176476</v>
      </c>
      <c r="F24" s="51">
        <f t="shared" si="0"/>
        <v>4.9705882352941186</v>
      </c>
      <c r="G24" s="54">
        <f t="shared" si="1"/>
        <v>115680.47337278104</v>
      </c>
      <c r="H24" s="54">
        <f>Conversion!$B$14+Math!D24+Math!G24</f>
        <v>1207100.5917159761</v>
      </c>
      <c r="I24" s="55">
        <f t="shared" si="2"/>
        <v>9.5833333333333326E-2</v>
      </c>
      <c r="J24" s="56">
        <f t="shared" si="3"/>
        <v>0.71874999999999989</v>
      </c>
      <c r="K24" s="57">
        <f t="shared" si="4"/>
        <v>1.25</v>
      </c>
      <c r="L24" s="58"/>
      <c r="M24" s="52">
        <f t="shared" si="5"/>
        <v>5.2333333333333334</v>
      </c>
      <c r="N24" s="54">
        <f>Conversion!$B$22/O24</f>
        <v>243630.57324840763</v>
      </c>
      <c r="O24" s="59">
        <f>M24/(Conversion!$B$14/1000000)</f>
        <v>6.1568627450980395</v>
      </c>
      <c r="P24" s="60">
        <f>Conversion!$H$21</f>
        <v>4.617647058823529</v>
      </c>
      <c r="Q24" s="54">
        <f t="shared" si="6"/>
        <v>124522.29299363057</v>
      </c>
      <c r="R24" s="54">
        <f>Conversion!$B$14+Math!N24+Math!Q24</f>
        <v>1218152.8662420381</v>
      </c>
      <c r="S24" s="55">
        <f t="shared" si="7"/>
        <v>0.10222222222222223</v>
      </c>
      <c r="T24" s="61">
        <f t="shared" si="8"/>
        <v>1.1499999999999999</v>
      </c>
      <c r="U24" s="62">
        <f t="shared" si="10"/>
        <v>2</v>
      </c>
    </row>
    <row r="25" spans="1:21">
      <c r="B25" s="59">
        <v>6.25</v>
      </c>
      <c r="C25" s="63">
        <f t="shared" si="9"/>
        <v>5.53125</v>
      </c>
      <c r="D25" s="64">
        <f>Conversion!$B$22/E25</f>
        <v>230508.47457627117</v>
      </c>
      <c r="E25" s="59">
        <f>C25/(Conversion!B$14/1000000)</f>
        <v>6.507352941176471</v>
      </c>
      <c r="F25" s="59">
        <f t="shared" si="0"/>
        <v>5.2058823529411775</v>
      </c>
      <c r="G25" s="65">
        <f t="shared" si="1"/>
        <v>110451.97740112992</v>
      </c>
      <c r="H25" s="65">
        <f>Conversion!$B$14+Math!D25+Math!G25</f>
        <v>1190960.451977401</v>
      </c>
      <c r="I25" s="66">
        <f t="shared" si="2"/>
        <v>9.2741935483870955E-2</v>
      </c>
      <c r="J25" s="67">
        <f t="shared" si="3"/>
        <v>0.71874999999999989</v>
      </c>
      <c r="K25" s="62">
        <f t="shared" si="4"/>
        <v>1.25</v>
      </c>
      <c r="L25" s="68"/>
      <c r="M25" s="63">
        <f t="shared" si="5"/>
        <v>5.4513888888888893</v>
      </c>
      <c r="N25" s="65">
        <f>Conversion!$B$22/O25</f>
        <v>233885.35031847132</v>
      </c>
      <c r="O25" s="59">
        <f>M25/(Conversion!$B$14/1000000)</f>
        <v>6.4133986928104578</v>
      </c>
      <c r="P25" s="60">
        <f>Conversion!$H$21</f>
        <v>4.617647058823529</v>
      </c>
      <c r="Q25" s="65">
        <f t="shared" si="6"/>
        <v>124522.29299363057</v>
      </c>
      <c r="R25" s="65">
        <f>Conversion!$B$14+Math!N25+Math!Q25</f>
        <v>1208407.643312102</v>
      </c>
      <c r="S25" s="66">
        <f t="shared" si="7"/>
        <v>0.10304659498207885</v>
      </c>
      <c r="T25" s="61">
        <f t="shared" si="8"/>
        <v>1.1979166666666667</v>
      </c>
      <c r="U25" s="62">
        <f t="shared" si="10"/>
        <v>2.0833333333333335</v>
      </c>
    </row>
    <row r="26" spans="1:21">
      <c r="B26" s="59">
        <v>6.5</v>
      </c>
      <c r="C26" s="63">
        <f t="shared" si="9"/>
        <v>5.78125</v>
      </c>
      <c r="D26" s="64">
        <f>Conversion!$B$22/E26</f>
        <v>220540.54054054053</v>
      </c>
      <c r="E26" s="59">
        <f>C26/(Conversion!B$14/1000000)</f>
        <v>6.8014705882352944</v>
      </c>
      <c r="F26" s="59">
        <f t="shared" si="0"/>
        <v>5.4411764705882355</v>
      </c>
      <c r="G26" s="65">
        <f t="shared" si="1"/>
        <v>105675.67567567567</v>
      </c>
      <c r="H26" s="65">
        <f>Conversion!$B$14+Math!D26+Math!G26</f>
        <v>1176216.2162162163</v>
      </c>
      <c r="I26" s="66">
        <f t="shared" si="2"/>
        <v>8.9843749999999986E-2</v>
      </c>
      <c r="J26" s="67">
        <f t="shared" si="3"/>
        <v>0.71874999999999989</v>
      </c>
      <c r="K26" s="62">
        <f t="shared" si="4"/>
        <v>1.25</v>
      </c>
      <c r="L26" s="68"/>
      <c r="M26" s="63">
        <f t="shared" si="5"/>
        <v>5.6694444444444443</v>
      </c>
      <c r="N26" s="65">
        <f>Conversion!$B$22/O26</f>
        <v>224889.75992160704</v>
      </c>
      <c r="O26" s="59">
        <f>M26/(Conversion!$B$14/1000000)</f>
        <v>6.6699346405228761</v>
      </c>
      <c r="P26" s="60">
        <f>Conversion!$H$21</f>
        <v>4.617647058823529</v>
      </c>
      <c r="Q26" s="65">
        <f t="shared" si="6"/>
        <v>124522.29299363057</v>
      </c>
      <c r="R26" s="65">
        <f>Conversion!$B$14+Math!N26+Math!Q26</f>
        <v>1199412.0529152376</v>
      </c>
      <c r="S26" s="66">
        <f t="shared" si="7"/>
        <v>0.10381944444444445</v>
      </c>
      <c r="T26" s="61">
        <f t="shared" si="8"/>
        <v>1.2458333333333336</v>
      </c>
      <c r="U26" s="62">
        <f t="shared" si="10"/>
        <v>2.1666666666666674</v>
      </c>
    </row>
    <row r="27" spans="1:21">
      <c r="B27" s="59">
        <v>6.75</v>
      </c>
      <c r="C27" s="63">
        <f t="shared" si="9"/>
        <v>6.03125</v>
      </c>
      <c r="D27" s="64">
        <f>Conversion!$B$22/E27</f>
        <v>211398.96373056996</v>
      </c>
      <c r="E27" s="59">
        <f>C27/(Conversion!B$14/1000000)</f>
        <v>7.0955882352941178</v>
      </c>
      <c r="F27" s="59">
        <f t="shared" si="0"/>
        <v>5.6764705882352944</v>
      </c>
      <c r="G27" s="65">
        <f t="shared" si="1"/>
        <v>101295.33678756475</v>
      </c>
      <c r="H27" s="65">
        <f>Conversion!$B$14+Math!D27+Math!G27</f>
        <v>1162694.3005181346</v>
      </c>
      <c r="I27" s="66">
        <f t="shared" si="2"/>
        <v>8.7121212121212113E-2</v>
      </c>
      <c r="J27" s="67">
        <f t="shared" si="3"/>
        <v>0.71874999999999989</v>
      </c>
      <c r="K27" s="62">
        <f t="shared" si="4"/>
        <v>1.25</v>
      </c>
      <c r="L27" s="68"/>
      <c r="M27" s="63">
        <f t="shared" si="5"/>
        <v>5.8875000000000002</v>
      </c>
      <c r="N27" s="65">
        <f>Conversion!$B$22/O27</f>
        <v>216560.50955414012</v>
      </c>
      <c r="O27" s="59">
        <f>M27/(Conversion!$B$14/1000000)</f>
        <v>6.9264705882352944</v>
      </c>
      <c r="P27" s="60">
        <f>Conversion!$H$21</f>
        <v>4.617647058823529</v>
      </c>
      <c r="Q27" s="65">
        <f t="shared" si="6"/>
        <v>124522.29299363057</v>
      </c>
      <c r="R27" s="65">
        <f>Conversion!$B$14+Math!N27+Math!Q27</f>
        <v>1191082.8025477706</v>
      </c>
      <c r="S27" s="66">
        <f t="shared" si="7"/>
        <v>0.10454545454545455</v>
      </c>
      <c r="T27" s="61">
        <f t="shared" si="8"/>
        <v>1.29375</v>
      </c>
      <c r="U27" s="62">
        <f t="shared" si="10"/>
        <v>2.25</v>
      </c>
    </row>
    <row r="28" spans="1:21">
      <c r="B28" s="59">
        <v>7</v>
      </c>
      <c r="C28" s="63">
        <f t="shared" si="9"/>
        <v>6.28125</v>
      </c>
      <c r="D28" s="64">
        <f>Conversion!$B$22/E28</f>
        <v>202985.07462686568</v>
      </c>
      <c r="E28" s="59">
        <f>C28/(Conversion!B$14/1000000)</f>
        <v>7.3897058823529411</v>
      </c>
      <c r="F28" s="59">
        <f t="shared" si="0"/>
        <v>5.9117647058823533</v>
      </c>
      <c r="G28" s="65">
        <f t="shared" si="1"/>
        <v>97263.681592039778</v>
      </c>
      <c r="H28" s="65">
        <f>Conversion!$B$14+Math!D28+Math!G28</f>
        <v>1150248.7562189056</v>
      </c>
      <c r="I28" s="66">
        <f t="shared" si="2"/>
        <v>8.4558823529411742E-2</v>
      </c>
      <c r="J28" s="67">
        <f t="shared" si="3"/>
        <v>0.71874999999999989</v>
      </c>
      <c r="K28" s="62">
        <f t="shared" si="4"/>
        <v>1.25</v>
      </c>
      <c r="L28" s="68"/>
      <c r="M28" s="63">
        <f t="shared" si="5"/>
        <v>6.1055555555555561</v>
      </c>
      <c r="N28" s="65">
        <f>Conversion!$B$22/O28</f>
        <v>208826.20564149224</v>
      </c>
      <c r="O28" s="59">
        <f>M28/(Conversion!$B$14/1000000)</f>
        <v>7.1830065359477135</v>
      </c>
      <c r="P28" s="60">
        <f>Conversion!$H$21</f>
        <v>4.617647058823529</v>
      </c>
      <c r="Q28" s="65">
        <f t="shared" si="6"/>
        <v>124522.29299363057</v>
      </c>
      <c r="R28" s="65">
        <f>Conversion!$B$14+Math!N28+Math!Q28</f>
        <v>1183348.4986351228</v>
      </c>
      <c r="S28" s="66">
        <f t="shared" si="7"/>
        <v>0.10522875816993464</v>
      </c>
      <c r="T28" s="61">
        <f t="shared" si="8"/>
        <v>1.341666666666667</v>
      </c>
      <c r="U28" s="62">
        <f t="shared" si="10"/>
        <v>2.3333333333333339</v>
      </c>
    </row>
    <row r="29" spans="1:21" s="11" customFormat="1">
      <c r="B29" s="59">
        <v>10</v>
      </c>
      <c r="C29" s="63">
        <f t="shared" si="9"/>
        <v>9.28125</v>
      </c>
      <c r="D29" s="64">
        <f>Conversion!$B$22/E29</f>
        <v>137373.73737373736</v>
      </c>
      <c r="E29" s="59">
        <f>C29/(Conversion!B$14/1000000)</f>
        <v>10.919117647058824</v>
      </c>
      <c r="F29" s="59">
        <f t="shared" si="0"/>
        <v>8.7352941176470598</v>
      </c>
      <c r="G29" s="65">
        <f t="shared" si="1"/>
        <v>65824.915824915821</v>
      </c>
      <c r="H29" s="65">
        <f>Conversion!$B$14+Math!D29+Math!G29</f>
        <v>1053198.6531986531</v>
      </c>
      <c r="I29" s="66">
        <f t="shared" si="2"/>
        <v>6.25E-2</v>
      </c>
      <c r="J29" s="67">
        <f t="shared" si="3"/>
        <v>0.71874999999999989</v>
      </c>
      <c r="K29" s="62">
        <f t="shared" si="4"/>
        <v>1.25</v>
      </c>
      <c r="L29" s="68"/>
      <c r="M29" s="63">
        <f t="shared" si="5"/>
        <v>8.7222222222222214</v>
      </c>
      <c r="N29" s="65">
        <f>Conversion!$B$22/O29</f>
        <v>146178.34394904459</v>
      </c>
      <c r="O29" s="59">
        <f>M29/(Conversion!$B$14/1000000)</f>
        <v>10.261437908496731</v>
      </c>
      <c r="P29" s="60">
        <f>Conversion!$H$21</f>
        <v>4.617647058823529</v>
      </c>
      <c r="Q29" s="65">
        <f t="shared" si="6"/>
        <v>124522.29299363057</v>
      </c>
      <c r="R29" s="65">
        <f>Conversion!$B$14+Math!N29+Math!Q29</f>
        <v>1120700.6369426751</v>
      </c>
      <c r="S29" s="66">
        <f t="shared" si="7"/>
        <v>0.11111111111111112</v>
      </c>
      <c r="T29" s="61">
        <f t="shared" si="8"/>
        <v>1.9166666666666665</v>
      </c>
      <c r="U29" s="62">
        <f t="shared" si="10"/>
        <v>3.3333333333333335</v>
      </c>
    </row>
    <row r="30" spans="1:21" s="11" customFormat="1">
      <c r="B30" s="59">
        <v>15</v>
      </c>
      <c r="C30" s="63">
        <f t="shared" si="9"/>
        <v>14.28125</v>
      </c>
      <c r="D30" s="64">
        <f>Conversion!$B$22/E30</f>
        <v>89277.899343544865</v>
      </c>
      <c r="E30" s="59">
        <f>C30/(Conversion!B$14/1000000)</f>
        <v>16.801470588235293</v>
      </c>
      <c r="F30" s="59">
        <f t="shared" si="0"/>
        <v>13.441176470588236</v>
      </c>
      <c r="G30" s="65">
        <f t="shared" si="1"/>
        <v>42778.993435448574</v>
      </c>
      <c r="H30" s="65">
        <f>Conversion!$B$14+Math!D30+Math!G30</f>
        <v>982056.89277899347</v>
      </c>
      <c r="I30" s="66">
        <f t="shared" si="2"/>
        <v>4.3560606060606057E-2</v>
      </c>
      <c r="J30" s="67">
        <f t="shared" si="3"/>
        <v>0.71874999999999989</v>
      </c>
      <c r="K30" s="62">
        <f t="shared" si="4"/>
        <v>1.25</v>
      </c>
      <c r="L30" s="68"/>
      <c r="M30" s="63">
        <f t="shared" si="5"/>
        <v>13.083333333333334</v>
      </c>
      <c r="N30" s="65">
        <f>Conversion!$B$22/O30</f>
        <v>97452.229299363054</v>
      </c>
      <c r="O30" s="59">
        <f>M30/(Conversion!$B$14/1000000)</f>
        <v>15.392156862745098</v>
      </c>
      <c r="P30" s="60">
        <f>Conversion!$H$21</f>
        <v>4.617647058823529</v>
      </c>
      <c r="Q30" s="65">
        <f t="shared" si="6"/>
        <v>124522.29299363057</v>
      </c>
      <c r="R30" s="65">
        <f>Conversion!$B$14+Math!N30+Math!Q30</f>
        <v>1071974.5222929937</v>
      </c>
      <c r="S30" s="66">
        <f t="shared" si="7"/>
        <v>0.11616161616161615</v>
      </c>
      <c r="T30" s="61">
        <f t="shared" si="8"/>
        <v>2.875</v>
      </c>
      <c r="U30" s="62">
        <f t="shared" si="10"/>
        <v>5</v>
      </c>
    </row>
    <row r="31" spans="1:21">
      <c r="B31" s="59">
        <v>20</v>
      </c>
      <c r="C31" s="63">
        <f t="shared" si="9"/>
        <v>19.28125</v>
      </c>
      <c r="D31" s="64">
        <f>Conversion!$B$22/E31</f>
        <v>66126.418152350088</v>
      </c>
      <c r="E31" s="59">
        <f>C31/(Conversion!B$14/1000000)</f>
        <v>22.683823529411764</v>
      </c>
      <c r="F31" s="59">
        <f t="shared" si="0"/>
        <v>18.147058823529413</v>
      </c>
      <c r="G31" s="65">
        <f t="shared" si="1"/>
        <v>31685.57536466774</v>
      </c>
      <c r="H31" s="65">
        <f>Conversion!$B$14+Math!D31+Math!G31</f>
        <v>947811.99351701781</v>
      </c>
      <c r="I31" s="66">
        <f t="shared" si="2"/>
        <v>3.3430232558139532E-2</v>
      </c>
      <c r="J31" s="67">
        <f t="shared" si="3"/>
        <v>0.71874999999999989</v>
      </c>
      <c r="K31" s="62">
        <f t="shared" si="4"/>
        <v>1.25</v>
      </c>
      <c r="L31" s="68"/>
      <c r="M31" s="63">
        <f t="shared" si="5"/>
        <v>17.444444444444443</v>
      </c>
      <c r="N31" s="65">
        <f>Conversion!$B$22/O31</f>
        <v>73089.171974522294</v>
      </c>
      <c r="O31" s="59">
        <f>M31/(Conversion!$B$14/1000000)</f>
        <v>20.522875816993462</v>
      </c>
      <c r="P31" s="60">
        <f>Conversion!$H$21</f>
        <v>4.617647058823529</v>
      </c>
      <c r="Q31" s="65">
        <f t="shared" si="6"/>
        <v>124522.29299363057</v>
      </c>
      <c r="R31" s="65">
        <f>Conversion!$B$14+Math!N31+Math!Q31</f>
        <v>1047611.4649681528</v>
      </c>
      <c r="S31" s="66">
        <f t="shared" si="7"/>
        <v>0.11886304909560724</v>
      </c>
      <c r="T31" s="61">
        <f t="shared" si="8"/>
        <v>3.833333333333333</v>
      </c>
      <c r="U31" s="62">
        <f t="shared" si="10"/>
        <v>6.666666666666667</v>
      </c>
    </row>
    <row r="32" spans="1:21">
      <c r="B32" s="59">
        <v>30</v>
      </c>
      <c r="C32" s="63">
        <f t="shared" si="9"/>
        <v>29.28125</v>
      </c>
      <c r="D32" s="64">
        <f>Conversion!$B$22/E32</f>
        <v>43543.223052294554</v>
      </c>
      <c r="E32" s="59">
        <f>C32/(Conversion!B$14/1000000)</f>
        <v>34.44852941176471</v>
      </c>
      <c r="F32" s="59">
        <f t="shared" si="0"/>
        <v>27.558823529411768</v>
      </c>
      <c r="G32" s="65">
        <f t="shared" si="1"/>
        <v>20864.461045891137</v>
      </c>
      <c r="H32" s="65">
        <f>Conversion!$B$14+Math!D32+Math!G32</f>
        <v>914407.68409818574</v>
      </c>
      <c r="I32" s="66">
        <f t="shared" si="2"/>
        <v>2.2817460317460313E-2</v>
      </c>
      <c r="J32" s="67">
        <f t="shared" si="3"/>
        <v>0.71874999999999989</v>
      </c>
      <c r="K32" s="62">
        <f t="shared" si="4"/>
        <v>1.25</v>
      </c>
      <c r="L32" s="68"/>
      <c r="M32" s="63">
        <f t="shared" si="5"/>
        <v>26.166666666666668</v>
      </c>
      <c r="N32" s="65">
        <f>Conversion!$B$22/O32</f>
        <v>48726.114649681527</v>
      </c>
      <c r="O32" s="59">
        <f>M32/(Conversion!$B$14/1000000)</f>
        <v>30.784313725490197</v>
      </c>
      <c r="P32" s="60">
        <f>Conversion!$H$21</f>
        <v>4.617647058823529</v>
      </c>
      <c r="Q32" s="65">
        <f t="shared" si="6"/>
        <v>124522.29299363057</v>
      </c>
      <c r="R32" s="65">
        <f>Conversion!$B$14+Math!N32+Math!Q32</f>
        <v>1023248.4076433121</v>
      </c>
      <c r="S32" s="66">
        <f t="shared" si="7"/>
        <v>0.12169312169312169</v>
      </c>
      <c r="T32" s="61">
        <f t="shared" si="8"/>
        <v>5.75</v>
      </c>
      <c r="U32" s="62">
        <f t="shared" si="10"/>
        <v>10</v>
      </c>
    </row>
    <row r="33" spans="2:21">
      <c r="B33" s="59">
        <v>50</v>
      </c>
      <c r="C33" s="63">
        <f t="shared" si="9"/>
        <v>49.28125</v>
      </c>
      <c r="D33" s="64">
        <f>Conversion!$B$22/E33</f>
        <v>25871.908687381103</v>
      </c>
      <c r="E33" s="59">
        <f>C33/(Conversion!B$14/1000000)</f>
        <v>57.977941176470587</v>
      </c>
      <c r="F33" s="59">
        <f t="shared" si="0"/>
        <v>46.382352941176471</v>
      </c>
      <c r="G33" s="65">
        <f t="shared" si="1"/>
        <v>12396.956246036778</v>
      </c>
      <c r="H33" s="65">
        <f>Conversion!$B$14+Math!D33+Math!G33</f>
        <v>888268.86493341788</v>
      </c>
      <c r="I33" s="66">
        <f t="shared" si="2"/>
        <v>1.3956310679611649E-2</v>
      </c>
      <c r="J33" s="67">
        <f t="shared" si="3"/>
        <v>0.71874999999999989</v>
      </c>
      <c r="K33" s="62">
        <f t="shared" si="4"/>
        <v>1.25</v>
      </c>
      <c r="L33" s="68"/>
      <c r="M33" s="63">
        <f t="shared" si="5"/>
        <v>43.611111111111114</v>
      </c>
      <c r="N33" s="65">
        <f>Conversion!$B$22/O33</f>
        <v>29235.668789808915</v>
      </c>
      <c r="O33" s="59">
        <f>M33/(Conversion!$B$14/1000000)</f>
        <v>51.307189542483663</v>
      </c>
      <c r="P33" s="60">
        <f>Conversion!$H$21</f>
        <v>4.617647058823529</v>
      </c>
      <c r="Q33" s="65">
        <f t="shared" si="6"/>
        <v>124522.29299363057</v>
      </c>
      <c r="R33" s="65">
        <f>Conversion!$B$14+Math!N33+Math!Q33</f>
        <v>1003757.9617834394</v>
      </c>
      <c r="S33" s="66">
        <f t="shared" si="7"/>
        <v>0.12405609492988134</v>
      </c>
      <c r="T33" s="61">
        <f t="shared" si="8"/>
        <v>9.5833333333333339</v>
      </c>
      <c r="U33" s="62">
        <f t="shared" si="10"/>
        <v>16.666666666666668</v>
      </c>
    </row>
    <row r="34" spans="2:21">
      <c r="B34" s="69"/>
      <c r="C34" s="69"/>
      <c r="D34" s="69"/>
      <c r="E34" s="69"/>
      <c r="F34" s="69"/>
      <c r="G34" s="69"/>
      <c r="H34" s="69"/>
      <c r="I34" s="69"/>
      <c r="J34" s="69"/>
      <c r="K34" s="69"/>
      <c r="L34" s="69"/>
      <c r="M34" s="69"/>
      <c r="N34" s="69"/>
      <c r="O34" s="69"/>
      <c r="P34" s="69"/>
      <c r="Q34" s="69"/>
      <c r="R34" s="69"/>
      <c r="S34" s="69"/>
      <c r="T34" s="69"/>
      <c r="U34" s="69"/>
    </row>
    <row r="36" spans="2:21">
      <c r="B36" t="s">
        <v>60</v>
      </c>
    </row>
  </sheetData>
  <mergeCells count="1">
    <mergeCell ref="C14:K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Conversion</vt:lpstr>
      <vt:lpstr>Math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Santinelli</dc:creator>
  <cp:lastModifiedBy>Angelo Santinelli</cp:lastModifiedBy>
  <dcterms:created xsi:type="dcterms:W3CDTF">2018-03-10T14:51:13Z</dcterms:created>
  <dcterms:modified xsi:type="dcterms:W3CDTF">2020-06-19T16:02:03Z</dcterms:modified>
</cp:coreProperties>
</file>