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eso\OneDrive\Desktop\โปรแกรมออกแบบโครงสร้าง\"/>
    </mc:Choice>
  </mc:AlternateContent>
  <xr:revisionPtr revIDLastSave="0" documentId="13_ncr:1_{04C73EAF-D364-4852-982A-640920F14FD8}" xr6:coauthVersionLast="47" xr6:coauthVersionMax="47" xr10:uidLastSave="{00000000-0000-0000-0000-000000000000}"/>
  <bookViews>
    <workbookView xWindow="-120" yWindow="-120" windowWidth="29040" windowHeight="15720" xr2:uid="{2EDE6FCD-130B-46DF-8E9A-BC9C14A4AF31}"/>
  </bookViews>
  <sheets>
    <sheet name="I-Pile" sheetId="2" r:id="rId1"/>
    <sheet name="Database" sheetId="1" r:id="rId2"/>
  </sheets>
  <definedNames>
    <definedName name="_xlnm.Print_Area" localSheetId="0">'I-Pile'!$A$1:$P$45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 a="1"/>
  <c r="K45" i="2" s="1"/>
  <c r="BD30" i="2"/>
  <c r="BG37" i="2"/>
  <c r="BF37" i="2"/>
  <c r="BI36" i="2"/>
  <c r="BH36" i="2"/>
  <c r="BB28" i="2"/>
  <c r="BF26" i="2"/>
  <c r="BB18" i="2"/>
  <c r="BD15" i="2"/>
  <c r="BB13" i="2"/>
  <c r="AR9" i="2"/>
  <c r="AV13" i="2"/>
  <c r="AT13" i="2"/>
  <c r="AR13" i="2"/>
  <c r="AP13" i="2"/>
  <c r="AN13" i="2"/>
  <c r="AJ23" i="2"/>
  <c r="AI19" i="2"/>
  <c r="B21" i="2" a="1"/>
  <c r="B21" i="2" s="1"/>
  <c r="M7" i="1"/>
  <c r="M8" i="1"/>
  <c r="M9" i="1"/>
  <c r="M10" i="1"/>
  <c r="M11" i="1"/>
  <c r="M6" i="1"/>
  <c r="L7" i="1"/>
  <c r="L8" i="1"/>
  <c r="L9" i="1"/>
  <c r="L10" i="1"/>
  <c r="L11" i="1"/>
  <c r="L6" i="1"/>
  <c r="O6" i="1"/>
  <c r="O7" i="1"/>
  <c r="O8" i="1"/>
  <c r="O9" i="1"/>
  <c r="O10" i="1"/>
  <c r="O11" i="1"/>
  <c r="K39" i="2" a="1"/>
  <c r="K39" i="2" s="1"/>
  <c r="H32" i="2"/>
  <c r="AJ13" i="2" s="1"/>
  <c r="C32" i="2"/>
  <c r="AJ15" i="2" s="1"/>
  <c r="H31" i="2"/>
  <c r="AJ17" i="2" s="1"/>
  <c r="C31" i="2"/>
  <c r="AJ16" i="2" s="1"/>
  <c r="BQ44" i="2"/>
  <c r="BS33" i="2"/>
  <c r="BU12" i="2"/>
  <c r="BU13" i="2"/>
  <c r="BU14" i="2"/>
  <c r="BU15" i="2"/>
  <c r="BU16" i="2"/>
  <c r="BU17" i="2"/>
  <c r="BU18" i="2"/>
  <c r="BU19" i="2"/>
  <c r="BU20" i="2"/>
  <c r="BU21" i="2"/>
  <c r="BU11" i="2"/>
  <c r="M37" i="2" l="1"/>
  <c r="BQ23" i="2"/>
  <c r="BR23" i="2" s="1"/>
  <c r="B28" i="2" a="1"/>
  <c r="B28" i="2" s="1"/>
  <c r="I28" i="2" a="1"/>
  <c r="I28" i="2" s="1"/>
  <c r="N27" i="2" s="1"/>
  <c r="I27" i="2" a="1"/>
  <c r="I27" i="2" s="1"/>
  <c r="BO11" i="2"/>
  <c r="B24" i="2" a="1"/>
  <c r="B24" i="2" s="1"/>
  <c r="F15" i="2" s="1"/>
  <c r="B23" i="2" a="1"/>
  <c r="B23" i="2" s="1"/>
  <c r="F14" i="2" s="1"/>
  <c r="B22" i="2" a="1"/>
  <c r="B22" i="2" s="1"/>
  <c r="A14" i="2" s="1"/>
  <c r="G24" i="2" a="1"/>
  <c r="G24" i="2" s="1"/>
  <c r="B17" i="2" s="1"/>
  <c r="G23" i="2" a="1"/>
  <c r="G23" i="2" s="1"/>
  <c r="D18" i="2" s="1"/>
  <c r="G22" i="2" a="1"/>
  <c r="G22" i="2" s="1"/>
  <c r="G21" i="2" a="1"/>
  <c r="G21" i="2" s="1"/>
  <c r="N34" i="2" s="1"/>
  <c r="AJ26" i="2" s="1"/>
  <c r="G20" i="2" a="1"/>
  <c r="G20" i="2" s="1"/>
  <c r="AJ22" i="2" s="1"/>
  <c r="N28" i="2" l="1"/>
  <c r="B25" i="2"/>
  <c r="G25" i="2"/>
  <c r="F12" i="2"/>
  <c r="D10" i="2"/>
  <c r="AJ21" i="2" l="1"/>
  <c r="AJ24" i="2" s="1"/>
  <c r="AJ19" i="2"/>
  <c r="BR30" i="2"/>
  <c r="BQ30" i="2"/>
  <c r="BR24" i="2"/>
  <c r="BR28" i="2" s="1"/>
  <c r="BQ24" i="2"/>
  <c r="BQ28" i="2" s="1"/>
  <c r="BP11" i="2"/>
  <c r="BO12" i="2"/>
  <c r="BP12" i="2" s="1"/>
  <c r="BQ12" i="2" s="1"/>
  <c r="BR12" i="2" s="1"/>
  <c r="BS12" i="2" s="1"/>
  <c r="AJ25" i="2" l="1"/>
  <c r="AL14" i="2" s="1"/>
  <c r="BA21" i="2" s="1"/>
  <c r="BQ11" i="2"/>
  <c r="BR11" i="2" s="1"/>
  <c r="BS11" i="2" s="1"/>
  <c r="BO13" i="2"/>
  <c r="AL9" i="2" l="1"/>
  <c r="AL15" i="2"/>
  <c r="AP9" i="2"/>
  <c r="AM14" i="2"/>
  <c r="AN14" i="2" s="1"/>
  <c r="AO14" i="2"/>
  <c r="AP14" i="2" s="1"/>
  <c r="BQ27" i="2"/>
  <c r="BO14" i="2"/>
  <c r="BP13" i="2"/>
  <c r="BQ13" i="2" s="1"/>
  <c r="BR13" i="2" s="1"/>
  <c r="BS13" i="2" s="1"/>
  <c r="BB15" i="2" l="1"/>
  <c r="BB30" i="2"/>
  <c r="AL16" i="2"/>
  <c r="AM15" i="2"/>
  <c r="AN15" i="2" s="1"/>
  <c r="AO15" i="2"/>
  <c r="AP15" i="2" s="1"/>
  <c r="BO15" i="2"/>
  <c r="BP14" i="2"/>
  <c r="BQ14" i="2" s="1"/>
  <c r="BR14" i="2" s="1"/>
  <c r="BS14" i="2" s="1"/>
  <c r="AL17" i="2" l="1"/>
  <c r="AM16" i="2"/>
  <c r="AN16" i="2" s="1"/>
  <c r="AO16" i="2"/>
  <c r="AP16" i="2" s="1"/>
  <c r="BO16" i="2"/>
  <c r="BP15" i="2"/>
  <c r="BQ15" i="2" s="1"/>
  <c r="BR15" i="2" s="1"/>
  <c r="BS15" i="2" s="1"/>
  <c r="AL18" i="2" l="1"/>
  <c r="AM17" i="2"/>
  <c r="AN17" i="2" s="1"/>
  <c r="AO17" i="2"/>
  <c r="AP17" i="2" s="1"/>
  <c r="BO17" i="2"/>
  <c r="BP16" i="2"/>
  <c r="BQ16" i="2" s="1"/>
  <c r="BR16" i="2" s="1"/>
  <c r="BS16" i="2" s="1"/>
  <c r="AL19" i="2" l="1"/>
  <c r="AM18" i="2"/>
  <c r="AN18" i="2" s="1"/>
  <c r="AO18" i="2"/>
  <c r="AP18" i="2" s="1"/>
  <c r="BO18" i="2"/>
  <c r="BO19" i="2" s="1"/>
  <c r="BP17" i="2"/>
  <c r="BQ17" i="2" s="1"/>
  <c r="BR17" i="2" s="1"/>
  <c r="BS17" i="2" s="1"/>
  <c r="AL20" i="2" l="1"/>
  <c r="AM19" i="2"/>
  <c r="AN19" i="2" s="1"/>
  <c r="AO19" i="2"/>
  <c r="AP19" i="2" s="1"/>
  <c r="BO20" i="2"/>
  <c r="BP19" i="2"/>
  <c r="BQ19" i="2" s="1"/>
  <c r="BR19" i="2" s="1"/>
  <c r="BP18" i="2"/>
  <c r="BQ18" i="2" s="1"/>
  <c r="BR18" i="2" s="1"/>
  <c r="BS18" i="2" s="1"/>
  <c r="AL21" i="2" l="1"/>
  <c r="AM20" i="2"/>
  <c r="AN20" i="2" s="1"/>
  <c r="AO20" i="2"/>
  <c r="AP20" i="2" s="1"/>
  <c r="BO21" i="2"/>
  <c r="BP21" i="2" s="1"/>
  <c r="BQ21" i="2" s="1"/>
  <c r="BR21" i="2" s="1"/>
  <c r="BP20" i="2"/>
  <c r="BQ20" i="2" s="1"/>
  <c r="BR20" i="2" s="1"/>
  <c r="BS19" i="2"/>
  <c r="AL22" i="2" l="1"/>
  <c r="AM21" i="2"/>
  <c r="AN21" i="2" s="1"/>
  <c r="AO21" i="2"/>
  <c r="AP21" i="2" s="1"/>
  <c r="BS20" i="2"/>
  <c r="AL23" i="2" l="1"/>
  <c r="AM22" i="2"/>
  <c r="AN22" i="2" s="1"/>
  <c r="AO22" i="2"/>
  <c r="AP22" i="2" s="1"/>
  <c r="BS21" i="2"/>
  <c r="BQ32" i="2" s="1"/>
  <c r="BQ45" i="2" s="1"/>
  <c r="N11" i="1"/>
  <c r="N10" i="1"/>
  <c r="N9" i="1"/>
  <c r="N8" i="1"/>
  <c r="N7" i="1"/>
  <c r="N6" i="1"/>
  <c r="AL24" i="2" l="1"/>
  <c r="AM23" i="2"/>
  <c r="AN23" i="2" s="1"/>
  <c r="AO23" i="2"/>
  <c r="AP23" i="2" s="1"/>
  <c r="BT12" i="2"/>
  <c r="BY12" i="2" s="1"/>
  <c r="BV12" i="2"/>
  <c r="BW12" i="2" s="1"/>
  <c r="BT11" i="2"/>
  <c r="BY11" i="2" s="1"/>
  <c r="BV11" i="2"/>
  <c r="BW11" i="2" s="1"/>
  <c r="BT13" i="2"/>
  <c r="BY13" i="2" s="1"/>
  <c r="BV13" i="2"/>
  <c r="BW13" i="2" s="1"/>
  <c r="BQ29" i="2"/>
  <c r="BT21" i="2"/>
  <c r="BY21" i="2" s="1"/>
  <c r="AL25" i="2" l="1"/>
  <c r="AM24" i="2"/>
  <c r="AN24" i="2" s="1"/>
  <c r="AO24" i="2"/>
  <c r="AP24" i="2" s="1"/>
  <c r="BQ41" i="2"/>
  <c r="BR41" i="2" s="1"/>
  <c r="BV21" i="2"/>
  <c r="BW21" i="2" s="1"/>
  <c r="BP36" i="2" s="1"/>
  <c r="BR32" i="2"/>
  <c r="BS32" i="2" s="1"/>
  <c r="BU32" i="2" s="1"/>
  <c r="BT14" i="2"/>
  <c r="BY14" i="2" s="1"/>
  <c r="BV14" i="2"/>
  <c r="BW14" i="2" s="1"/>
  <c r="BT15" i="2"/>
  <c r="BY15" i="2" s="1"/>
  <c r="BV15" i="2"/>
  <c r="BW15" i="2" s="1"/>
  <c r="BT16" i="2"/>
  <c r="BY16" i="2" s="1"/>
  <c r="BV16" i="2"/>
  <c r="BW16" i="2" s="1"/>
  <c r="BT17" i="2"/>
  <c r="BY17" i="2" s="1"/>
  <c r="BV17" i="2"/>
  <c r="BW17" i="2" s="1"/>
  <c r="BT18" i="2"/>
  <c r="BY18" i="2" s="1"/>
  <c r="BV18" i="2"/>
  <c r="BW18" i="2" s="1"/>
  <c r="BT19" i="2"/>
  <c r="BY19" i="2" s="1"/>
  <c r="BV19" i="2"/>
  <c r="BW19" i="2" s="1"/>
  <c r="BT20" i="2"/>
  <c r="BY20" i="2" s="1"/>
  <c r="BV20" i="2"/>
  <c r="BW20" i="2" s="1"/>
  <c r="AL26" i="2" l="1"/>
  <c r="AM25" i="2"/>
  <c r="AN25" i="2" s="1"/>
  <c r="AO25" i="2"/>
  <c r="AP25" i="2" s="1"/>
  <c r="BQ40" i="2"/>
  <c r="BR40" i="2" s="1"/>
  <c r="BQ34" i="2"/>
  <c r="BR45" i="2" s="1"/>
  <c r="BT34" i="2"/>
  <c r="AL27" i="2" l="1"/>
  <c r="AM26" i="2"/>
  <c r="AN26" i="2" s="1"/>
  <c r="AO26" i="2"/>
  <c r="AP26" i="2" s="1"/>
  <c r="BS40" i="2"/>
  <c r="BR34" i="2"/>
  <c r="BR44" i="2"/>
  <c r="BS44" i="2" s="1"/>
  <c r="BQ38" i="2"/>
  <c r="BR38" i="2" s="1"/>
  <c r="BS45" i="2"/>
  <c r="BU34" i="2"/>
  <c r="AL28" i="2" l="1"/>
  <c r="AM27" i="2"/>
  <c r="AN27" i="2" s="1"/>
  <c r="AO27" i="2"/>
  <c r="AP27" i="2" s="1"/>
  <c r="BS46" i="2"/>
  <c r="AL29" i="2" l="1"/>
  <c r="AM28" i="2"/>
  <c r="AN28" i="2" s="1"/>
  <c r="AO28" i="2"/>
  <c r="AP28" i="2" s="1"/>
  <c r="BS47" i="2"/>
  <c r="N35" i="2"/>
  <c r="M38" i="2" s="1"/>
  <c r="AL30" i="2" l="1"/>
  <c r="AM29" i="2"/>
  <c r="AN29" i="2" s="1"/>
  <c r="AO29" i="2"/>
  <c r="AP29" i="2" s="1"/>
  <c r="AJ14" i="2"/>
  <c r="AJ18" i="2"/>
  <c r="N39" i="2"/>
  <c r="M36" i="2"/>
  <c r="AU16" i="2" l="1"/>
  <c r="AV16" i="2" s="1"/>
  <c r="AJ20" i="2"/>
  <c r="L42" i="2"/>
  <c r="AS14" i="2"/>
  <c r="AT14" i="2" s="1"/>
  <c r="AQ9" i="2" s="1"/>
  <c r="AU14" i="2"/>
  <c r="AV14" i="2" s="1"/>
  <c r="AS15" i="2"/>
  <c r="AT15" i="2" s="1"/>
  <c r="AU15" i="2"/>
  <c r="AV15" i="2" s="1"/>
  <c r="AS16" i="2"/>
  <c r="AT16" i="2" s="1"/>
  <c r="AS17" i="2"/>
  <c r="AT17" i="2" s="1"/>
  <c r="AU17" i="2"/>
  <c r="AV17" i="2" s="1"/>
  <c r="AU18" i="2"/>
  <c r="AV18" i="2" s="1"/>
  <c r="AS18" i="2"/>
  <c r="AT18" i="2" s="1"/>
  <c r="AS19" i="2"/>
  <c r="AT19" i="2" s="1"/>
  <c r="AU19" i="2"/>
  <c r="AV19" i="2" s="1"/>
  <c r="AU20" i="2"/>
  <c r="AV20" i="2" s="1"/>
  <c r="AS20" i="2"/>
  <c r="AT20" i="2" s="1"/>
  <c r="AS21" i="2"/>
  <c r="AT21" i="2" s="1"/>
  <c r="AU21" i="2"/>
  <c r="AV21" i="2" s="1"/>
  <c r="AU22" i="2"/>
  <c r="AV22" i="2" s="1"/>
  <c r="AS22" i="2"/>
  <c r="AT22" i="2" s="1"/>
  <c r="AU23" i="2"/>
  <c r="AV23" i="2" s="1"/>
  <c r="AS23" i="2"/>
  <c r="AT23" i="2" s="1"/>
  <c r="AU24" i="2"/>
  <c r="AV24" i="2" s="1"/>
  <c r="AS24" i="2"/>
  <c r="AT24" i="2" s="1"/>
  <c r="AU25" i="2"/>
  <c r="AV25" i="2" s="1"/>
  <c r="AS25" i="2"/>
  <c r="AT25" i="2" s="1"/>
  <c r="AS26" i="2"/>
  <c r="AT26" i="2" s="1"/>
  <c r="AU26" i="2"/>
  <c r="AV26" i="2" s="1"/>
  <c r="AS27" i="2"/>
  <c r="AT27" i="2" s="1"/>
  <c r="AU27" i="2"/>
  <c r="AV27" i="2" s="1"/>
  <c r="AU28" i="2"/>
  <c r="AV28" i="2" s="1"/>
  <c r="AS28" i="2"/>
  <c r="AT28" i="2" s="1"/>
  <c r="AS29" i="2"/>
  <c r="AT29" i="2" s="1"/>
  <c r="AU29" i="2"/>
  <c r="AV29" i="2" s="1"/>
  <c r="AL31" i="2"/>
  <c r="AM30" i="2"/>
  <c r="AN30" i="2" s="1"/>
  <c r="AO30" i="2"/>
  <c r="AP30" i="2" s="1"/>
  <c r="AU30" i="2"/>
  <c r="AV30" i="2" s="1"/>
  <c r="AS30" i="2"/>
  <c r="AT30" i="2" s="1"/>
  <c r="AL32" i="2" l="1"/>
  <c r="AM31" i="2"/>
  <c r="AN31" i="2" s="1"/>
  <c r="AS31" i="2"/>
  <c r="AT31" i="2" s="1"/>
  <c r="AU31" i="2"/>
  <c r="AV31" i="2" s="1"/>
  <c r="AO31" i="2"/>
  <c r="AP31" i="2" s="1"/>
  <c r="AL33" i="2" l="1"/>
  <c r="AM32" i="2"/>
  <c r="AN32" i="2" s="1"/>
  <c r="AO32" i="2"/>
  <c r="AP32" i="2" s="1"/>
  <c r="AU32" i="2"/>
  <c r="AV32" i="2" s="1"/>
  <c r="AS32" i="2"/>
  <c r="AT32" i="2" s="1"/>
  <c r="AL34" i="2" l="1"/>
  <c r="AM33" i="2"/>
  <c r="AN33" i="2" s="1"/>
  <c r="AS33" i="2"/>
  <c r="AT33" i="2" s="1"/>
  <c r="AO33" i="2"/>
  <c r="AP33" i="2" s="1"/>
  <c r="AU33" i="2"/>
  <c r="AV33" i="2" s="1"/>
  <c r="AL35" i="2" l="1"/>
  <c r="AM34" i="2"/>
  <c r="AN34" i="2" s="1"/>
  <c r="AS34" i="2"/>
  <c r="AT34" i="2" s="1"/>
  <c r="AU34" i="2"/>
  <c r="AV34" i="2" s="1"/>
  <c r="AO34" i="2"/>
  <c r="AP34" i="2" s="1"/>
  <c r="AL36" i="2" l="1"/>
  <c r="AM35" i="2"/>
  <c r="AN35" i="2" s="1"/>
  <c r="AS35" i="2"/>
  <c r="AT35" i="2" s="1"/>
  <c r="AU35" i="2"/>
  <c r="AV35" i="2" s="1"/>
  <c r="AO35" i="2"/>
  <c r="AP35" i="2" s="1"/>
  <c r="AL37" i="2" l="1"/>
  <c r="AM36" i="2"/>
  <c r="AN36" i="2" s="1"/>
  <c r="AO36" i="2"/>
  <c r="AP36" i="2" s="1"/>
  <c r="AU36" i="2"/>
  <c r="AV36" i="2" s="1"/>
  <c r="AS36" i="2"/>
  <c r="AT36" i="2" s="1"/>
  <c r="AL38" i="2" l="1"/>
  <c r="AM37" i="2"/>
  <c r="AN37" i="2" s="1"/>
  <c r="AU37" i="2"/>
  <c r="AV37" i="2" s="1"/>
  <c r="AO37" i="2"/>
  <c r="AP37" i="2" s="1"/>
  <c r="AS37" i="2"/>
  <c r="AT37" i="2" s="1"/>
  <c r="AL39" i="2" l="1"/>
  <c r="AM38" i="2"/>
  <c r="AN38" i="2" s="1"/>
  <c r="AO38" i="2"/>
  <c r="AP38" i="2" s="1"/>
  <c r="AS38" i="2"/>
  <c r="AT38" i="2" s="1"/>
  <c r="AU38" i="2"/>
  <c r="AV38" i="2" s="1"/>
  <c r="AL40" i="2" l="1"/>
  <c r="AM39" i="2"/>
  <c r="AN39" i="2" s="1"/>
  <c r="AU39" i="2"/>
  <c r="AV39" i="2" s="1"/>
  <c r="AO39" i="2"/>
  <c r="AP39" i="2" s="1"/>
  <c r="AS39" i="2"/>
  <c r="AT39" i="2" s="1"/>
  <c r="AL41" i="2" l="1"/>
  <c r="AM40" i="2"/>
  <c r="AN40" i="2" s="1"/>
  <c r="AS40" i="2"/>
  <c r="AT40" i="2" s="1"/>
  <c r="AU40" i="2"/>
  <c r="AV40" i="2" s="1"/>
  <c r="AO40" i="2"/>
  <c r="AP40" i="2" s="1"/>
  <c r="AL42" i="2" l="1"/>
  <c r="AM41" i="2"/>
  <c r="AN41" i="2" s="1"/>
  <c r="AS41" i="2"/>
  <c r="AT41" i="2" s="1"/>
  <c r="AU41" i="2"/>
  <c r="AV41" i="2" s="1"/>
  <c r="AO41" i="2"/>
  <c r="AP41" i="2" s="1"/>
  <c r="AL43" i="2" l="1"/>
  <c r="AM42" i="2"/>
  <c r="AN42" i="2" s="1"/>
  <c r="AU42" i="2"/>
  <c r="AV42" i="2" s="1"/>
  <c r="AO42" i="2"/>
  <c r="AP42" i="2" s="1"/>
  <c r="AS42" i="2"/>
  <c r="AT42" i="2" s="1"/>
  <c r="AL44" i="2" l="1"/>
  <c r="AM43" i="2"/>
  <c r="AN43" i="2" s="1"/>
  <c r="AO43" i="2"/>
  <c r="AP43" i="2" s="1"/>
  <c r="AU43" i="2"/>
  <c r="AV43" i="2" s="1"/>
  <c r="AS43" i="2"/>
  <c r="AT43" i="2" s="1"/>
  <c r="AL45" i="2" l="1"/>
  <c r="AM44" i="2"/>
  <c r="AN44" i="2" s="1"/>
  <c r="AO44" i="2"/>
  <c r="AP44" i="2" s="1"/>
  <c r="AS44" i="2"/>
  <c r="AT44" i="2" s="1"/>
  <c r="AU44" i="2"/>
  <c r="AV44" i="2" s="1"/>
  <c r="AL46" i="2" l="1"/>
  <c r="AM45" i="2"/>
  <c r="AN45" i="2" s="1"/>
  <c r="AS45" i="2"/>
  <c r="AT45" i="2" s="1"/>
  <c r="AU45" i="2"/>
  <c r="AV45" i="2" s="1"/>
  <c r="AO45" i="2"/>
  <c r="AP45" i="2" s="1"/>
  <c r="AL47" i="2" l="1"/>
  <c r="AM46" i="2"/>
  <c r="AN46" i="2" s="1"/>
  <c r="AO46" i="2"/>
  <c r="AP46" i="2" s="1"/>
  <c r="AU46" i="2"/>
  <c r="AV46" i="2" s="1"/>
  <c r="AS46" i="2"/>
  <c r="AT46" i="2" s="1"/>
  <c r="AL48" i="2" l="1"/>
  <c r="AM47" i="2"/>
  <c r="AN47" i="2" s="1"/>
  <c r="AO47" i="2"/>
  <c r="AP47" i="2" s="1"/>
  <c r="AS47" i="2"/>
  <c r="AT47" i="2" s="1"/>
  <c r="AU47" i="2"/>
  <c r="AV47" i="2" s="1"/>
  <c r="AL49" i="2" l="1"/>
  <c r="AM48" i="2"/>
  <c r="AN48" i="2" s="1"/>
  <c r="AS48" i="2"/>
  <c r="AT48" i="2" s="1"/>
  <c r="AO48" i="2"/>
  <c r="AP48" i="2" s="1"/>
  <c r="AU48" i="2"/>
  <c r="AV48" i="2" s="1"/>
  <c r="AL50" i="2" l="1"/>
  <c r="AM49" i="2"/>
  <c r="AN49" i="2" s="1"/>
  <c r="AU49" i="2"/>
  <c r="AV49" i="2" s="1"/>
  <c r="AO49" i="2"/>
  <c r="AP49" i="2" s="1"/>
  <c r="AS49" i="2"/>
  <c r="AT49" i="2" s="1"/>
  <c r="AL51" i="2" l="1"/>
  <c r="AM50" i="2"/>
  <c r="AN50" i="2" s="1"/>
  <c r="AU50" i="2"/>
  <c r="AV50" i="2" s="1"/>
  <c r="AS50" i="2"/>
  <c r="AT50" i="2" s="1"/>
  <c r="AO50" i="2"/>
  <c r="AP50" i="2" s="1"/>
  <c r="AL52" i="2" l="1"/>
  <c r="AM51" i="2"/>
  <c r="AN51" i="2" s="1"/>
  <c r="AO51" i="2"/>
  <c r="AP51" i="2" s="1"/>
  <c r="AS51" i="2"/>
  <c r="AT51" i="2" s="1"/>
  <c r="AU51" i="2"/>
  <c r="AV51" i="2" s="1"/>
  <c r="AL53" i="2" l="1"/>
  <c r="AM52" i="2"/>
  <c r="AN52" i="2" s="1"/>
  <c r="AO52" i="2"/>
  <c r="AP52" i="2" s="1"/>
  <c r="AS52" i="2"/>
  <c r="AT52" i="2" s="1"/>
  <c r="AU52" i="2"/>
  <c r="AV52" i="2" s="1"/>
  <c r="AL54" i="2" l="1"/>
  <c r="AM53" i="2"/>
  <c r="AN53" i="2" s="1"/>
  <c r="AS53" i="2"/>
  <c r="AT53" i="2" s="1"/>
  <c r="AO53" i="2"/>
  <c r="AP53" i="2" s="1"/>
  <c r="AU53" i="2"/>
  <c r="AV53" i="2" s="1"/>
  <c r="AL55" i="2" l="1"/>
  <c r="AM54" i="2"/>
  <c r="AN54" i="2" s="1"/>
  <c r="AU54" i="2"/>
  <c r="AV54" i="2" s="1"/>
  <c r="AO54" i="2"/>
  <c r="AP54" i="2" s="1"/>
  <c r="AS54" i="2"/>
  <c r="AT54" i="2" s="1"/>
  <c r="AL56" i="2" l="1"/>
  <c r="AM55" i="2"/>
  <c r="AN55" i="2" s="1"/>
  <c r="AU55" i="2"/>
  <c r="AV55" i="2" s="1"/>
  <c r="AO55" i="2"/>
  <c r="AP55" i="2" s="1"/>
  <c r="AS55" i="2"/>
  <c r="AT55" i="2" s="1"/>
  <c r="AL57" i="2" l="1"/>
  <c r="AM56" i="2"/>
  <c r="AN56" i="2" s="1"/>
  <c r="AO56" i="2"/>
  <c r="AP56" i="2" s="1"/>
  <c r="AU56" i="2"/>
  <c r="AV56" i="2" s="1"/>
  <c r="AS56" i="2"/>
  <c r="AT56" i="2" s="1"/>
  <c r="AL58" i="2" l="1"/>
  <c r="AM57" i="2"/>
  <c r="AN57" i="2" s="1"/>
  <c r="AS57" i="2"/>
  <c r="AT57" i="2" s="1"/>
  <c r="AO57" i="2"/>
  <c r="AP57" i="2" s="1"/>
  <c r="AU57" i="2"/>
  <c r="AV57" i="2" s="1"/>
  <c r="AL59" i="2" l="1"/>
  <c r="AM58" i="2"/>
  <c r="AN58" i="2" s="1"/>
  <c r="AO58" i="2"/>
  <c r="AP58" i="2" s="1"/>
  <c r="AU58" i="2"/>
  <c r="AV58" i="2" s="1"/>
  <c r="AS58" i="2"/>
  <c r="AT58" i="2" s="1"/>
  <c r="AL60" i="2" l="1"/>
  <c r="AM59" i="2"/>
  <c r="AN59" i="2" s="1"/>
  <c r="AU59" i="2"/>
  <c r="AV59" i="2" s="1"/>
  <c r="AS59" i="2"/>
  <c r="AT59" i="2" s="1"/>
  <c r="AO59" i="2"/>
  <c r="AP59" i="2" s="1"/>
  <c r="AL61" i="2" l="1"/>
  <c r="AM60" i="2"/>
  <c r="AN60" i="2" s="1"/>
  <c r="AO60" i="2"/>
  <c r="AP60" i="2" s="1"/>
  <c r="AU60" i="2"/>
  <c r="AV60" i="2" s="1"/>
  <c r="AS60" i="2"/>
  <c r="AT60" i="2" s="1"/>
  <c r="AL62" i="2" l="1"/>
  <c r="AM61" i="2"/>
  <c r="AN61" i="2" s="1"/>
  <c r="AO61" i="2"/>
  <c r="AP61" i="2" s="1"/>
  <c r="AS61" i="2"/>
  <c r="AT61" i="2" s="1"/>
  <c r="AU61" i="2"/>
  <c r="AV61" i="2" s="1"/>
  <c r="AL63" i="2" l="1"/>
  <c r="AM62" i="2"/>
  <c r="AN62" i="2" s="1"/>
  <c r="AU62" i="2"/>
  <c r="AV62" i="2" s="1"/>
  <c r="AO62" i="2"/>
  <c r="AP62" i="2" s="1"/>
  <c r="AS62" i="2"/>
  <c r="AT62" i="2" s="1"/>
  <c r="AS9" i="2" l="1"/>
  <c r="AK9" i="2"/>
  <c r="AM63" i="2"/>
  <c r="AN63" i="2" s="1"/>
  <c r="AM9" i="2" s="1"/>
  <c r="AS63" i="2"/>
  <c r="AT63" i="2" s="1"/>
  <c r="AU63" i="2"/>
  <c r="AV63" i="2" s="1"/>
  <c r="AO63" i="2"/>
  <c r="AP63" i="2" s="1"/>
  <c r="BD21" i="2" s="1"/>
  <c r="BB21" i="2" s="1"/>
  <c r="BF21" i="2" s="1"/>
  <c r="BA30" i="2" l="1"/>
  <c r="BA15" i="2"/>
  <c r="BF20" i="2"/>
  <c r="BC30" i="2"/>
  <c r="BF32" i="2" s="1"/>
  <c r="BC15" i="2"/>
  <c r="BF31" i="2" l="1"/>
  <c r="BF33" i="2" s="1"/>
  <c r="BA40" i="2" s="1"/>
  <c r="BF22" i="2"/>
  <c r="BA41" i="2" s="1"/>
  <c r="BA42" i="2" l="1"/>
  <c r="BB43" i="2"/>
  <c r="BH35" i="2"/>
  <c r="BG36" i="2" s="1"/>
  <c r="BI37" i="2" s="1"/>
  <c r="BF24" i="2" l="1"/>
  <c r="BH25" i="2" s="1"/>
  <c r="N40" i="2"/>
  <c r="L41" i="2" s="1"/>
  <c r="L43" i="2"/>
  <c r="L44" i="2" s="1"/>
  <c r="L45" i="2" s="1"/>
  <c r="BD43" i="2"/>
  <c r="BH37" i="2"/>
  <c r="BH24" i="2" l="1"/>
  <c r="BG25" i="2" s="1"/>
  <c r="BH26" i="2" s="1"/>
  <c r="BI25" i="2"/>
  <c r="BG26" i="2"/>
  <c r="BI2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msc msc</author>
  </authors>
  <commentList>
    <comment ref="N20" authorId="0" shapeId="0" xr:uid="{AF958214-C719-41A2-A032-61EED8F04A6F}">
      <text>
        <r>
          <rPr>
            <b/>
            <sz val="12"/>
            <color indexed="81"/>
            <rFont val="Cordia New"/>
            <family val="2"/>
          </rPr>
          <t>หาได้จากการอ่านค่าใน Soil Boring Log</t>
        </r>
      </text>
    </comment>
    <comment ref="N21" authorId="0" shapeId="0" xr:uid="{B115B4B4-44B4-4504-8939-C43F559C9BBE}">
      <text>
        <r>
          <rPr>
            <b/>
            <sz val="14"/>
            <color indexed="81"/>
            <rFont val="Cordia New"/>
            <family val="2"/>
          </rPr>
          <t>หาได้จากการอ่านค่าใน Soil Boring Log</t>
        </r>
      </text>
    </comment>
    <comment ref="N22" authorId="0" shapeId="0" xr:uid="{47FB60B1-2B47-4298-856A-B43A3704F560}">
      <text>
        <r>
          <rPr>
            <b/>
            <sz val="12"/>
            <color indexed="81"/>
            <rFont val="Cordia New"/>
            <family val="2"/>
          </rPr>
          <t>ความสูงของกำแพงที่รับแรงดันจากถินถม</t>
        </r>
      </text>
    </comment>
    <comment ref="N23" authorId="0" shapeId="0" xr:uid="{2955207B-67C2-4F71-A87B-A81571BA9400}">
      <text>
        <r>
          <rPr>
            <b/>
            <sz val="12"/>
            <color indexed="81"/>
            <rFont val="Cordia New"/>
            <family val="2"/>
          </rPr>
          <t>แรวดึงที่หัวกำแพงหรือแรงดึงจากคาน Stay หาได้จากการคำนวณ</t>
        </r>
      </text>
    </comment>
    <comment ref="N24" authorId="0" shapeId="0" xr:uid="{B507AD37-70B3-4A20-98DB-F70AE6DE1C79}">
      <text>
        <r>
          <rPr>
            <b/>
            <sz val="12"/>
            <color indexed="81"/>
            <rFont val="Cordia New"/>
            <family val="2"/>
          </rPr>
          <t>ระยะห่างระหว่างเสาเข็ม</t>
        </r>
      </text>
    </comment>
    <comment ref="N25" authorId="0" shapeId="0" xr:uid="{0C74AA82-8D37-4D12-A987-FA2936BD4533}">
      <text>
        <r>
          <rPr>
            <b/>
            <sz val="12"/>
            <color indexed="81"/>
            <rFont val="Cordia New"/>
            <family val="2"/>
          </rPr>
          <t>น้ำหนักบรรทุกจร ที่กดทับบนผิวดินเหนือกำแพง</t>
        </r>
      </text>
    </comment>
    <comment ref="N31" authorId="0" shapeId="0" xr:uid="{41C4AE47-E649-422A-B3C8-B11D638D2622}">
      <text>
        <r>
          <rPr>
            <b/>
            <sz val="12"/>
            <color indexed="81"/>
            <rFont val="Cordia New"/>
            <family val="2"/>
          </rPr>
          <t>กำลังอัดประลัยของคอนกรีตขณะถ่ายแรง</t>
        </r>
      </text>
    </comment>
    <comment ref="N32" authorId="0" shapeId="0" xr:uid="{B84A85F3-5A61-47A5-A201-673B28705E42}">
      <text>
        <r>
          <rPr>
            <b/>
            <sz val="12"/>
            <color indexed="81"/>
            <rFont val="Cordia New"/>
            <family val="2"/>
          </rPr>
          <t>กำลังอัดประลัยของคอนกรีต ค่าสูงสุดที่อายุคอนกรีต 28 วัน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<sst xmlns="http://schemas.openxmlformats.org/spreadsheetml/2006/main" count="258" uniqueCount="196">
  <si>
    <t>ขนาดเสาเข็ม</t>
  </si>
  <si>
    <t>b</t>
  </si>
  <si>
    <t>h</t>
  </si>
  <si>
    <t>r</t>
  </si>
  <si>
    <t>f</t>
  </si>
  <si>
    <t>d</t>
  </si>
  <si>
    <t>w</t>
  </si>
  <si>
    <t>Section</t>
  </si>
  <si>
    <t>เส้นรอบรูป</t>
  </si>
  <si>
    <t>โมเมนต์อินเนอเชียร์</t>
  </si>
  <si>
    <t>Section Modulust</t>
  </si>
  <si>
    <t>น้ำหนักเสาเข็ม</t>
  </si>
  <si>
    <t>mxm</t>
  </si>
  <si>
    <t>cm</t>
  </si>
  <si>
    <t xml:space="preserve">cm </t>
  </si>
  <si>
    <t>Area cm2</t>
  </si>
  <si>
    <t>P cm.</t>
  </si>
  <si>
    <t>Ix cm4</t>
  </si>
  <si>
    <t>Kg/m</t>
  </si>
  <si>
    <t>Concrete Pile  I - 18 x 18</t>
  </si>
  <si>
    <t>Concrete Pile  I - 22 x 22</t>
  </si>
  <si>
    <t>Concrete Pile  I - 26 x 26</t>
  </si>
  <si>
    <t>Concrete Pile  I - 30 x 30</t>
  </si>
  <si>
    <t>Concrete Pile  I - 35 x 35</t>
  </si>
  <si>
    <t>Concrete Pile  I - 40 x 40</t>
  </si>
  <si>
    <t>Concrete Pile Selection :</t>
  </si>
  <si>
    <t>ระดับ m.</t>
  </si>
  <si>
    <t>Active Pressure</t>
  </si>
  <si>
    <t>m.</t>
  </si>
  <si>
    <t>Pile Lateral earth pressure :</t>
  </si>
  <si>
    <t>Hight of the filled soil : h =</t>
  </si>
  <si>
    <t>Tension force at head wall : F =</t>
  </si>
  <si>
    <t>m</t>
  </si>
  <si>
    <t>t/m</t>
  </si>
  <si>
    <t>Pile spacing : s =</t>
  </si>
  <si>
    <t>Surchard Load Design : q =</t>
  </si>
  <si>
    <t>เส้นดินเดิม  X</t>
  </si>
  <si>
    <t>Y</t>
  </si>
  <si>
    <t>เส้นแรงดันดิน  X</t>
  </si>
  <si>
    <t>Step 1 : Data in put</t>
  </si>
  <si>
    <t>Ag =</t>
  </si>
  <si>
    <t>kg/m</t>
  </si>
  <si>
    <t>h   =</t>
  </si>
  <si>
    <t>b   =</t>
  </si>
  <si>
    <t>f   =</t>
  </si>
  <si>
    <t>w   =</t>
  </si>
  <si>
    <t>r   =</t>
  </si>
  <si>
    <t>PC-Wire Selection properties :</t>
  </si>
  <si>
    <t>D=</t>
  </si>
  <si>
    <t>mm.</t>
  </si>
  <si>
    <t>PC-Wire Section Area : Aps  =</t>
  </si>
  <si>
    <t>ksc.</t>
  </si>
  <si>
    <t>PC-Wire modulus of elastic sity : E =</t>
  </si>
  <si>
    <t>kg./wire</t>
  </si>
  <si>
    <t>=</t>
  </si>
  <si>
    <t>PC-Wire  4 mm.  Standard Propertie มอก. 95-2534</t>
  </si>
  <si>
    <t>PC-Wire  5 mm.  Standard Propertie มอก. 95-2534</t>
  </si>
  <si>
    <t>PC-Wire  7 mm.  Standard Propertie มอก. 95-2534</t>
  </si>
  <si>
    <t>PC-Wire  9 mm.  Standard Propertie มอก. 95-2534</t>
  </si>
  <si>
    <t>D (mm.)</t>
  </si>
  <si>
    <r>
      <t>Aps (mm</t>
    </r>
    <r>
      <rPr>
        <vertAlign val="superscript"/>
        <sz val="16"/>
        <color theme="1"/>
        <rFont val="TH SarabunPSK"/>
        <family val="2"/>
      </rPr>
      <t>2</t>
    </r>
    <r>
      <rPr>
        <sz val="16"/>
        <color theme="1"/>
        <rFont val="TH SarabunPSK"/>
        <family val="2"/>
      </rPr>
      <t>)</t>
    </r>
  </si>
  <si>
    <t>Yeild Stress(ksc)</t>
  </si>
  <si>
    <t>Ultimate Stress(ksc)</t>
  </si>
  <si>
    <t>PC-Wire  4.88 mm.  Standard Propertie ASTM A421</t>
  </si>
  <si>
    <t>PC-Wire  4.98 mm.  Standard Propertie ASTM A421</t>
  </si>
  <si>
    <t>PC-Wire  6.35 mm.  Standard Propertie ASTM A421</t>
  </si>
  <si>
    <t>PC-Wire  7.01 mm.  Standard Propertie ASTM A421</t>
  </si>
  <si>
    <t>Step 2 : Calculation details</t>
  </si>
  <si>
    <t>Concrete Selection Properties :</t>
  </si>
  <si>
    <t>X Line =</t>
  </si>
  <si>
    <t>Mmax Line =</t>
  </si>
  <si>
    <t>เส้นท้ายกราฟ</t>
  </si>
  <si>
    <t>Mmax Point</t>
  </si>
  <si>
    <t>No. of force</t>
  </si>
  <si>
    <t>Moment Max. 1</t>
  </si>
  <si>
    <t>No.</t>
  </si>
  <si>
    <t>Arms (m.)</t>
  </si>
  <si>
    <t>t-m/m</t>
  </si>
  <si>
    <t>F</t>
  </si>
  <si>
    <t>V1</t>
  </si>
  <si>
    <t>SUM</t>
  </si>
  <si>
    <t>Max Shear Point</t>
  </si>
  <si>
    <t>kg.-m.</t>
  </si>
  <si>
    <r>
      <t>ระยะ / z</t>
    </r>
    <r>
      <rPr>
        <vertAlign val="subscript"/>
        <sz val="11"/>
        <color theme="1"/>
        <rFont val="Cordia New"/>
        <family val="2"/>
      </rPr>
      <t>a</t>
    </r>
  </si>
  <si>
    <r>
      <t>σv</t>
    </r>
    <r>
      <rPr>
        <vertAlign val="subscript"/>
        <sz val="11"/>
        <color theme="1"/>
        <rFont val="Cordia New"/>
        <family val="2"/>
      </rPr>
      <t>a</t>
    </r>
    <r>
      <rPr>
        <sz val="11"/>
        <color theme="1"/>
        <rFont val="Cordia New"/>
        <family val="2"/>
      </rPr>
      <t xml:space="preserve"> </t>
    </r>
  </si>
  <si>
    <r>
      <t xml:space="preserve"> (t/m</t>
    </r>
    <r>
      <rPr>
        <vertAlign val="superscript"/>
        <sz val="11"/>
        <color theme="1"/>
        <rFont val="Cordia New"/>
        <family val="2"/>
      </rPr>
      <t>2</t>
    </r>
    <r>
      <rPr>
        <sz val="11"/>
        <color theme="1"/>
        <rFont val="Cordia New"/>
        <family val="2"/>
      </rPr>
      <t>)</t>
    </r>
  </si>
  <si>
    <r>
      <t>σ</t>
    </r>
    <r>
      <rPr>
        <vertAlign val="subscript"/>
        <sz val="11"/>
        <color theme="1"/>
        <rFont val="Cordia New"/>
        <family val="2"/>
      </rPr>
      <t>a</t>
    </r>
    <r>
      <rPr>
        <sz val="11"/>
        <color theme="1"/>
        <rFont val="Cordia New"/>
        <family val="2"/>
      </rPr>
      <t xml:space="preserve"> q+σv</t>
    </r>
    <r>
      <rPr>
        <vertAlign val="subscript"/>
        <sz val="11"/>
        <color theme="1"/>
        <rFont val="Cordia New"/>
        <family val="2"/>
      </rPr>
      <t>a</t>
    </r>
    <r>
      <rPr>
        <sz val="11"/>
        <color theme="1"/>
        <rFont val="Cordia New"/>
        <family val="2"/>
      </rPr>
      <t>-2C</t>
    </r>
    <r>
      <rPr>
        <vertAlign val="subscript"/>
        <sz val="11"/>
        <color theme="1"/>
        <rFont val="Cordia New"/>
        <family val="2"/>
      </rPr>
      <t>u</t>
    </r>
  </si>
  <si>
    <r>
      <t>cm</t>
    </r>
    <r>
      <rPr>
        <vertAlign val="superscript"/>
        <sz val="11"/>
        <color theme="1"/>
        <rFont val="Cordia New"/>
        <family val="2"/>
      </rPr>
      <t>2</t>
    </r>
  </si>
  <si>
    <r>
      <t>Soil unit weight : γ</t>
    </r>
    <r>
      <rPr>
        <vertAlign val="subscript"/>
        <sz val="11"/>
        <color theme="1"/>
        <rFont val="Cordia New"/>
        <family val="2"/>
      </rPr>
      <t>t</t>
    </r>
    <r>
      <rPr>
        <sz val="11"/>
        <color theme="1"/>
        <rFont val="Cordia New"/>
        <family val="2"/>
      </rPr>
      <t xml:space="preserve"> =</t>
    </r>
  </si>
  <si>
    <r>
      <t>t/m</t>
    </r>
    <r>
      <rPr>
        <vertAlign val="superscript"/>
        <sz val="11"/>
        <color theme="1"/>
        <rFont val="Cordia New"/>
        <family val="2"/>
      </rPr>
      <t>3</t>
    </r>
  </si>
  <si>
    <r>
      <t xml:space="preserve"> shear strength : C</t>
    </r>
    <r>
      <rPr>
        <vertAlign val="subscript"/>
        <sz val="11"/>
        <color theme="1"/>
        <rFont val="Cordia New"/>
        <family val="2"/>
      </rPr>
      <t>u</t>
    </r>
    <r>
      <rPr>
        <sz val="11"/>
        <color theme="1"/>
        <rFont val="Cordia New"/>
        <family val="2"/>
      </rPr>
      <t xml:space="preserve"> =</t>
    </r>
  </si>
  <si>
    <r>
      <t>t/m</t>
    </r>
    <r>
      <rPr>
        <vertAlign val="superscript"/>
        <sz val="11"/>
        <color theme="1"/>
        <rFont val="Cordia New"/>
        <family val="2"/>
      </rPr>
      <t>2</t>
    </r>
  </si>
  <si>
    <r>
      <t>mm</t>
    </r>
    <r>
      <rPr>
        <vertAlign val="superscript"/>
        <sz val="11"/>
        <color theme="1"/>
        <rFont val="Cordia New"/>
        <family val="2"/>
      </rPr>
      <t>2</t>
    </r>
  </si>
  <si>
    <r>
      <t>PC-Wire Yeild Stress : f</t>
    </r>
    <r>
      <rPr>
        <vertAlign val="subscript"/>
        <sz val="11"/>
        <color theme="1"/>
        <rFont val="Cordia New"/>
        <family val="2"/>
      </rPr>
      <t>pu</t>
    </r>
    <r>
      <rPr>
        <sz val="11"/>
        <color theme="1"/>
        <rFont val="Cordia New"/>
        <family val="2"/>
      </rPr>
      <t xml:space="preserve">  =</t>
    </r>
  </si>
  <si>
    <r>
      <t>F</t>
    </r>
    <r>
      <rPr>
        <vertAlign val="subscript"/>
        <sz val="11"/>
        <color theme="1"/>
        <rFont val="Cordia New"/>
        <family val="2"/>
      </rPr>
      <t>ci</t>
    </r>
    <r>
      <rPr>
        <sz val="11"/>
        <color theme="1"/>
        <rFont val="Cordia New"/>
        <family val="2"/>
      </rPr>
      <t xml:space="preserve"> = 0.60f'c  =</t>
    </r>
  </si>
  <si>
    <r>
      <t>F</t>
    </r>
    <r>
      <rPr>
        <vertAlign val="subscript"/>
        <sz val="11"/>
        <color theme="1"/>
        <rFont val="Cordia New"/>
        <family val="2"/>
      </rPr>
      <t>ti</t>
    </r>
    <r>
      <rPr>
        <sz val="11"/>
        <color theme="1"/>
        <rFont val="Cordia New"/>
        <family val="2"/>
      </rPr>
      <t xml:space="preserve"> = -0.80f'</t>
    </r>
    <r>
      <rPr>
        <vertAlign val="subscript"/>
        <sz val="11"/>
        <color theme="1"/>
        <rFont val="Cordia New"/>
        <family val="2"/>
      </rPr>
      <t>ci</t>
    </r>
    <r>
      <rPr>
        <vertAlign val="superscript"/>
        <sz val="11"/>
        <color theme="1"/>
        <rFont val="Cordia New"/>
        <family val="2"/>
      </rPr>
      <t>0.5</t>
    </r>
    <r>
      <rPr>
        <sz val="11"/>
        <color theme="1"/>
        <rFont val="Cordia New"/>
        <family val="2"/>
      </rPr>
      <t xml:space="preserve">  =</t>
    </r>
  </si>
  <si>
    <r>
      <t>At transfers : f'</t>
    </r>
    <r>
      <rPr>
        <vertAlign val="subscript"/>
        <sz val="11"/>
        <color theme="1"/>
        <rFont val="Cordia New"/>
        <family val="2"/>
      </rPr>
      <t>ci</t>
    </r>
    <r>
      <rPr>
        <sz val="11"/>
        <color theme="1"/>
        <rFont val="Cordia New"/>
        <family val="2"/>
      </rPr>
      <t xml:space="preserve"> =</t>
    </r>
  </si>
  <si>
    <r>
      <t xml:space="preserve"> F</t>
    </r>
    <r>
      <rPr>
        <vertAlign val="subscript"/>
        <sz val="11"/>
        <color theme="1"/>
        <rFont val="Cordia New"/>
        <family val="2"/>
      </rPr>
      <t>c</t>
    </r>
    <r>
      <rPr>
        <sz val="11"/>
        <color theme="1"/>
        <rFont val="Cordia New"/>
        <family val="2"/>
      </rPr>
      <t xml:space="preserve"> = 0.45f'</t>
    </r>
    <r>
      <rPr>
        <vertAlign val="subscript"/>
        <sz val="11"/>
        <color theme="1"/>
        <rFont val="Cordia New"/>
        <family val="2"/>
      </rPr>
      <t>c</t>
    </r>
    <r>
      <rPr>
        <sz val="11"/>
        <color theme="1"/>
        <rFont val="Cordia New"/>
        <family val="2"/>
      </rPr>
      <t xml:space="preserve">  =</t>
    </r>
  </si>
  <si>
    <r>
      <t>F</t>
    </r>
    <r>
      <rPr>
        <vertAlign val="subscript"/>
        <sz val="11"/>
        <color theme="1"/>
        <rFont val="Cordia New"/>
        <family val="2"/>
      </rPr>
      <t>t</t>
    </r>
    <r>
      <rPr>
        <sz val="11"/>
        <color theme="1"/>
        <rFont val="Cordia New"/>
        <family val="2"/>
      </rPr>
      <t xml:space="preserve"> = -1.60f'</t>
    </r>
    <r>
      <rPr>
        <vertAlign val="subscript"/>
        <sz val="11"/>
        <color theme="1"/>
        <rFont val="Cordia New"/>
        <family val="2"/>
      </rPr>
      <t>ci</t>
    </r>
    <r>
      <rPr>
        <vertAlign val="superscript"/>
        <sz val="11"/>
        <color theme="1"/>
        <rFont val="Cordia New"/>
        <family val="2"/>
      </rPr>
      <t>0.5</t>
    </r>
    <r>
      <rPr>
        <sz val="11"/>
        <color theme="1"/>
        <rFont val="Cordia New"/>
        <family val="2"/>
      </rPr>
      <t xml:space="preserve">  =</t>
    </r>
  </si>
  <si>
    <r>
      <t>At 28 days : f'</t>
    </r>
    <r>
      <rPr>
        <vertAlign val="subscript"/>
        <sz val="11"/>
        <color theme="1"/>
        <rFont val="Cordia New"/>
        <family val="2"/>
      </rPr>
      <t>ci</t>
    </r>
    <r>
      <rPr>
        <sz val="11"/>
        <color theme="1"/>
        <rFont val="Cordia New"/>
        <family val="2"/>
      </rPr>
      <t xml:space="preserve"> =</t>
    </r>
  </si>
  <si>
    <r>
      <t>Negative moment by self weight :  M</t>
    </r>
    <r>
      <rPr>
        <vertAlign val="subscript"/>
        <sz val="11"/>
        <color theme="1"/>
        <rFont val="Cordia New"/>
        <family val="2"/>
      </rPr>
      <t>G</t>
    </r>
    <r>
      <rPr>
        <sz val="11"/>
        <color theme="1"/>
        <rFont val="Cordia New"/>
        <family val="2"/>
      </rPr>
      <t xml:space="preserve"> =</t>
    </r>
  </si>
  <si>
    <r>
      <t>Negative moment by load design :  M</t>
    </r>
    <r>
      <rPr>
        <vertAlign val="subscript"/>
        <sz val="11"/>
        <color theme="1"/>
        <rFont val="Cordia New"/>
        <family val="2"/>
      </rPr>
      <t>T</t>
    </r>
    <r>
      <rPr>
        <sz val="11"/>
        <color theme="1"/>
        <rFont val="Cordia New"/>
        <family val="2"/>
      </rPr>
      <t xml:space="preserve"> =</t>
    </r>
  </si>
  <si>
    <r>
      <t>(Z</t>
    </r>
    <r>
      <rPr>
        <vertAlign val="subscript"/>
        <sz val="11"/>
        <color theme="1"/>
        <rFont val="Cordia New"/>
        <family val="2"/>
      </rPr>
      <t>b</t>
    </r>
    <r>
      <rPr>
        <sz val="11"/>
        <color theme="1"/>
        <rFont val="Cordia New"/>
        <family val="2"/>
      </rPr>
      <t>)</t>
    </r>
    <r>
      <rPr>
        <vertAlign val="subscript"/>
        <sz val="11"/>
        <color theme="1"/>
        <rFont val="Cordia New"/>
        <family val="2"/>
      </rPr>
      <t>min</t>
    </r>
    <r>
      <rPr>
        <sz val="11"/>
        <color theme="1"/>
        <rFont val="Cordia New"/>
        <family val="2"/>
      </rPr>
      <t xml:space="preserve"> =</t>
    </r>
  </si>
  <si>
    <r>
      <t>M</t>
    </r>
    <r>
      <rPr>
        <vertAlign val="subscript"/>
        <sz val="11"/>
        <color theme="1"/>
        <rFont val="Cordia New"/>
        <family val="2"/>
      </rPr>
      <t>T</t>
    </r>
    <r>
      <rPr>
        <sz val="11"/>
        <color theme="1"/>
        <rFont val="Cordia New"/>
        <family val="2"/>
      </rPr>
      <t xml:space="preserve"> - R</t>
    </r>
    <r>
      <rPr>
        <vertAlign val="subscript"/>
        <sz val="11"/>
        <color theme="1"/>
        <rFont val="Cordia New"/>
        <family val="2"/>
      </rPr>
      <t>MG</t>
    </r>
  </si>
  <si>
    <r>
      <t>Rf</t>
    </r>
    <r>
      <rPr>
        <vertAlign val="subscript"/>
        <sz val="11"/>
        <color theme="1"/>
        <rFont val="Cordia New"/>
        <family val="2"/>
      </rPr>
      <t>ci</t>
    </r>
    <r>
      <rPr>
        <sz val="11"/>
        <color theme="1"/>
        <rFont val="Cordia New"/>
        <family val="2"/>
      </rPr>
      <t xml:space="preserve"> - F</t>
    </r>
    <r>
      <rPr>
        <vertAlign val="subscript"/>
        <sz val="11"/>
        <color theme="1"/>
        <rFont val="Cordia New"/>
        <family val="2"/>
      </rPr>
      <t>t</t>
    </r>
  </si>
  <si>
    <r>
      <t>cm</t>
    </r>
    <r>
      <rPr>
        <vertAlign val="superscript"/>
        <sz val="11"/>
        <color theme="1"/>
        <rFont val="Cordia New"/>
        <family val="2"/>
      </rPr>
      <t>3</t>
    </r>
  </si>
  <si>
    <r>
      <t>f</t>
    </r>
    <r>
      <rPr>
        <vertAlign val="subscript"/>
        <sz val="11"/>
        <color theme="1"/>
        <rFont val="Cordia New"/>
        <family val="2"/>
      </rPr>
      <t>pi</t>
    </r>
    <r>
      <rPr>
        <sz val="11"/>
        <color theme="1"/>
        <rFont val="Cordia New"/>
        <family val="2"/>
      </rPr>
      <t xml:space="preserve"> = 0.70 f</t>
    </r>
    <r>
      <rPr>
        <vertAlign val="subscript"/>
        <sz val="11"/>
        <color theme="1"/>
        <rFont val="Cordia New"/>
        <family val="2"/>
      </rPr>
      <t>pu</t>
    </r>
    <r>
      <rPr>
        <sz val="11"/>
        <color theme="1"/>
        <rFont val="Cordia New"/>
        <family val="2"/>
      </rPr>
      <t xml:space="preserve"> =</t>
    </r>
  </si>
  <si>
    <t>e</t>
  </si>
  <si>
    <r>
      <t>M</t>
    </r>
    <r>
      <rPr>
        <vertAlign val="subscript"/>
        <sz val="11"/>
        <rFont val="Cordia New"/>
        <family val="2"/>
      </rPr>
      <t>G</t>
    </r>
  </si>
  <si>
    <r>
      <t>Z</t>
    </r>
    <r>
      <rPr>
        <vertAlign val="subscript"/>
        <sz val="11"/>
        <color theme="1"/>
        <rFont val="Cordia New"/>
        <family val="2"/>
      </rPr>
      <t>t</t>
    </r>
    <r>
      <rPr>
        <sz val="11"/>
        <color theme="1"/>
        <rFont val="Cordia New"/>
        <family val="2"/>
      </rPr>
      <t xml:space="preserve"> =</t>
    </r>
  </si>
  <si>
    <r>
      <t>Z</t>
    </r>
    <r>
      <rPr>
        <vertAlign val="subscript"/>
        <sz val="11"/>
        <color theme="1"/>
        <rFont val="Cordia New"/>
        <family val="2"/>
      </rPr>
      <t>b</t>
    </r>
    <r>
      <rPr>
        <sz val="11"/>
        <color theme="1"/>
        <rFont val="Cordia New"/>
        <family val="2"/>
      </rPr>
      <t xml:space="preserve"> =</t>
    </r>
  </si>
  <si>
    <r>
      <t>cm</t>
    </r>
    <r>
      <rPr>
        <vertAlign val="superscript"/>
        <sz val="11"/>
        <color theme="1"/>
        <rFont val="Cordia New"/>
        <family val="2"/>
      </rPr>
      <t>4</t>
    </r>
    <r>
      <rPr>
        <sz val="11"/>
        <color theme="1"/>
        <rFont val="Cordia New"/>
        <family val="2"/>
      </rPr>
      <t xml:space="preserve">               Weight =</t>
    </r>
  </si>
  <si>
    <t>cm     Pile Perimeter =</t>
  </si>
  <si>
    <t xml:space="preserve">    cm</t>
  </si>
  <si>
    <r>
      <t xml:space="preserve">    cm</t>
    </r>
    <r>
      <rPr>
        <vertAlign val="superscript"/>
        <sz val="11"/>
        <color theme="1"/>
        <rFont val="Cordia New"/>
        <family val="2"/>
      </rPr>
      <t>3</t>
    </r>
  </si>
  <si>
    <t>Sx cm3</t>
  </si>
  <si>
    <t>I  =</t>
  </si>
  <si>
    <t>Mt/Zt =</t>
  </si>
  <si>
    <t>Mt x100 =</t>
  </si>
  <si>
    <t>eq.5.7.1</t>
  </si>
  <si>
    <t>eq.5.7.2</t>
  </si>
  <si>
    <r>
      <t>α</t>
    </r>
    <r>
      <rPr>
        <vertAlign val="subscript"/>
        <sz val="11"/>
        <color rgb="FF00B050"/>
        <rFont val="YouYuan"/>
        <family val="3"/>
        <charset val="134"/>
      </rPr>
      <t>t</t>
    </r>
  </si>
  <si>
    <r>
      <rPr>
        <sz val="11"/>
        <color rgb="FF00B050"/>
        <rFont val="YouYuan"/>
        <family val="3"/>
        <charset val="134"/>
      </rPr>
      <t>α</t>
    </r>
    <r>
      <rPr>
        <vertAlign val="subscript"/>
        <sz val="14.3"/>
        <color rgb="FF00B050"/>
        <rFont val="Cordia New"/>
        <family val="2"/>
      </rPr>
      <t>b</t>
    </r>
  </si>
  <si>
    <t>Z=</t>
  </si>
  <si>
    <t>Fti =</t>
  </si>
  <si>
    <t>Fci =</t>
  </si>
  <si>
    <t>Fc=</t>
  </si>
  <si>
    <t>Mt=</t>
  </si>
  <si>
    <t>Ft=</t>
  </si>
  <si>
    <t>eq.5.5</t>
  </si>
  <si>
    <t>eq.5.6</t>
  </si>
  <si>
    <t>eq.5.8</t>
  </si>
  <si>
    <t>A=</t>
  </si>
  <si>
    <t>R=</t>
  </si>
  <si>
    <t>check &gt;&gt;</t>
  </si>
  <si>
    <t>1/pi</t>
  </si>
  <si>
    <t>x1</t>
  </si>
  <si>
    <t>แกน Y</t>
  </si>
  <si>
    <t>แกน X</t>
  </si>
  <si>
    <t>เปลี่ยนเลขยกกำลัง x</t>
  </si>
  <si>
    <t>พิกัดเส้น eq.5.5</t>
  </si>
  <si>
    <t>พิกัดเส้น eq.5.7.2</t>
  </si>
  <si>
    <t>y2</t>
  </si>
  <si>
    <t>y1</t>
  </si>
  <si>
    <t>x2</t>
  </si>
  <si>
    <t>สมการคำนวณความชันของกราฟ</t>
  </si>
  <si>
    <t xml:space="preserve">เส้นกราฟ </t>
  </si>
  <si>
    <t>X2</t>
  </si>
  <si>
    <t>slope M=</t>
  </si>
  <si>
    <t>สมการ = Y = MX + C</t>
  </si>
  <si>
    <t>รูปสมการใหม่</t>
  </si>
  <si>
    <t>Intercept C =</t>
  </si>
  <si>
    <t>จุดตัดแกนกราฟ ระหว่าง eq.5.6 และ eq.5.5</t>
  </si>
  <si>
    <t>-----------สมการเส้น  eq.5.5</t>
  </si>
  <si>
    <t>-----------สมการเส้น  eq.5.6</t>
  </si>
  <si>
    <t>x  =</t>
  </si>
  <si>
    <r>
      <t>-1/α</t>
    </r>
    <r>
      <rPr>
        <vertAlign val="subscript"/>
        <sz val="11"/>
        <rFont val="Cordia New"/>
        <family val="2"/>
      </rPr>
      <t>b</t>
    </r>
  </si>
  <si>
    <r>
      <t>1/α</t>
    </r>
    <r>
      <rPr>
        <vertAlign val="subscript"/>
        <sz val="11"/>
        <rFont val="Cordia New"/>
        <family val="2"/>
      </rPr>
      <t>t</t>
    </r>
  </si>
  <si>
    <t>Pi Minimum in Theory</t>
  </si>
  <si>
    <t>Form Magnel Diagram  &gt;&gt;</t>
  </si>
  <si>
    <r>
      <t>e</t>
    </r>
    <r>
      <rPr>
        <vertAlign val="subscript"/>
        <sz val="11"/>
        <color theme="1"/>
        <rFont val="Cordia New"/>
        <family val="2"/>
      </rPr>
      <t>ideal</t>
    </r>
    <r>
      <rPr>
        <sz val="11"/>
        <color theme="1"/>
        <rFont val="Cordia New"/>
        <family val="2"/>
      </rPr>
      <t xml:space="preserve"> =</t>
    </r>
  </si>
  <si>
    <t>cm.</t>
  </si>
  <si>
    <t>Form equation (5.8) &gt;&gt;</t>
  </si>
  <si>
    <r>
      <t>1 / P</t>
    </r>
    <r>
      <rPr>
        <vertAlign val="subscript"/>
        <sz val="11"/>
        <color theme="1"/>
        <rFont val="Cordia New"/>
        <family val="2"/>
      </rPr>
      <t>i</t>
    </r>
    <r>
      <rPr>
        <sz val="11"/>
        <color theme="1"/>
        <rFont val="Cordia New"/>
        <family val="2"/>
      </rPr>
      <t xml:space="preserve">   =</t>
    </r>
  </si>
  <si>
    <r>
      <t>P</t>
    </r>
    <r>
      <rPr>
        <vertAlign val="subscript"/>
        <sz val="11"/>
        <color theme="1"/>
        <rFont val="Cordia New"/>
        <family val="2"/>
      </rPr>
      <t>i</t>
    </r>
    <r>
      <rPr>
        <sz val="11"/>
        <color theme="1"/>
        <rFont val="Cordia New"/>
        <family val="2"/>
      </rPr>
      <t xml:space="preserve">  =</t>
    </r>
  </si>
  <si>
    <t>kg.</t>
  </si>
  <si>
    <t>Project :</t>
  </si>
  <si>
    <t>Engineering Design :</t>
  </si>
  <si>
    <t>Mr.Arnon-K</t>
  </si>
  <si>
    <t>Owner :</t>
  </si>
  <si>
    <t>Retaining wall type :</t>
  </si>
  <si>
    <t>Concrete Pile</t>
  </si>
  <si>
    <t>Location :</t>
  </si>
  <si>
    <t>Date :</t>
  </si>
  <si>
    <t>Concrete  I-Pile</t>
  </si>
  <si>
    <t>Pre-stress Concrete Design</t>
  </si>
  <si>
    <r>
      <t>Tension force in PC-Wire @ Transfers : P</t>
    </r>
    <r>
      <rPr>
        <vertAlign val="subscript"/>
        <sz val="11"/>
        <color theme="1"/>
        <rFont val="Cordia New"/>
        <family val="2"/>
      </rPr>
      <t>j</t>
    </r>
    <r>
      <rPr>
        <sz val="11"/>
        <color theme="1"/>
        <rFont val="Cordia New"/>
        <family val="2"/>
      </rPr>
      <t xml:space="preserve"> = P</t>
    </r>
    <r>
      <rPr>
        <vertAlign val="subscript"/>
        <sz val="11"/>
        <color theme="1"/>
        <rFont val="Cordia New"/>
        <family val="2"/>
      </rPr>
      <t>i</t>
    </r>
    <r>
      <rPr>
        <sz val="11"/>
        <color theme="1"/>
        <rFont val="Cordia New"/>
        <family val="2"/>
      </rPr>
      <t xml:space="preserve"> / 0.92  =</t>
    </r>
  </si>
  <si>
    <t>1. ตัวหนังสือสีน้ำเงินคือค่าที่จะต้องทำการกรอกลงไป</t>
  </si>
  <si>
    <t>2. ตัวหนังสือสีดำคือค่าที่ได้จากการคำนวณ</t>
  </si>
  <si>
    <t xml:space="preserve">3. Spread Sheet ตัวนี้เป็นเพียงการออกแบบขนาดหน้าตัดเส้าเข็มและจำนวนลวด </t>
  </si>
  <si>
    <t>คอร. ตามทฤษดีการออกแบบ Prestress Concrete   เวอชั่นี้คือให้ทดลองใช้</t>
  </si>
  <si>
    <t>ยังขาดรายการคำนวณส่วนของการตรวจสอบการรับแรงเฉือนเพื่อหาขนาดลวดเหล็กปลอก</t>
  </si>
  <si>
    <t>คำแนะนำสำหรับการใช้โปรแกรม Spread Sheet</t>
  </si>
  <si>
    <t>4. Spread Sheet ตัวนี้ ออกแบบได้เฉพาะเสาเข็มหน้าตัด I เท่านั้น</t>
  </si>
  <si>
    <t xml:space="preserve">5. Spread Sheet ตัวนี้ ออกแบบได้เฉพาะกรณีที่เป็นดินเหนียวโดยใช้ ทฤษฎีของ Rankine(1857) </t>
  </si>
  <si>
    <t>ในการคำนวณหาแรงดันดินด้านข้างที่กระทำกับเสาเข็มกำแพงกันดิน</t>
  </si>
  <si>
    <t>ในการทำโปรแกรมออกแบบงานทางวิศวกรรม ตามทฤษฏี หากผิดพลาดประการใด</t>
  </si>
  <si>
    <t>ข้าพเจ้าขอน้อมรับและจะนำไปปรับปรุงแก้ไข ให้ดีขึ้นเรื่อยๆ***-----***---</t>
  </si>
  <si>
    <t>ขอแสดงความนับถือท่านทั้งหลาย</t>
  </si>
  <si>
    <t>นายอานนท์  แซ้นสีดา</t>
  </si>
  <si>
    <t>วิศวกรโยธา เลขทะเบียน : ภย.93938</t>
  </si>
  <si>
    <t>ข้อมูลอ้างอิง</t>
  </si>
  <si>
    <t>1.  ทฤษฏีแรงดันดินด้านข้างของ Rankine (1857)  จากหนังสือคู่มือวิศวกรรมฐานราก ฉบับปรับปรุงเพิ่มเติม  ผู้เขียน ดร.พัลลภ วิสุทธิเมธากุล</t>
  </si>
  <si>
    <t>2. การออกแบบคอนกรีตอัดแรง  Prestress Cocrete ตัวอย่างที่ 5.4 การออกแบบคานยื่น คอนกรีตอัดแรง หน้าที่ 153 ออกแบบโดยทฤษฎีอีลาสติก</t>
  </si>
  <si>
    <t>ผู้เขียนหนังสือ  ดร.นเรศ พันธราธร</t>
  </si>
  <si>
    <t>**------**---ขอให้ทุกท่านมีความสุข ข้าพเจ้าจัดทำขึ้นมาเพื่อแบ่งปันและพัฒนาฝีมือตนเอง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</si>
</sst>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87" formatCode="0.000"/>
    <numFmt numFmtId="188" formatCode="#,##0.000"/>
    <numFmt numFmtId="189" formatCode="_(* #,##0.000_);_(* \(#,##0.000\);_(* &quot;-&quot;??_);_(@_)"/>
    <numFmt numFmtId="190" formatCode="0.0000"/>
  </numFmts>
  <fonts count="28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8"/>
      <name val="Tahoma"/>
      <family val="2"/>
      <scheme val="minor"/>
    </font>
    <font>
      <vertAlign val="superscript"/>
      <sz val="16"/>
      <color theme="1"/>
      <name val="TH SarabunPSK"/>
      <family val="2"/>
    </font>
    <font>
      <sz val="9"/>
      <color theme="1"/>
      <name val="Tahoma"/>
      <family val="2"/>
      <scheme val="major"/>
    </font>
    <font>
      <sz val="11"/>
      <color theme="1"/>
      <name val="Cordia New"/>
      <family val="2"/>
    </font>
    <font>
      <sz val="11"/>
      <name val="Cordia New"/>
      <family val="2"/>
    </font>
    <font>
      <b/>
      <sz val="11"/>
      <color theme="1"/>
      <name val="Cordia New"/>
      <family val="2"/>
    </font>
    <font>
      <vertAlign val="subscript"/>
      <sz val="11"/>
      <color theme="1"/>
      <name val="Cordia New"/>
      <family val="2"/>
    </font>
    <font>
      <vertAlign val="superscript"/>
      <sz val="11"/>
      <color theme="1"/>
      <name val="Cordia New"/>
      <family val="2"/>
    </font>
    <font>
      <b/>
      <sz val="11"/>
      <color rgb="FF0000FF"/>
      <name val="Cordia New"/>
      <family val="2"/>
    </font>
    <font>
      <sz val="11"/>
      <color rgb="FF0000FF"/>
      <name val="Cordia New"/>
      <family val="2"/>
    </font>
    <font>
      <b/>
      <sz val="11"/>
      <color rgb="FF00B050"/>
      <name val="Cordia New"/>
      <family val="2"/>
    </font>
    <font>
      <vertAlign val="subscript"/>
      <sz val="11"/>
      <name val="Cordia New"/>
      <family val="2"/>
    </font>
    <font>
      <sz val="11"/>
      <color rgb="FF00B050"/>
      <name val="YouYuan"/>
      <family val="3"/>
      <charset val="134"/>
    </font>
    <font>
      <vertAlign val="subscript"/>
      <sz val="11"/>
      <color rgb="FF00B050"/>
      <name val="YouYuan"/>
      <family val="3"/>
      <charset val="134"/>
    </font>
    <font>
      <sz val="11"/>
      <color rgb="FF00B050"/>
      <name val="Cordia New"/>
      <family val="3"/>
      <charset val="134"/>
    </font>
    <font>
      <vertAlign val="subscript"/>
      <sz val="14.3"/>
      <color rgb="FF00B050"/>
      <name val="Cordia New"/>
      <family val="2"/>
    </font>
    <font>
      <sz val="11"/>
      <color theme="1"/>
      <name val="Tahoma"/>
      <family val="2"/>
      <scheme val="major"/>
    </font>
    <font>
      <b/>
      <sz val="14"/>
      <color theme="1"/>
      <name val="Cordia New"/>
      <family val="2"/>
    </font>
    <font>
      <b/>
      <sz val="16"/>
      <color theme="1"/>
      <name val="Cordia New"/>
      <family val="2"/>
    </font>
    <font>
      <b/>
      <sz val="20"/>
      <color theme="1"/>
      <name val="Cordia New"/>
      <family val="2"/>
    </font>
    <font>
      <b/>
      <sz val="12"/>
      <color indexed="81"/>
      <name val="Cordia New"/>
      <family val="2"/>
    </font>
    <font>
      <b/>
      <sz val="14"/>
      <color indexed="81"/>
      <name val="Cordia New"/>
      <family val="2"/>
    </font>
    <font>
      <b/>
      <sz val="11"/>
      <name val="Cordia New"/>
      <family val="2"/>
    </font>
    <font>
      <b/>
      <sz val="16"/>
      <name val="Cordia New"/>
      <family val="2"/>
    </font>
    <font>
      <b/>
      <sz val="11"/>
      <color theme="4" tint="-0.249977111117893"/>
      <name val="Cordia New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/>
      <top style="dashed">
        <color theme="0" tint="-0.14996795556505021"/>
      </top>
      <bottom style="dashed">
        <color theme="0" tint="-0.14996795556505021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/>
      <right/>
      <top/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/>
      <diagonal/>
    </border>
    <border>
      <left style="dashed">
        <color theme="0" tint="-0.14996795556505021"/>
      </left>
      <right/>
      <top style="dashed">
        <color theme="0" tint="-0.14996795556505021"/>
      </top>
      <bottom/>
      <diagonal/>
    </border>
    <border>
      <left/>
      <right style="dashed">
        <color theme="0" tint="-0.14996795556505021"/>
      </right>
      <top style="dashed">
        <color theme="0" tint="-0.14996795556505021"/>
      </top>
      <bottom/>
      <diagonal/>
    </border>
    <border>
      <left style="dashed">
        <color theme="0" tint="-0.14993743705557422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/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dashed">
        <color theme="0" tint="-0.14993743705557422"/>
      </left>
      <right/>
      <top style="dashed">
        <color theme="0" tint="-0.14993743705557422"/>
      </top>
      <bottom style="dashed">
        <color theme="0" tint="-0.14993743705557422"/>
      </bottom>
      <diagonal/>
    </border>
    <border>
      <left style="dashed">
        <color theme="0" tint="-0.14993743705557422"/>
      </left>
      <right/>
      <top style="dashed">
        <color theme="0" tint="-0.14993743705557422"/>
      </top>
      <bottom/>
      <diagonal/>
    </border>
    <border>
      <left style="dashed">
        <color theme="0" tint="-0.149937437055574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5" xfId="1" applyFont="1" applyBorder="1"/>
    <xf numFmtId="43" fontId="2" fillId="0" borderId="5" xfId="1" applyFont="1" applyBorder="1" applyAlignment="1">
      <alignment horizontal="center"/>
    </xf>
    <xf numFmtId="43" fontId="2" fillId="0" borderId="5" xfId="0" applyNumberFormat="1" applyFont="1" applyBorder="1"/>
    <xf numFmtId="2" fontId="2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6" fillId="4" borderId="0" xfId="0" applyFont="1" applyFill="1" applyProtection="1"/>
    <xf numFmtId="0" fontId="5" fillId="4" borderId="0" xfId="0" applyFont="1" applyFill="1" applyAlignment="1" applyProtection="1">
      <alignment horizontal="right" vertical="center"/>
    </xf>
    <xf numFmtId="0" fontId="5" fillId="4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6" fillId="0" borderId="0" xfId="0" applyFont="1" applyProtection="1"/>
    <xf numFmtId="0" fontId="19" fillId="4" borderId="0" xfId="0" applyFont="1" applyFill="1" applyAlignment="1" applyProtection="1">
      <alignment horizontal="center" vertical="center"/>
    </xf>
    <xf numFmtId="0" fontId="6" fillId="4" borderId="27" xfId="0" applyFont="1" applyFill="1" applyBorder="1" applyProtection="1"/>
    <xf numFmtId="0" fontId="5" fillId="4" borderId="27" xfId="0" applyFont="1" applyFill="1" applyBorder="1" applyAlignment="1" applyProtection="1">
      <alignment horizontal="right" vertical="center"/>
    </xf>
    <xf numFmtId="0" fontId="19" fillId="4" borderId="27" xfId="0" applyFont="1" applyFill="1" applyBorder="1" applyAlignment="1" applyProtection="1">
      <alignment horizontal="center" vertical="center"/>
    </xf>
    <xf numFmtId="15" fontId="5" fillId="4" borderId="27" xfId="0" applyNumberFormat="1" applyFont="1" applyFill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/>
    </xf>
    <xf numFmtId="0" fontId="26" fillId="2" borderId="0" xfId="0" applyFont="1" applyFill="1" applyAlignment="1" applyProtection="1">
      <alignment horizontal="left"/>
    </xf>
    <xf numFmtId="0" fontId="21" fillId="0" borderId="0" xfId="0" applyFont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/>
    </xf>
    <xf numFmtId="0" fontId="21" fillId="0" borderId="27" xfId="0" applyFont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left"/>
    </xf>
    <xf numFmtId="0" fontId="20" fillId="4" borderId="0" xfId="0" applyFont="1" applyFill="1" applyAlignment="1" applyProtection="1">
      <alignment horizontal="left"/>
    </xf>
    <xf numFmtId="4" fontId="7" fillId="0" borderId="0" xfId="0" applyNumberFormat="1" applyFo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4" fontId="6" fillId="4" borderId="0" xfId="0" applyNumberFormat="1" applyFont="1" applyFill="1" applyAlignment="1" applyProtection="1">
      <alignment horizontal="center"/>
    </xf>
    <xf numFmtId="0" fontId="6" fillId="4" borderId="0" xfId="0" applyFont="1" applyFill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/>
    </xf>
    <xf numFmtId="4" fontId="6" fillId="0" borderId="5" xfId="0" quotePrefix="1" applyNumberFormat="1" applyFont="1" applyBorder="1" applyAlignment="1" applyProtection="1">
      <alignment horizontal="center" vertical="center"/>
    </xf>
    <xf numFmtId="187" fontId="6" fillId="0" borderId="5" xfId="0" applyNumberFormat="1" applyFont="1" applyBorder="1" applyAlignment="1" applyProtection="1">
      <alignment horizontal="center" vertical="center"/>
    </xf>
    <xf numFmtId="189" fontId="6" fillId="0" borderId="9" xfId="1" applyNumberFormat="1" applyFont="1" applyBorder="1" applyProtection="1"/>
    <xf numFmtId="189" fontId="6" fillId="0" borderId="0" xfId="1" applyNumberFormat="1" applyFont="1" applyProtection="1"/>
    <xf numFmtId="4" fontId="6" fillId="4" borderId="0" xfId="0" applyNumberFormat="1" applyFont="1" applyFill="1" applyAlignment="1" applyProtection="1">
      <alignment horizontal="center" vertical="center"/>
    </xf>
    <xf numFmtId="4" fontId="6" fillId="4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7" fillId="0" borderId="5" xfId="0" applyFont="1" applyBorder="1" applyAlignment="1" applyProtection="1">
      <alignment horizontal="right"/>
    </xf>
    <xf numFmtId="43" fontId="7" fillId="0" borderId="5" xfId="1" applyFont="1" applyBorder="1" applyAlignment="1" applyProtection="1"/>
    <xf numFmtId="0" fontId="0" fillId="0" borderId="0" xfId="0" applyProtection="1"/>
    <xf numFmtId="4" fontId="7" fillId="0" borderId="0" xfId="0" applyNumberFormat="1" applyFont="1" applyAlignment="1" applyProtection="1">
      <alignment horizontal="center"/>
    </xf>
    <xf numFmtId="0" fontId="27" fillId="2" borderId="0" xfId="0" applyFont="1" applyFill="1" applyAlignment="1" applyProtection="1">
      <alignment horizontal="left"/>
    </xf>
    <xf numFmtId="0" fontId="27" fillId="2" borderId="0" xfId="0" applyFont="1" applyFill="1" applyAlignment="1" applyProtection="1">
      <alignment horizontal="center"/>
    </xf>
    <xf numFmtId="4" fontId="6" fillId="4" borderId="0" xfId="0" applyNumberFormat="1" applyFont="1" applyFill="1" applyAlignment="1" applyProtection="1">
      <alignment horizontal="center"/>
    </xf>
    <xf numFmtId="0" fontId="7" fillId="0" borderId="2" xfId="0" applyFont="1" applyBorder="1" applyProtection="1"/>
    <xf numFmtId="0" fontId="7" fillId="0" borderId="21" xfId="0" applyFont="1" applyBorder="1" applyProtection="1"/>
    <xf numFmtId="0" fontId="0" fillId="0" borderId="21" xfId="0" applyBorder="1" applyProtection="1"/>
    <xf numFmtId="0" fontId="0" fillId="0" borderId="22" xfId="0" applyBorder="1" applyProtection="1"/>
    <xf numFmtId="4" fontId="6" fillId="4" borderId="11" xfId="0" applyNumberFormat="1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</xf>
    <xf numFmtId="0" fontId="7" fillId="0" borderId="9" xfId="0" applyFont="1" applyBorder="1" applyProtection="1"/>
    <xf numFmtId="0" fontId="0" fillId="0" borderId="23" xfId="0" applyBorder="1" applyProtection="1"/>
    <xf numFmtId="0" fontId="8" fillId="2" borderId="6" xfId="0" applyFont="1" applyFill="1" applyBorder="1" applyProtection="1"/>
    <xf numFmtId="0" fontId="6" fillId="2" borderId="6" xfId="0" applyFont="1" applyFill="1" applyBorder="1" applyProtection="1"/>
    <xf numFmtId="0" fontId="8" fillId="3" borderId="6" xfId="0" applyFont="1" applyFill="1" applyBorder="1" applyProtection="1"/>
    <xf numFmtId="0" fontId="6" fillId="3" borderId="6" xfId="0" applyFont="1" applyFill="1" applyBorder="1" applyProtection="1"/>
    <xf numFmtId="0" fontId="6" fillId="3" borderId="7" xfId="0" applyFont="1" applyFill="1" applyBorder="1" applyProtection="1"/>
    <xf numFmtId="0" fontId="7" fillId="0" borderId="23" xfId="0" applyFont="1" applyBorder="1" applyProtection="1"/>
    <xf numFmtId="0" fontId="6" fillId="2" borderId="6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 vertical="center"/>
    </xf>
    <xf numFmtId="4" fontId="6" fillId="2" borderId="7" xfId="0" applyNumberFormat="1" applyFont="1" applyFill="1" applyBorder="1" applyAlignment="1" applyProtection="1">
      <alignment horizontal="center" vertical="center"/>
    </xf>
    <xf numFmtId="4" fontId="6" fillId="2" borderId="8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vertical="center"/>
    </xf>
    <xf numFmtId="0" fontId="6" fillId="3" borderId="8" xfId="0" applyFont="1" applyFill="1" applyBorder="1" applyProtection="1"/>
    <xf numFmtId="0" fontId="6" fillId="3" borderId="7" xfId="0" applyFont="1" applyFill="1" applyBorder="1" applyAlignment="1" applyProtection="1">
      <alignment horizontal="right"/>
    </xf>
    <xf numFmtId="0" fontId="7" fillId="2" borderId="0" xfId="0" applyFont="1" applyFill="1" applyAlignment="1" applyProtection="1">
      <alignment horizontal="center"/>
    </xf>
    <xf numFmtId="190" fontId="7" fillId="0" borderId="0" xfId="0" applyNumberFormat="1" applyFont="1" applyProtection="1"/>
    <xf numFmtId="4" fontId="6" fillId="2" borderId="7" xfId="0" applyNumberFormat="1" applyFont="1" applyFill="1" applyBorder="1" applyAlignment="1" applyProtection="1">
      <alignment horizontal="center"/>
    </xf>
    <xf numFmtId="4" fontId="6" fillId="2" borderId="8" xfId="0" applyNumberFormat="1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43" fontId="7" fillId="0" borderId="5" xfId="1" applyFont="1" applyBorder="1" applyAlignment="1" applyProtection="1">
      <alignment horizontal="center"/>
    </xf>
    <xf numFmtId="0" fontId="6" fillId="0" borderId="9" xfId="0" applyFont="1" applyBorder="1" applyProtection="1"/>
    <xf numFmtId="0" fontId="6" fillId="2" borderId="6" xfId="0" applyFont="1" applyFill="1" applyBorder="1" applyAlignment="1" applyProtection="1">
      <alignment horizontal="left"/>
    </xf>
    <xf numFmtId="0" fontId="6" fillId="0" borderId="0" xfId="0" applyFont="1" applyAlignment="1" applyProtection="1">
      <alignment horizontal="right"/>
    </xf>
    <xf numFmtId="188" fontId="6" fillId="0" borderId="0" xfId="0" applyNumberFormat="1" applyFont="1" applyProtection="1"/>
    <xf numFmtId="0" fontId="25" fillId="2" borderId="0" xfId="0" applyFont="1" applyFill="1" applyAlignment="1" applyProtection="1">
      <alignment horizontal="center"/>
    </xf>
    <xf numFmtId="0" fontId="15" fillId="0" borderId="5" xfId="0" applyFont="1" applyBorder="1" applyAlignment="1" applyProtection="1">
      <alignment horizontal="right"/>
    </xf>
    <xf numFmtId="0" fontId="6" fillId="2" borderId="12" xfId="0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horizontal="left"/>
    </xf>
    <xf numFmtId="0" fontId="6" fillId="2" borderId="12" xfId="0" applyFont="1" applyFill="1" applyBorder="1" applyProtection="1"/>
    <xf numFmtId="0" fontId="6" fillId="3" borderId="12" xfId="0" applyFont="1" applyFill="1" applyBorder="1" applyProtection="1"/>
    <xf numFmtId="0" fontId="6" fillId="3" borderId="13" xfId="0" applyFont="1" applyFill="1" applyBorder="1" applyAlignment="1" applyProtection="1">
      <alignment horizontal="right"/>
    </xf>
    <xf numFmtId="0" fontId="6" fillId="3" borderId="13" xfId="0" applyFont="1" applyFill="1" applyBorder="1" applyProtection="1"/>
    <xf numFmtId="0" fontId="7" fillId="2" borderId="0" xfId="0" applyFont="1" applyFill="1" applyAlignment="1" applyProtection="1">
      <alignment horizontal="left"/>
    </xf>
    <xf numFmtId="0" fontId="17" fillId="0" borderId="5" xfId="0" applyFont="1" applyBorder="1" applyAlignment="1" applyProtection="1">
      <alignment horizontal="right"/>
    </xf>
    <xf numFmtId="0" fontId="8" fillId="5" borderId="6" xfId="0" applyFont="1" applyFill="1" applyBorder="1" applyProtection="1"/>
    <xf numFmtId="0" fontId="6" fillId="5" borderId="6" xfId="0" applyFont="1" applyFill="1" applyBorder="1" applyProtection="1"/>
    <xf numFmtId="0" fontId="7" fillId="0" borderId="5" xfId="0" applyFont="1" applyBorder="1" applyAlignment="1" applyProtection="1">
      <alignment horizontal="center"/>
    </xf>
    <xf numFmtId="4" fontId="7" fillId="0" borderId="5" xfId="0" applyNumberFormat="1" applyFont="1" applyBorder="1" applyAlignment="1" applyProtection="1">
      <alignment horizontal="center"/>
    </xf>
    <xf numFmtId="0" fontId="7" fillId="0" borderId="4" xfId="0" applyFont="1" applyBorder="1" applyProtection="1"/>
    <xf numFmtId="0" fontId="7" fillId="0" borderId="20" xfId="0" applyFont="1" applyBorder="1" applyProtection="1"/>
    <xf numFmtId="0" fontId="7" fillId="0" borderId="24" xfId="0" applyFont="1" applyBorder="1" applyProtection="1"/>
    <xf numFmtId="0" fontId="6" fillId="5" borderId="6" xfId="0" applyFont="1" applyFill="1" applyBorder="1" applyAlignment="1" applyProtection="1">
      <alignment horizontal="right"/>
    </xf>
    <xf numFmtId="4" fontId="6" fillId="5" borderId="6" xfId="0" applyNumberFormat="1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187" fontId="6" fillId="0" borderId="0" xfId="0" applyNumberFormat="1" applyFont="1" applyProtection="1"/>
    <xf numFmtId="0" fontId="6" fillId="5" borderId="6" xfId="0" applyFont="1" applyFill="1" applyBorder="1" applyAlignment="1" applyProtection="1">
      <alignment horizontal="center"/>
    </xf>
    <xf numFmtId="2" fontId="6" fillId="5" borderId="6" xfId="0" applyNumberFormat="1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0" fontId="7" fillId="0" borderId="22" xfId="0" applyFont="1" applyBorder="1" applyProtection="1"/>
    <xf numFmtId="0" fontId="6" fillId="5" borderId="12" xfId="0" applyFont="1" applyFill="1" applyBorder="1" applyProtection="1"/>
    <xf numFmtId="0" fontId="6" fillId="5" borderId="12" xfId="0" applyFont="1" applyFill="1" applyBorder="1" applyAlignment="1" applyProtection="1">
      <alignment horizontal="right"/>
    </xf>
    <xf numFmtId="4" fontId="6" fillId="5" borderId="12" xfId="0" applyNumberFormat="1" applyFont="1" applyFill="1" applyBorder="1" applyAlignment="1" applyProtection="1">
      <alignment horizontal="right"/>
    </xf>
    <xf numFmtId="4" fontId="6" fillId="5" borderId="12" xfId="0" applyNumberFormat="1" applyFont="1" applyFill="1" applyBorder="1" applyAlignment="1" applyProtection="1">
      <alignment horizontal="center"/>
    </xf>
    <xf numFmtId="0" fontId="12" fillId="0" borderId="9" xfId="0" applyFont="1" applyBorder="1" applyProtection="1"/>
    <xf numFmtId="0" fontId="8" fillId="6" borderId="16" xfId="0" applyFont="1" applyFill="1" applyBorder="1" applyProtection="1"/>
    <xf numFmtId="0" fontId="6" fillId="6" borderId="0" xfId="0" applyFont="1" applyFill="1" applyProtection="1"/>
    <xf numFmtId="0" fontId="6" fillId="6" borderId="15" xfId="0" applyFont="1" applyFill="1" applyBorder="1" applyProtection="1"/>
    <xf numFmtId="0" fontId="6" fillId="6" borderId="15" xfId="0" applyFont="1" applyFill="1" applyBorder="1" applyAlignment="1" applyProtection="1">
      <alignment horizontal="right"/>
    </xf>
    <xf numFmtId="4" fontId="6" fillId="6" borderId="15" xfId="0" applyNumberFormat="1" applyFont="1" applyFill="1" applyBorder="1" applyProtection="1"/>
    <xf numFmtId="4" fontId="6" fillId="6" borderId="18" xfId="0" applyNumberFormat="1" applyFont="1" applyFill="1" applyBorder="1" applyProtection="1"/>
    <xf numFmtId="4" fontId="6" fillId="6" borderId="19" xfId="0" applyNumberFormat="1" applyFont="1" applyFill="1" applyBorder="1" applyProtection="1"/>
    <xf numFmtId="0" fontId="6" fillId="7" borderId="0" xfId="0" applyFont="1" applyFill="1" applyProtection="1"/>
    <xf numFmtId="0" fontId="20" fillId="7" borderId="0" xfId="0" applyFont="1" applyFill="1" applyProtection="1"/>
    <xf numFmtId="0" fontId="7" fillId="2" borderId="0" xfId="0" applyFont="1" applyFill="1" applyProtection="1"/>
    <xf numFmtId="0" fontId="6" fillId="7" borderId="0" xfId="0" applyFont="1" applyFill="1" applyAlignment="1" applyProtection="1">
      <alignment horizontal="right"/>
    </xf>
    <xf numFmtId="4" fontId="6" fillId="7" borderId="0" xfId="0" applyNumberFormat="1" applyFont="1" applyFill="1" applyAlignment="1" applyProtection="1">
      <alignment horizontal="center"/>
    </xf>
    <xf numFmtId="0" fontId="6" fillId="7" borderId="0" xfId="0" applyFont="1" applyFill="1" applyAlignment="1" applyProtection="1">
      <alignment horizontal="center" vertical="center"/>
    </xf>
    <xf numFmtId="0" fontId="6" fillId="7" borderId="20" xfId="0" applyFont="1" applyFill="1" applyBorder="1" applyAlignment="1" applyProtection="1">
      <alignment horizontal="center"/>
    </xf>
    <xf numFmtId="189" fontId="6" fillId="0" borderId="0" xfId="0" applyNumberFormat="1" applyFont="1" applyProtection="1"/>
    <xf numFmtId="0" fontId="6" fillId="7" borderId="21" xfId="0" applyFont="1" applyFill="1" applyBorder="1" applyAlignment="1" applyProtection="1">
      <alignment horizontal="center"/>
    </xf>
    <xf numFmtId="0" fontId="6" fillId="7" borderId="0" xfId="0" applyFont="1" applyFill="1" applyAlignment="1" applyProtection="1">
      <alignment horizontal="center"/>
    </xf>
    <xf numFmtId="188" fontId="6" fillId="7" borderId="0" xfId="0" applyNumberFormat="1" applyFont="1" applyFill="1" applyAlignment="1" applyProtection="1">
      <alignment horizontal="center"/>
    </xf>
    <xf numFmtId="0" fontId="6" fillId="8" borderId="0" xfId="0" applyFont="1" applyFill="1" applyProtection="1"/>
    <xf numFmtId="0" fontId="6" fillId="8" borderId="0" xfId="0" applyFont="1" applyFill="1" applyAlignment="1" applyProtection="1">
      <alignment horizontal="right"/>
    </xf>
    <xf numFmtId="0" fontId="6" fillId="8" borderId="0" xfId="0" applyFont="1" applyFill="1" applyAlignment="1" applyProtection="1">
      <alignment horizontal="center"/>
    </xf>
    <xf numFmtId="0" fontId="13" fillId="8" borderId="0" xfId="0" applyFont="1" applyFill="1" applyAlignment="1" applyProtection="1">
      <alignment horizontal="center"/>
    </xf>
    <xf numFmtId="4" fontId="6" fillId="7" borderId="0" xfId="0" applyNumberFormat="1" applyFont="1" applyFill="1" applyAlignment="1" applyProtection="1">
      <alignment horizontal="center"/>
    </xf>
    <xf numFmtId="4" fontId="6" fillId="7" borderId="0" xfId="0" applyNumberFormat="1" applyFont="1" applyFill="1" applyProtection="1"/>
    <xf numFmtId="0" fontId="7" fillId="0" borderId="0" xfId="0" quotePrefix="1" applyFont="1" applyProtection="1"/>
    <xf numFmtId="0" fontId="6" fillId="7" borderId="0" xfId="0" applyFont="1" applyFill="1" applyAlignment="1" applyProtection="1">
      <alignment horizontal="center"/>
    </xf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" fontId="6" fillId="0" borderId="5" xfId="0" applyNumberFormat="1" applyFont="1" applyBorder="1" applyAlignment="1" applyProtection="1">
      <alignment horizontal="center" vertical="center"/>
    </xf>
    <xf numFmtId="4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4" fontId="6" fillId="0" borderId="0" xfId="0" applyNumberFormat="1" applyFont="1" applyProtection="1"/>
    <xf numFmtId="188" fontId="11" fillId="3" borderId="7" xfId="0" applyNumberFormat="1" applyFont="1" applyFill="1" applyBorder="1" applyAlignment="1" applyProtection="1">
      <alignment horizontal="center"/>
      <protection locked="0"/>
    </xf>
    <xf numFmtId="188" fontId="11" fillId="3" borderId="8" xfId="0" applyNumberFormat="1" applyFont="1" applyFill="1" applyBorder="1" applyAlignment="1" applyProtection="1">
      <alignment horizontal="center"/>
      <protection locked="0"/>
    </xf>
    <xf numFmtId="188" fontId="11" fillId="3" borderId="13" xfId="0" applyNumberFormat="1" applyFont="1" applyFill="1" applyBorder="1" applyAlignment="1" applyProtection="1">
      <alignment horizontal="center"/>
      <protection locked="0"/>
    </xf>
    <xf numFmtId="188" fontId="11" fillId="3" borderId="14" xfId="0" applyNumberFormat="1" applyFont="1" applyFill="1" applyBorder="1" applyAlignment="1" applyProtection="1">
      <alignment horizontal="center"/>
      <protection locked="0"/>
    </xf>
    <xf numFmtId="4" fontId="11" fillId="6" borderId="17" xfId="0" applyNumberFormat="1" applyFont="1" applyFill="1" applyBorder="1" applyAlignment="1" applyProtection="1">
      <alignment horizontal="center"/>
      <protection locked="0"/>
    </xf>
    <xf numFmtId="4" fontId="11" fillId="6" borderId="16" xfId="0" applyNumberFormat="1" applyFont="1" applyFill="1" applyBorder="1" applyAlignment="1" applyProtection="1">
      <alignment horizontal="center"/>
      <protection locked="0"/>
    </xf>
    <xf numFmtId="0" fontId="19" fillId="4" borderId="25" xfId="0" applyFont="1" applyFill="1" applyBorder="1" applyAlignment="1" applyProtection="1">
      <alignment horizontal="center" vertical="center"/>
      <protection locked="0"/>
    </xf>
    <xf numFmtId="0" fontId="19" fillId="4" borderId="25" xfId="0" applyFont="1" applyFill="1" applyBorder="1" applyAlignment="1" applyProtection="1">
      <alignment horizontal="center" vertical="center"/>
      <protection locked="0"/>
    </xf>
    <xf numFmtId="15" fontId="5" fillId="4" borderId="26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5" borderId="6" xfId="0" applyFont="1" applyFill="1" applyBorder="1" applyProtection="1">
      <protection locked="0"/>
    </xf>
  </cellXfs>
  <cellStyles count="2">
    <cellStyle name="Comma" xfId="1" builtinId="3"/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เส้นเสาเข็ม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'I-Pile'!$BN$11:$BN$21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'I-Pile'!$BO$11:$BO$21</c:f>
              <c:numCache>
                <c:formatCode>#,##0.00</c:formatCode>
                <c:ptCount val="11"/>
                <c:pt idx="0">
                  <c:v>3</c:v>
                </c:pt>
                <c:pt idx="1">
                  <c:v>2.7</c:v>
                </c:pt>
                <c:pt idx="2">
                  <c:v>2.4000000000000004</c:v>
                </c:pt>
                <c:pt idx="3">
                  <c:v>2.1000000000000005</c:v>
                </c:pt>
                <c:pt idx="4">
                  <c:v>1.8000000000000005</c:v>
                </c:pt>
                <c:pt idx="5">
                  <c:v>1.5000000000000004</c:v>
                </c:pt>
                <c:pt idx="6">
                  <c:v>1.2000000000000004</c:v>
                </c:pt>
                <c:pt idx="7">
                  <c:v>0.90000000000000036</c:v>
                </c:pt>
                <c:pt idx="8">
                  <c:v>0.60000000000000031</c:v>
                </c:pt>
                <c:pt idx="9">
                  <c:v>0.30000000000000032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55-4C47-B0D1-A6CEB46C147E}"/>
            </c:ext>
          </c:extLst>
        </c:ser>
        <c:ser>
          <c:idx val="1"/>
          <c:order val="1"/>
          <c:tx>
            <c:v>Tension : F</c:v>
          </c:tx>
          <c:spPr>
            <a:ln w="31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diamond"/>
              <c:size val="4"/>
              <c:spPr>
                <a:solidFill>
                  <a:schemeClr val="accent2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55-4C47-B0D1-A6CEB46C147E}"/>
              </c:ext>
            </c:extLst>
          </c:dPt>
          <c:xVal>
            <c:numRef>
              <c:f>'I-Pile'!$BQ$23:$BR$23</c:f>
              <c:numCache>
                <c:formatCode>#,##0.000</c:formatCode>
                <c:ptCount val="2"/>
                <c:pt idx="0">
                  <c:v>4.5</c:v>
                </c:pt>
                <c:pt idx="1">
                  <c:v>0</c:v>
                </c:pt>
              </c:numCache>
            </c:numRef>
          </c:xVal>
          <c:yVal>
            <c:numRef>
              <c:f>'I-Pile'!$BQ$24:$BR$24</c:f>
              <c:numCache>
                <c:formatCode>#,##0.000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55-4C47-B0D1-A6CEB46C147E}"/>
            </c:ext>
          </c:extLst>
        </c:ser>
        <c:ser>
          <c:idx val="2"/>
          <c:order val="2"/>
          <c:tx>
            <c:v>เส้นดินเดิม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'I-Pile'!$BQ$25:$BR$25</c:f>
              <c:numCache>
                <c:formatCode>General</c:formatCode>
                <c:ptCount val="2"/>
                <c:pt idx="0">
                  <c:v>-30</c:v>
                </c:pt>
                <c:pt idx="1">
                  <c:v>30</c:v>
                </c:pt>
              </c:numCache>
            </c:numRef>
          </c:xVal>
          <c:yVal>
            <c:numRef>
              <c:f>'I-Pile'!$BQ$26:$BR$26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55-4C47-B0D1-A6CEB46C147E}"/>
            </c:ext>
          </c:extLst>
        </c:ser>
        <c:ser>
          <c:idx val="21"/>
          <c:order val="3"/>
          <c:tx>
            <c:strRef>
              <c:f>'I-Pile'!$BR$9</c:f>
              <c:strCache>
                <c:ptCount val="1"/>
                <c:pt idx="0">
                  <c:v>Active Pressure</c:v>
                </c:pt>
              </c:strCache>
            </c:strRef>
          </c:tx>
          <c:spPr>
            <a:ln w="63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'I-Pile'!$BS$11:$BS$21</c:f>
              <c:numCache>
                <c:formatCode>_(* #,##0.000_);_(* \(#,##0.000\);_(* "-"??_);_(@_)</c:formatCode>
                <c:ptCount val="11"/>
                <c:pt idx="0">
                  <c:v>-7.4480000000000004</c:v>
                </c:pt>
                <c:pt idx="1">
                  <c:v>-5.0588000000000015</c:v>
                </c:pt>
                <c:pt idx="2">
                  <c:v>-2.6696000000000026</c:v>
                </c:pt>
                <c:pt idx="3">
                  <c:v>-0.28040000000000376</c:v>
                </c:pt>
                <c:pt idx="4">
                  <c:v>2.1087999999999951</c:v>
                </c:pt>
                <c:pt idx="5">
                  <c:v>4.4979999999999976</c:v>
                </c:pt>
                <c:pt idx="6">
                  <c:v>6.8871999999999964</c:v>
                </c:pt>
                <c:pt idx="7">
                  <c:v>9.2763999999999989</c:v>
                </c:pt>
                <c:pt idx="8">
                  <c:v>11.665599999999998</c:v>
                </c:pt>
                <c:pt idx="9">
                  <c:v>14.0548</c:v>
                </c:pt>
                <c:pt idx="10">
                  <c:v>16.444000000000003</c:v>
                </c:pt>
              </c:numCache>
            </c:numRef>
          </c:xVal>
          <c:yVal>
            <c:numRef>
              <c:f>'I-Pile'!$BO$11:$BO$21</c:f>
              <c:numCache>
                <c:formatCode>#,##0.00</c:formatCode>
                <c:ptCount val="11"/>
                <c:pt idx="0">
                  <c:v>3</c:v>
                </c:pt>
                <c:pt idx="1">
                  <c:v>2.7</c:v>
                </c:pt>
                <c:pt idx="2">
                  <c:v>2.4000000000000004</c:v>
                </c:pt>
                <c:pt idx="3">
                  <c:v>2.1000000000000005</c:v>
                </c:pt>
                <c:pt idx="4">
                  <c:v>1.8000000000000005</c:v>
                </c:pt>
                <c:pt idx="5">
                  <c:v>1.5000000000000004</c:v>
                </c:pt>
                <c:pt idx="6">
                  <c:v>1.2000000000000004</c:v>
                </c:pt>
                <c:pt idx="7">
                  <c:v>0.90000000000000036</c:v>
                </c:pt>
                <c:pt idx="8">
                  <c:v>0.60000000000000031</c:v>
                </c:pt>
                <c:pt idx="9">
                  <c:v>0.30000000000000032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555-4C47-B0D1-A6CEB46C147E}"/>
            </c:ext>
          </c:extLst>
        </c:ser>
        <c:ser>
          <c:idx val="22"/>
          <c:order val="4"/>
          <c:tx>
            <c:strRef>
              <c:f>'I-Pile'!$BP$27</c:f>
              <c:strCache>
                <c:ptCount val="1"/>
                <c:pt idx="0">
                  <c:v>เส้นแรงดันดิน  X</c:v>
                </c:pt>
              </c:strCache>
            </c:strRef>
          </c:tx>
          <c:spPr>
            <a:ln w="63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'I-Pile'!$BQ$27:$BR$27</c:f>
              <c:numCache>
                <c:formatCode>General</c:formatCode>
                <c:ptCount val="2"/>
                <c:pt idx="0" formatCode="0.000">
                  <c:v>-7.4480000000000004</c:v>
                </c:pt>
                <c:pt idx="1">
                  <c:v>0</c:v>
                </c:pt>
              </c:numCache>
            </c:numRef>
          </c:xVal>
          <c:yVal>
            <c:numRef>
              <c:f>'I-Pile'!$BQ$28:$BR$28</c:f>
              <c:numCache>
                <c:formatCode>#,##0.000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555-4C47-B0D1-A6CEB46C147E}"/>
            </c:ext>
          </c:extLst>
        </c:ser>
        <c:ser>
          <c:idx val="3"/>
          <c:order val="6"/>
          <c:tx>
            <c:strRef>
              <c:f>'I-Pile'!$BP$32</c:f>
              <c:strCache>
                <c:ptCount val="1"/>
                <c:pt idx="0">
                  <c:v>X Line =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9525" cap="rnd">
                <a:solidFill>
                  <a:schemeClr val="bg1">
                    <a:lumMod val="50000"/>
                  </a:schemeClr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FE9-4D63-AF73-8D80C78F0AB6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Cordia New" panose="020B0304020202020204" pitchFamily="34" charset="-34"/>
                        <a:ea typeface="+mn-ea"/>
                        <a:cs typeface="Cordia New" panose="020B0304020202020204" pitchFamily="34" charset="-34"/>
                      </a:defRPr>
                    </a:pPr>
                    <a:fld id="{12B31232-3435-4276-9340-75EFA865D67E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  <a:latin typeface="Cordia New" panose="020B0304020202020204" pitchFamily="34" charset="-34"/>
                          <a:cs typeface="Cordia New" panose="020B0304020202020204" pitchFamily="34" charset="-34"/>
                        </a:defRPr>
                      </a:pPr>
                      <a:t>[CELLRANGE]</a:t>
                    </a:fld>
                    <a:endParaRPr lang="th-TH"/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Cordia New" panose="020B0304020202020204" pitchFamily="34" charset="-34"/>
                      <a:ea typeface="+mn-ea"/>
                      <a:cs typeface="Cordia New" panose="020B0304020202020204" pitchFamily="34" charset="-34"/>
                    </a:defRPr>
                  </a:pPr>
                  <a:endParaRPr lang="th-TH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C64-4EC7-8399-64C7F6542B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FE9-4D63-AF73-8D80C78F0AB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ordia New" panose="020B0304020202020204" pitchFamily="34" charset="-34"/>
                    <a:ea typeface="+mn-ea"/>
                    <a:cs typeface="Cordia New" panose="020B0304020202020204" pitchFamily="34" charset="-34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'I-Pile'!$BQ$33:$BR$33</c:f>
              <c:numCache>
                <c:formatCode>General</c:formatCode>
                <c:ptCount val="2"/>
                <c:pt idx="0">
                  <c:v>-30</c:v>
                </c:pt>
                <c:pt idx="1">
                  <c:v>30</c:v>
                </c:pt>
              </c:numCache>
            </c:numRef>
          </c:xVal>
          <c:yVal>
            <c:numRef>
              <c:f>'I-Pile'!$BQ$32:$BR$32</c:f>
              <c:numCache>
                <c:formatCode>General</c:formatCode>
                <c:ptCount val="2"/>
                <c:pt idx="0">
                  <c:v>2.0647915620291317</c:v>
                </c:pt>
                <c:pt idx="1">
                  <c:v>2.0647915620291317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'I-Pile'!$BU$32</c15:f>
                <c15:dlblRangeCache>
                  <c:ptCount val="1"/>
                  <c:pt idx="0">
                    <c:v>EL.+2.06m.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2FE9-4D63-AF73-8D80C78F0AB6}"/>
            </c:ext>
          </c:extLst>
        </c:ser>
        <c:ser>
          <c:idx val="4"/>
          <c:order val="7"/>
          <c:tx>
            <c:v>Shear Line</c:v>
          </c:tx>
          <c:spPr>
            <a:ln w="31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circle"/>
              <c:size val="4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64-4EC7-8399-64C7F6542BF6}"/>
              </c:ext>
            </c:extLst>
          </c:dPt>
          <c:xVal>
            <c:numRef>
              <c:f>'I-Pile'!$BW$11:$BW$21</c:f>
              <c:numCache>
                <c:formatCode>_(* #,##0.000_);_(* \(#,##0.000\);_(* "-"??_);_(@_)</c:formatCode>
                <c:ptCount val="11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4.220803776996485</c:v>
                </c:pt>
                <c:pt idx="5">
                  <c:v>3.2297837769964843</c:v>
                </c:pt>
                <c:pt idx="6">
                  <c:v>1.5220037769964847</c:v>
                </c:pt>
                <c:pt idx="7">
                  <c:v>-0.90253622300351655</c:v>
                </c:pt>
                <c:pt idx="8">
                  <c:v>-4.0438362230035167</c:v>
                </c:pt>
                <c:pt idx="9">
                  <c:v>-7.9018962230035186</c:v>
                </c:pt>
                <c:pt idx="10">
                  <c:v>-12.476716223003525</c:v>
                </c:pt>
              </c:numCache>
            </c:numRef>
          </c:xVal>
          <c:yVal>
            <c:numRef>
              <c:f>'I-Pile'!$BO$11:$BO$21</c:f>
              <c:numCache>
                <c:formatCode>#,##0.00</c:formatCode>
                <c:ptCount val="11"/>
                <c:pt idx="0">
                  <c:v>3</c:v>
                </c:pt>
                <c:pt idx="1">
                  <c:v>2.7</c:v>
                </c:pt>
                <c:pt idx="2">
                  <c:v>2.4000000000000004</c:v>
                </c:pt>
                <c:pt idx="3">
                  <c:v>2.1000000000000005</c:v>
                </c:pt>
                <c:pt idx="4">
                  <c:v>1.8000000000000005</c:v>
                </c:pt>
                <c:pt idx="5">
                  <c:v>1.5000000000000004</c:v>
                </c:pt>
                <c:pt idx="6">
                  <c:v>1.2000000000000004</c:v>
                </c:pt>
                <c:pt idx="7">
                  <c:v>0.90000000000000036</c:v>
                </c:pt>
                <c:pt idx="8">
                  <c:v>0.60000000000000031</c:v>
                </c:pt>
                <c:pt idx="9">
                  <c:v>0.30000000000000032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E9-4D63-AF73-8D80C78F0AB6}"/>
            </c:ext>
          </c:extLst>
        </c:ser>
        <c:ser>
          <c:idx val="5"/>
          <c:order val="8"/>
          <c:tx>
            <c:strRef>
              <c:f>'I-Pile'!$BP$34</c:f>
              <c:strCache>
                <c:ptCount val="1"/>
                <c:pt idx="0">
                  <c:v>Mmax Line =</c:v>
                </c:pt>
              </c:strCache>
            </c:strRef>
          </c:tx>
          <c:spPr>
            <a:ln w="6350" cap="rnd">
              <a:solidFill>
                <a:srgbClr val="FF0000"/>
              </a:solidFill>
              <a:prstDash val="lgDashDot"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0000"/>
                        </a:solidFill>
                        <a:latin typeface="Cordia New" panose="020B0304020202020204" pitchFamily="34" charset="-34"/>
                        <a:ea typeface="+mn-ea"/>
                        <a:cs typeface="Cordia New" panose="020B0304020202020204" pitchFamily="34" charset="-34"/>
                      </a:defRPr>
                    </a:pPr>
                    <a:fld id="{6453445A-7D90-4231-861E-13A730C6446F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  <a:latin typeface="Cordia New" panose="020B0304020202020204" pitchFamily="34" charset="-34"/>
                          <a:cs typeface="Cordia New" panose="020B0304020202020204" pitchFamily="34" charset="-34"/>
                        </a:defRPr>
                      </a:pPr>
                      <a:t>[CELLRANGE]</a:t>
                    </a:fld>
                    <a:endParaRPr lang="th-TH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FF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Cordia New" panose="020B0304020202020204" pitchFamily="34" charset="-34"/>
                      <a:ea typeface="+mn-ea"/>
                      <a:cs typeface="Cordia New" panose="020B0304020202020204" pitchFamily="34" charset="-34"/>
                    </a:defRPr>
                  </a:pPr>
                  <a:endParaRPr lang="th-TH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355272898579987"/>
                      <c:h val="7.845319335083114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C64-4EC7-8399-64C7F6542B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th-TH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C64-4EC7-8399-64C7F6542BF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Cordia New" panose="020B0304020202020204" pitchFamily="34" charset="-34"/>
                    <a:ea typeface="+mn-ea"/>
                    <a:cs typeface="Cordia New" panose="020B0304020202020204" pitchFamily="34" charset="-34"/>
                  </a:defRPr>
                </a:pPr>
                <a:endParaRPr lang="th-TH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'I-Pile'!$BQ$35:$BR$35</c:f>
              <c:numCache>
                <c:formatCode>General</c:formatCode>
                <c:ptCount val="2"/>
                <c:pt idx="0">
                  <c:v>-30</c:v>
                </c:pt>
                <c:pt idx="1">
                  <c:v>30</c:v>
                </c:pt>
              </c:numCache>
            </c:numRef>
          </c:xVal>
          <c:yVal>
            <c:numRef>
              <c:f>'I-Pile'!$BQ$34:$BR$34</c:f>
              <c:numCache>
                <c:formatCode>General</c:formatCode>
                <c:ptCount val="2"/>
                <c:pt idx="0">
                  <c:v>1.017633094312949</c:v>
                </c:pt>
                <c:pt idx="1">
                  <c:v>1.017633094312949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'I-Pile'!$BU$34</c15:f>
                <c15:dlblRangeCache>
                  <c:ptCount val="1"/>
                  <c:pt idx="0">
                    <c:v>EL.+1.01m.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EC64-4EC7-8399-64C7F6542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3538080"/>
        <c:axId val="1207895520"/>
      </c:scatterChart>
      <c:scatterChart>
        <c:scatterStyle val="smoothMarker"/>
        <c:varyColors val="0"/>
        <c:ser>
          <c:idx val="23"/>
          <c:order val="5"/>
          <c:spPr>
            <a:ln w="63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'I-Pile'!$BQ$29:$BR$29</c:f>
              <c:numCache>
                <c:formatCode>General</c:formatCode>
                <c:ptCount val="2"/>
                <c:pt idx="0" formatCode="0.000">
                  <c:v>16.444000000000003</c:v>
                </c:pt>
                <c:pt idx="1">
                  <c:v>0</c:v>
                </c:pt>
              </c:numCache>
            </c:numRef>
          </c:xVal>
          <c:yVal>
            <c:numRef>
              <c:f>'I-Pile'!$BQ$30:$BR$30</c:f>
              <c:numCache>
                <c:formatCode>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D555-4C47-B0D1-A6CEB46C147E}"/>
            </c:ext>
          </c:extLst>
        </c:ser>
        <c:ser>
          <c:idx val="6"/>
          <c:order val="9"/>
          <c:tx>
            <c:strRef>
              <c:f>'I-Pile'!$BO$36</c:f>
              <c:strCache>
                <c:ptCount val="1"/>
                <c:pt idx="0">
                  <c:v>เส้นท้ายกราฟ</c:v>
                </c:pt>
              </c:strCache>
            </c:strRef>
          </c:tx>
          <c:spPr>
            <a:ln w="63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'I-Pile'!$BP$36:$BQ$36</c:f>
              <c:numCache>
                <c:formatCode>General</c:formatCode>
                <c:ptCount val="2"/>
                <c:pt idx="0" formatCode="_(* #,##0.000_);_(* \(#,##0.000\);_(* &quot;-&quot;??_);_(@_)">
                  <c:v>-12.476716223003525</c:v>
                </c:pt>
                <c:pt idx="1">
                  <c:v>0</c:v>
                </c:pt>
              </c:numCache>
            </c:numRef>
          </c:xVal>
          <c:yVal>
            <c:numRef>
              <c:f>'I-Pile'!$BQ$30:$BR$30</c:f>
              <c:numCache>
                <c:formatCode>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C64-4EC7-8399-64C7F6542BF6}"/>
            </c:ext>
          </c:extLst>
        </c:ser>
        <c:ser>
          <c:idx val="7"/>
          <c:order val="10"/>
          <c:tx>
            <c:strRef>
              <c:f>'I-Pile'!$BP$38</c:f>
              <c:strCache>
                <c:ptCount val="1"/>
                <c:pt idx="0">
                  <c:v>Mmax Point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0000"/>
                        </a:solidFill>
                        <a:latin typeface="Cordia New" panose="020B0304020202020204" pitchFamily="34" charset="-34"/>
                        <a:ea typeface="+mn-ea"/>
                        <a:cs typeface="Cordia New" panose="020B0304020202020204" pitchFamily="34" charset="-34"/>
                      </a:defRPr>
                    </a:pPr>
                    <a:fld id="{B97E098D-C515-44C0-AA05-9D6A64692409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  <a:latin typeface="Cordia New" panose="020B0304020202020204" pitchFamily="34" charset="-34"/>
                          <a:cs typeface="Cordia New" panose="020B0304020202020204" pitchFamily="34" charset="-34"/>
                        </a:defRPr>
                      </a:pPr>
                      <a:t>[CELLRANGE]</a:t>
                    </a:fld>
                    <a:endParaRPr lang="th-TH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FF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0000"/>
                      </a:solidFill>
                      <a:latin typeface="Cordia New" panose="020B0304020202020204" pitchFamily="34" charset="-34"/>
                      <a:ea typeface="+mn-ea"/>
                      <a:cs typeface="Cordia New" panose="020B0304020202020204" pitchFamily="34" charset="-34"/>
                    </a:defRPr>
                  </a:pPr>
                  <a:endParaRPr lang="th-TH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021184695609267"/>
                      <c:h val="7.341020026228900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C64-4EC7-8399-64C7F6542B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C64-4EC7-8399-64C7F6542BF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Cordia New" panose="020B0304020202020204" pitchFamily="34" charset="-34"/>
                    <a:ea typeface="+mn-ea"/>
                    <a:cs typeface="Cordia New" panose="020B0304020202020204" pitchFamily="34" charset="-34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'I-Pile'!$BQ$30:$BR$30</c:f>
              <c:numCache>
                <c:formatCode>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'I-Pile'!$BQ$38:$BR$38</c:f>
              <c:numCache>
                <c:formatCode>General</c:formatCode>
                <c:ptCount val="2"/>
                <c:pt idx="0">
                  <c:v>1.017633094312949</c:v>
                </c:pt>
                <c:pt idx="1">
                  <c:v>1.017633094312949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'I-Pile'!$BS$47</c15:f>
                <c15:dlblRangeCache>
                  <c:ptCount val="1"/>
                  <c:pt idx="0">
                    <c:v>Mmax = 3.06 t-m.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C64-4EC7-8399-64C7F6542BF6}"/>
            </c:ext>
          </c:extLst>
        </c:ser>
        <c:ser>
          <c:idx val="8"/>
          <c:order val="11"/>
          <c:tx>
            <c:strRef>
              <c:f>'I-Pile'!$BP$40</c:f>
              <c:strCache>
                <c:ptCount val="1"/>
                <c:pt idx="0">
                  <c:v>Max Shear Point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EB1E105B-70B7-4B5A-B0E0-D0531DB53677}" type="CELLRANGE">
                      <a:rPr lang="en-US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C64-4EC7-8399-64C7F6542B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C64-4EC7-8399-64C7F6542BF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ordia New" panose="020B0304020202020204" pitchFamily="34" charset="-34"/>
                    <a:ea typeface="+mn-ea"/>
                    <a:cs typeface="Cordia New" panose="020B0304020202020204" pitchFamily="34" charset="-34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'I-Pile'!$BQ$40:$BR$40</c:f>
              <c:numCache>
                <c:formatCode>General</c:formatCode>
                <c:ptCount val="2"/>
                <c:pt idx="0">
                  <c:v>-12.476716223003525</c:v>
                </c:pt>
                <c:pt idx="1">
                  <c:v>-12.476716223003525</c:v>
                </c:pt>
              </c:numCache>
            </c:numRef>
          </c:xVal>
          <c:yVal>
            <c:numRef>
              <c:f>'I-Pile'!$BQ$41:$BR$41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'I-Pile'!$BS$40</c15:f>
                <c15:dlblRangeCache>
                  <c:ptCount val="1"/>
                  <c:pt idx="0">
                    <c:v>-12.47 ton.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EC64-4EC7-8399-64C7F6542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3538080"/>
        <c:axId val="1207895520"/>
      </c:scatterChart>
      <c:valAx>
        <c:axId val="1603538080"/>
        <c:scaling>
          <c:orientation val="minMax"/>
          <c:max val="30"/>
          <c:min val="-30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1207895520"/>
        <c:crosses val="autoZero"/>
        <c:crossBetween val="midCat"/>
        <c:majorUnit val="5"/>
        <c:minorUnit val="5"/>
      </c:valAx>
      <c:valAx>
        <c:axId val="1207895520"/>
        <c:scaling>
          <c:orientation val="minMax"/>
          <c:min val="-0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1603538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'I-Pile'!$AU$12:$AV$12</c:f>
              <c:strCache>
                <c:ptCount val="1"/>
                <c:pt idx="0">
                  <c:v>eq.5.8</c:v>
                </c:pt>
              </c:strCache>
            </c:strRef>
          </c:tx>
          <c:spPr>
            <a:ln w="63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'I-Pile'!$AL$14:$AL$63</c:f>
              <c:numCache>
                <c:formatCode>#,##0.00</c:formatCode>
                <c:ptCount val="50"/>
                <c:pt idx="0">
                  <c:v>-4.8316544151011884</c:v>
                </c:pt>
                <c:pt idx="1">
                  <c:v>-4.5095441207611096</c:v>
                </c:pt>
                <c:pt idx="2">
                  <c:v>-4.1874338264210307</c:v>
                </c:pt>
                <c:pt idx="3">
                  <c:v>-3.8653235320809514</c:v>
                </c:pt>
                <c:pt idx="4">
                  <c:v>-3.543213237740872</c:v>
                </c:pt>
                <c:pt idx="5">
                  <c:v>-3.2211029434007927</c:v>
                </c:pt>
                <c:pt idx="6">
                  <c:v>-2.8989926490607134</c:v>
                </c:pt>
                <c:pt idx="7">
                  <c:v>-2.5768823547206341</c:v>
                </c:pt>
                <c:pt idx="8">
                  <c:v>-2.2547720603805548</c:v>
                </c:pt>
                <c:pt idx="9">
                  <c:v>-1.9326617660404755</c:v>
                </c:pt>
                <c:pt idx="10">
                  <c:v>-1.6105514717003961</c:v>
                </c:pt>
                <c:pt idx="11">
                  <c:v>-1.2884411773603168</c:v>
                </c:pt>
                <c:pt idx="12">
                  <c:v>-0.96633088302023762</c:v>
                </c:pt>
                <c:pt idx="13">
                  <c:v>-0.64422058868015841</c:v>
                </c:pt>
                <c:pt idx="14">
                  <c:v>-0.32211029434007921</c:v>
                </c:pt>
                <c:pt idx="15">
                  <c:v>0</c:v>
                </c:pt>
                <c:pt idx="16">
                  <c:v>0.32211029434007921</c:v>
                </c:pt>
                <c:pt idx="17">
                  <c:v>0.64422058868015841</c:v>
                </c:pt>
                <c:pt idx="18">
                  <c:v>0.96633088302023762</c:v>
                </c:pt>
                <c:pt idx="19">
                  <c:v>1.2884411773603168</c:v>
                </c:pt>
                <c:pt idx="20">
                  <c:v>1.6105514717003961</c:v>
                </c:pt>
                <c:pt idx="21">
                  <c:v>1.9326617660404755</c:v>
                </c:pt>
                <c:pt idx="22">
                  <c:v>2.2547720603805548</c:v>
                </c:pt>
                <c:pt idx="23">
                  <c:v>2.5768823547206341</c:v>
                </c:pt>
                <c:pt idx="24">
                  <c:v>2.8989926490607134</c:v>
                </c:pt>
                <c:pt idx="25">
                  <c:v>3.2211029434007927</c:v>
                </c:pt>
                <c:pt idx="26">
                  <c:v>3.543213237740872</c:v>
                </c:pt>
                <c:pt idx="27">
                  <c:v>3.8653235320809514</c:v>
                </c:pt>
                <c:pt idx="28">
                  <c:v>4.1874338264210307</c:v>
                </c:pt>
                <c:pt idx="29">
                  <c:v>4.5095441207611096</c:v>
                </c:pt>
                <c:pt idx="30">
                  <c:v>4.8316544151011884</c:v>
                </c:pt>
                <c:pt idx="31">
                  <c:v>5.1537647094412673</c:v>
                </c:pt>
                <c:pt idx="32">
                  <c:v>5.4758750037813462</c:v>
                </c:pt>
                <c:pt idx="33">
                  <c:v>5.797985298121425</c:v>
                </c:pt>
                <c:pt idx="34">
                  <c:v>6.1200955924615039</c:v>
                </c:pt>
                <c:pt idx="35">
                  <c:v>6.4422058868015828</c:v>
                </c:pt>
                <c:pt idx="36">
                  <c:v>6.7643161811416617</c:v>
                </c:pt>
                <c:pt idx="37">
                  <c:v>7.0864264754817405</c:v>
                </c:pt>
                <c:pt idx="38">
                  <c:v>7.4085367698218194</c:v>
                </c:pt>
                <c:pt idx="39">
                  <c:v>7.7306470641618983</c:v>
                </c:pt>
                <c:pt idx="40">
                  <c:v>8.052757358501978</c:v>
                </c:pt>
                <c:pt idx="41">
                  <c:v>8.3748676528420578</c:v>
                </c:pt>
                <c:pt idx="42">
                  <c:v>8.6969779471821376</c:v>
                </c:pt>
                <c:pt idx="43">
                  <c:v>9.0190882415222173</c:v>
                </c:pt>
                <c:pt idx="44">
                  <c:v>9.3411985358622971</c:v>
                </c:pt>
                <c:pt idx="45">
                  <c:v>9.6633088302023769</c:v>
                </c:pt>
                <c:pt idx="46">
                  <c:v>9.9854191245424566</c:v>
                </c:pt>
                <c:pt idx="47">
                  <c:v>10.307529418882536</c:v>
                </c:pt>
                <c:pt idx="48">
                  <c:v>10.629639713222616</c:v>
                </c:pt>
                <c:pt idx="49">
                  <c:v>10.951750007562696</c:v>
                </c:pt>
              </c:numCache>
            </c:numRef>
          </c:xVal>
          <c:yVal>
            <c:numRef>
              <c:f>'I-Pile'!$AV$14:$AV$63</c:f>
              <c:numCache>
                <c:formatCode>General</c:formatCode>
                <c:ptCount val="50"/>
                <c:pt idx="0">
                  <c:v>0</c:v>
                </c:pt>
                <c:pt idx="1">
                  <c:v>0.09</c:v>
                </c:pt>
                <c:pt idx="2">
                  <c:v>0.18</c:v>
                </c:pt>
                <c:pt idx="3">
                  <c:v>0.28000000000000003</c:v>
                </c:pt>
                <c:pt idx="4">
                  <c:v>0.37</c:v>
                </c:pt>
                <c:pt idx="5">
                  <c:v>0.47</c:v>
                </c:pt>
                <c:pt idx="6">
                  <c:v>0.56000000000000005</c:v>
                </c:pt>
                <c:pt idx="7">
                  <c:v>0.65</c:v>
                </c:pt>
                <c:pt idx="8">
                  <c:v>0.75</c:v>
                </c:pt>
                <c:pt idx="9">
                  <c:v>0.84</c:v>
                </c:pt>
                <c:pt idx="10">
                  <c:v>0.94</c:v>
                </c:pt>
                <c:pt idx="11">
                  <c:v>1.03</c:v>
                </c:pt>
                <c:pt idx="12">
                  <c:v>1.1299999999999999</c:v>
                </c:pt>
                <c:pt idx="13">
                  <c:v>1.22</c:v>
                </c:pt>
                <c:pt idx="14">
                  <c:v>1.31</c:v>
                </c:pt>
                <c:pt idx="15">
                  <c:v>1.41</c:v>
                </c:pt>
                <c:pt idx="16">
                  <c:v>1.5</c:v>
                </c:pt>
                <c:pt idx="17">
                  <c:v>1.6</c:v>
                </c:pt>
                <c:pt idx="18">
                  <c:v>1.69</c:v>
                </c:pt>
                <c:pt idx="19">
                  <c:v>1.78</c:v>
                </c:pt>
                <c:pt idx="20">
                  <c:v>1.88</c:v>
                </c:pt>
                <c:pt idx="21">
                  <c:v>1.97</c:v>
                </c:pt>
                <c:pt idx="22">
                  <c:v>2.0699999999999998</c:v>
                </c:pt>
                <c:pt idx="23">
                  <c:v>2.16</c:v>
                </c:pt>
                <c:pt idx="24">
                  <c:v>2.2599999999999998</c:v>
                </c:pt>
                <c:pt idx="25">
                  <c:v>2.35</c:v>
                </c:pt>
                <c:pt idx="26">
                  <c:v>2.44</c:v>
                </c:pt>
                <c:pt idx="27">
                  <c:v>2.54</c:v>
                </c:pt>
                <c:pt idx="28">
                  <c:v>2.63</c:v>
                </c:pt>
                <c:pt idx="29">
                  <c:v>2.73</c:v>
                </c:pt>
                <c:pt idx="30">
                  <c:v>2.82</c:v>
                </c:pt>
                <c:pt idx="31">
                  <c:v>2.92</c:v>
                </c:pt>
                <c:pt idx="32">
                  <c:v>3.01</c:v>
                </c:pt>
                <c:pt idx="33">
                  <c:v>3.1</c:v>
                </c:pt>
                <c:pt idx="34">
                  <c:v>3.2</c:v>
                </c:pt>
                <c:pt idx="35">
                  <c:v>3.29</c:v>
                </c:pt>
                <c:pt idx="36">
                  <c:v>3.39</c:v>
                </c:pt>
                <c:pt idx="37">
                  <c:v>3.48</c:v>
                </c:pt>
                <c:pt idx="38">
                  <c:v>3.57</c:v>
                </c:pt>
                <c:pt idx="39">
                  <c:v>3.67</c:v>
                </c:pt>
                <c:pt idx="40">
                  <c:v>3.76</c:v>
                </c:pt>
                <c:pt idx="41">
                  <c:v>3.86</c:v>
                </c:pt>
                <c:pt idx="42">
                  <c:v>3.95</c:v>
                </c:pt>
                <c:pt idx="43">
                  <c:v>4.05</c:v>
                </c:pt>
                <c:pt idx="44">
                  <c:v>4.1399999999999997</c:v>
                </c:pt>
                <c:pt idx="45">
                  <c:v>4.2300000000000004</c:v>
                </c:pt>
                <c:pt idx="46">
                  <c:v>4.33</c:v>
                </c:pt>
                <c:pt idx="47">
                  <c:v>4.42</c:v>
                </c:pt>
                <c:pt idx="48">
                  <c:v>4.5199999999999996</c:v>
                </c:pt>
                <c:pt idx="49">
                  <c:v>4.6100000000000003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036-4FDB-AF0A-FE008DCBFCBC}"/>
            </c:ext>
          </c:extLst>
        </c:ser>
        <c:ser>
          <c:idx val="1"/>
          <c:order val="1"/>
          <c:tx>
            <c:strRef>
              <c:f>'I-Pile'!$AO$12:$AP$12</c:f>
              <c:strCache>
                <c:ptCount val="1"/>
                <c:pt idx="0">
                  <c:v>eq.5.6</c:v>
                </c:pt>
              </c:strCache>
            </c:strRef>
          </c:tx>
          <c:spPr>
            <a:ln w="6350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4"/>
              <c:spPr>
                <a:solidFill>
                  <a:srgbClr val="0000FF"/>
                </a:solidFill>
                <a:ln w="9525">
                  <a:solidFill>
                    <a:srgbClr val="0000FF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4036-4FDB-AF0A-FE008DCBFCBC}"/>
              </c:ext>
            </c:extLst>
          </c:dPt>
          <c:dLbls>
            <c:dLbl>
              <c:idx val="0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Cordia New" panose="020B0304020202020204" pitchFamily="34" charset="-34"/>
                        <a:ea typeface="+mn-ea"/>
                        <a:cs typeface="Cordia New" panose="020B0304020202020204" pitchFamily="34" charset="-34"/>
                      </a:defRPr>
                    </a:pPr>
                    <a:fld id="{B637AEC6-E7C0-410C-9100-F5E30F0B02B3}" type="CELLRANGE">
                      <a:rPr lang="th-TH"/>
                      <a:pPr>
                        <a:defRPr>
                          <a:solidFill>
                            <a:sysClr val="windowText" lastClr="000000"/>
                          </a:solidFill>
                          <a:latin typeface="Cordia New" panose="020B0304020202020204" pitchFamily="34" charset="-34"/>
                          <a:cs typeface="Cordia New" panose="020B0304020202020204" pitchFamily="34" charset="-34"/>
                        </a:defRPr>
                      </a:pPr>
                      <a:t>[CELLRANGE]</a:t>
                    </a:fld>
                    <a:endParaRPr lang="th-TH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Cordia New" panose="020B0304020202020204" pitchFamily="34" charset="-34"/>
                      <a:ea typeface="+mn-ea"/>
                      <a:cs typeface="Cordia New" panose="020B0304020202020204" pitchFamily="34" charset="-34"/>
                    </a:defRPr>
                  </a:pPr>
                  <a:endParaRPr lang="th-TH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4036-4FDB-AF0A-FE008DCBFC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4036-4FDB-AF0A-FE008DCBFC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4036-4FDB-AF0A-FE008DCBFC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4036-4FDB-AF0A-FE008DCBFC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4036-4FDB-AF0A-FE008DCBFC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4036-4FDB-AF0A-FE008DCBFCB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4036-4FDB-AF0A-FE008DCBFCB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4036-4FDB-AF0A-FE008DCBFCB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4036-4FDB-AF0A-FE008DCBFCB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4036-4FDB-AF0A-FE008DCBFCB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4036-4FDB-AF0A-FE008DCBFCB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4036-4FDB-AF0A-FE008DCBFCB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4036-4FDB-AF0A-FE008DCBFCB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4036-4FDB-AF0A-FE008DCBFCB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4036-4FDB-AF0A-FE008DCBFCB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4036-4FDB-AF0A-FE008DCBFCB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4036-4FDB-AF0A-FE008DCBFCB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4036-4FDB-AF0A-FE008DCBFCB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4036-4FDB-AF0A-FE008DCBFCB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4036-4FDB-AF0A-FE008DCBFCB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4036-4FDB-AF0A-FE008DCBFCB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4036-4FDB-AF0A-FE008DCBFCB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4036-4FDB-AF0A-FE008DCBFCB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4036-4FDB-AF0A-FE008DCBFCB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4036-4FDB-AF0A-FE008DCBFCB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4036-4FDB-AF0A-FE008DCBFCB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4036-4FDB-AF0A-FE008DCBFCB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4036-4FDB-AF0A-FE008DCBFCB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4036-4FDB-AF0A-FE008DCBFCB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4036-4FDB-AF0A-FE008DCBFCB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4036-4FDB-AF0A-FE008DCBFCB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4036-4FDB-AF0A-FE008DCBFCB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4036-4FDB-AF0A-FE008DCBFCB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4036-4FDB-AF0A-FE008DCBFCB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4036-4FDB-AF0A-FE008DCBFCB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4036-4FDB-AF0A-FE008DCBFCB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4036-4FDB-AF0A-FE008DCBFCB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4036-4FDB-AF0A-FE008DCBFCB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4036-4FDB-AF0A-FE008DCBFCB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4036-4FDB-AF0A-FE008DCBFCBC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4036-4FDB-AF0A-FE008DCBFCB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4036-4FDB-AF0A-FE008DCBFCB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4036-4FDB-AF0A-FE008DCBFCB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4036-4FDB-AF0A-FE008DCBFCB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4036-4FDB-AF0A-FE008DCBFCB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4036-4FDB-AF0A-FE008DCBFCBC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4036-4FDB-AF0A-FE008DCBFCBC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4036-4FDB-AF0A-FE008DCBFCBC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4036-4FDB-AF0A-FE008DCBFCBC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4036-4FDB-AF0A-FE008DCBF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'I-Pile'!$AL$14:$AL$63</c:f>
              <c:numCache>
                <c:formatCode>#,##0.00</c:formatCode>
                <c:ptCount val="50"/>
                <c:pt idx="0">
                  <c:v>-4.8316544151011884</c:v>
                </c:pt>
                <c:pt idx="1">
                  <c:v>-4.5095441207611096</c:v>
                </c:pt>
                <c:pt idx="2">
                  <c:v>-4.1874338264210307</c:v>
                </c:pt>
                <c:pt idx="3">
                  <c:v>-3.8653235320809514</c:v>
                </c:pt>
                <c:pt idx="4">
                  <c:v>-3.543213237740872</c:v>
                </c:pt>
                <c:pt idx="5">
                  <c:v>-3.2211029434007927</c:v>
                </c:pt>
                <c:pt idx="6">
                  <c:v>-2.8989926490607134</c:v>
                </c:pt>
                <c:pt idx="7">
                  <c:v>-2.5768823547206341</c:v>
                </c:pt>
                <c:pt idx="8">
                  <c:v>-2.2547720603805548</c:v>
                </c:pt>
                <c:pt idx="9">
                  <c:v>-1.9326617660404755</c:v>
                </c:pt>
                <c:pt idx="10">
                  <c:v>-1.6105514717003961</c:v>
                </c:pt>
                <c:pt idx="11">
                  <c:v>-1.2884411773603168</c:v>
                </c:pt>
                <c:pt idx="12">
                  <c:v>-0.96633088302023762</c:v>
                </c:pt>
                <c:pt idx="13">
                  <c:v>-0.64422058868015841</c:v>
                </c:pt>
                <c:pt idx="14">
                  <c:v>-0.32211029434007921</c:v>
                </c:pt>
                <c:pt idx="15">
                  <c:v>0</c:v>
                </c:pt>
                <c:pt idx="16">
                  <c:v>0.32211029434007921</c:v>
                </c:pt>
                <c:pt idx="17">
                  <c:v>0.64422058868015841</c:v>
                </c:pt>
                <c:pt idx="18">
                  <c:v>0.96633088302023762</c:v>
                </c:pt>
                <c:pt idx="19">
                  <c:v>1.2884411773603168</c:v>
                </c:pt>
                <c:pt idx="20">
                  <c:v>1.6105514717003961</c:v>
                </c:pt>
                <c:pt idx="21">
                  <c:v>1.9326617660404755</c:v>
                </c:pt>
                <c:pt idx="22">
                  <c:v>2.2547720603805548</c:v>
                </c:pt>
                <c:pt idx="23">
                  <c:v>2.5768823547206341</c:v>
                </c:pt>
                <c:pt idx="24">
                  <c:v>2.8989926490607134</c:v>
                </c:pt>
                <c:pt idx="25">
                  <c:v>3.2211029434007927</c:v>
                </c:pt>
                <c:pt idx="26">
                  <c:v>3.543213237740872</c:v>
                </c:pt>
                <c:pt idx="27">
                  <c:v>3.8653235320809514</c:v>
                </c:pt>
                <c:pt idx="28">
                  <c:v>4.1874338264210307</c:v>
                </c:pt>
                <c:pt idx="29">
                  <c:v>4.5095441207611096</c:v>
                </c:pt>
                <c:pt idx="30">
                  <c:v>4.8316544151011884</c:v>
                </c:pt>
                <c:pt idx="31">
                  <c:v>5.1537647094412673</c:v>
                </c:pt>
                <c:pt idx="32">
                  <c:v>5.4758750037813462</c:v>
                </c:pt>
                <c:pt idx="33">
                  <c:v>5.797985298121425</c:v>
                </c:pt>
                <c:pt idx="34">
                  <c:v>6.1200955924615039</c:v>
                </c:pt>
                <c:pt idx="35">
                  <c:v>6.4422058868015828</c:v>
                </c:pt>
                <c:pt idx="36">
                  <c:v>6.7643161811416617</c:v>
                </c:pt>
                <c:pt idx="37">
                  <c:v>7.0864264754817405</c:v>
                </c:pt>
                <c:pt idx="38">
                  <c:v>7.4085367698218194</c:v>
                </c:pt>
                <c:pt idx="39">
                  <c:v>7.7306470641618983</c:v>
                </c:pt>
                <c:pt idx="40">
                  <c:v>8.052757358501978</c:v>
                </c:pt>
                <c:pt idx="41">
                  <c:v>8.3748676528420578</c:v>
                </c:pt>
                <c:pt idx="42">
                  <c:v>8.6969779471821376</c:v>
                </c:pt>
                <c:pt idx="43">
                  <c:v>9.0190882415222173</c:v>
                </c:pt>
                <c:pt idx="44">
                  <c:v>9.3411985358622971</c:v>
                </c:pt>
                <c:pt idx="45">
                  <c:v>9.6633088302023769</c:v>
                </c:pt>
                <c:pt idx="46">
                  <c:v>9.9854191245424566</c:v>
                </c:pt>
                <c:pt idx="47">
                  <c:v>10.307529418882536</c:v>
                </c:pt>
                <c:pt idx="48">
                  <c:v>10.629639713222616</c:v>
                </c:pt>
                <c:pt idx="49">
                  <c:v>10.951750007562696</c:v>
                </c:pt>
              </c:numCache>
            </c:numRef>
          </c:xVal>
          <c:yVal>
            <c:numRef>
              <c:f>'I-Pile'!$AP$14:$AP$63</c:f>
              <c:numCache>
                <c:formatCode>General</c:formatCode>
                <c:ptCount val="50"/>
                <c:pt idx="0">
                  <c:v>0</c:v>
                </c:pt>
                <c:pt idx="1">
                  <c:v>8.4675754102759751E-2</c:v>
                </c:pt>
                <c:pt idx="2">
                  <c:v>0.16935150820551964</c:v>
                </c:pt>
                <c:pt idx="3">
                  <c:v>0.25402726230827954</c:v>
                </c:pt>
                <c:pt idx="4">
                  <c:v>0.33870301641103945</c:v>
                </c:pt>
                <c:pt idx="5">
                  <c:v>0.42337877051379952</c:v>
                </c:pt>
                <c:pt idx="6">
                  <c:v>0.50805452461655931</c:v>
                </c:pt>
                <c:pt idx="7">
                  <c:v>0.59273027871931927</c:v>
                </c:pt>
                <c:pt idx="8">
                  <c:v>0.67740603282207912</c:v>
                </c:pt>
                <c:pt idx="9">
                  <c:v>0.76208178692483919</c:v>
                </c:pt>
                <c:pt idx="10">
                  <c:v>0.84675754102759915</c:v>
                </c:pt>
                <c:pt idx="11">
                  <c:v>0.93143329513035911</c:v>
                </c:pt>
                <c:pt idx="12">
                  <c:v>1.0161090492331191</c:v>
                </c:pt>
                <c:pt idx="13">
                  <c:v>1.1007848033358789</c:v>
                </c:pt>
                <c:pt idx="14">
                  <c:v>1.1854605574386388</c:v>
                </c:pt>
                <c:pt idx="15">
                  <c:v>1.2701363115413986</c:v>
                </c:pt>
                <c:pt idx="16">
                  <c:v>1.3548120656441587</c:v>
                </c:pt>
                <c:pt idx="17">
                  <c:v>1.4394878197469183</c:v>
                </c:pt>
                <c:pt idx="18">
                  <c:v>1.5241635738496784</c:v>
                </c:pt>
                <c:pt idx="19">
                  <c:v>1.6088393279524384</c:v>
                </c:pt>
                <c:pt idx="20">
                  <c:v>1.6935150820551981</c:v>
                </c:pt>
                <c:pt idx="21">
                  <c:v>1.7781908361579579</c:v>
                </c:pt>
                <c:pt idx="22">
                  <c:v>1.8628665902607182</c:v>
                </c:pt>
                <c:pt idx="23">
                  <c:v>1.9475423443634781</c:v>
                </c:pt>
                <c:pt idx="24">
                  <c:v>2.0322180984662381</c:v>
                </c:pt>
                <c:pt idx="25">
                  <c:v>2.1168938525689978</c:v>
                </c:pt>
                <c:pt idx="26">
                  <c:v>2.2015696066717578</c:v>
                </c:pt>
                <c:pt idx="27">
                  <c:v>2.2862453607745179</c:v>
                </c:pt>
                <c:pt idx="28">
                  <c:v>2.3709211148772775</c:v>
                </c:pt>
                <c:pt idx="29">
                  <c:v>2.455596868980038</c:v>
                </c:pt>
                <c:pt idx="30">
                  <c:v>2.5402726230827972</c:v>
                </c:pt>
                <c:pt idx="31">
                  <c:v>2.6249483771855568</c:v>
                </c:pt>
                <c:pt idx="32">
                  <c:v>2.7096241312883174</c:v>
                </c:pt>
                <c:pt idx="33">
                  <c:v>2.794299885391077</c:v>
                </c:pt>
                <c:pt idx="34">
                  <c:v>2.8789756394938366</c:v>
                </c:pt>
                <c:pt idx="35">
                  <c:v>2.9636513935965962</c:v>
                </c:pt>
                <c:pt idx="36">
                  <c:v>3.0483271476993559</c:v>
                </c:pt>
                <c:pt idx="37">
                  <c:v>3.1330029018021159</c:v>
                </c:pt>
                <c:pt idx="38">
                  <c:v>3.217678655904876</c:v>
                </c:pt>
                <c:pt idx="39">
                  <c:v>3.3023544100076361</c:v>
                </c:pt>
                <c:pt idx="40">
                  <c:v>3.3870301641103961</c:v>
                </c:pt>
                <c:pt idx="41">
                  <c:v>3.4717059182131558</c:v>
                </c:pt>
                <c:pt idx="42">
                  <c:v>3.5563816723159158</c:v>
                </c:pt>
                <c:pt idx="43">
                  <c:v>3.6410574264186759</c:v>
                </c:pt>
                <c:pt idx="44">
                  <c:v>3.7257331805214364</c:v>
                </c:pt>
                <c:pt idx="45">
                  <c:v>3.8104089346241961</c:v>
                </c:pt>
                <c:pt idx="46">
                  <c:v>3.8950846887269561</c:v>
                </c:pt>
                <c:pt idx="47">
                  <c:v>3.9797604428297166</c:v>
                </c:pt>
                <c:pt idx="48">
                  <c:v>4.0644361969324763</c:v>
                </c:pt>
                <c:pt idx="49">
                  <c:v>4.1491119510352359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'I-Pile'!$BD$45</c15:f>
                <c15:dlblRangeCache>
                  <c:ptCount val="1"/>
                  <c:pt idx="0">
                    <c:v>-1/αb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4036-4FDB-AF0A-FE008DCBFCBC}"/>
            </c:ext>
          </c:extLst>
        </c:ser>
        <c:ser>
          <c:idx val="2"/>
          <c:order val="2"/>
          <c:tx>
            <c:strRef>
              <c:f>'I-Pile'!$AM$12:$AN$12</c:f>
              <c:strCache>
                <c:ptCount val="1"/>
                <c:pt idx="0">
                  <c:v>eq.5.5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'I-Pile'!$AK$9:$AL$9</c:f>
              <c:numCache>
                <c:formatCode>General</c:formatCode>
                <c:ptCount val="2"/>
                <c:pt idx="0" formatCode="#,##0.00">
                  <c:v>10.951750007562696</c:v>
                </c:pt>
                <c:pt idx="1">
                  <c:v>4.8316544151011884</c:v>
                </c:pt>
              </c:numCache>
            </c:numRef>
          </c:xVal>
          <c:yVal>
            <c:numRef>
              <c:f>'I-Pile'!$AM$9:$AN$9</c:f>
              <c:numCache>
                <c:formatCode>General</c:formatCode>
                <c:ptCount val="2"/>
                <c:pt idx="0">
                  <c:v>9.4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4036-4FDB-AF0A-FE008DCBFCBC}"/>
            </c:ext>
          </c:extLst>
        </c:ser>
        <c:ser>
          <c:idx val="3"/>
          <c:order val="3"/>
          <c:tx>
            <c:strRef>
              <c:f>'I-Pile'!$AS$12:$AT$12</c:f>
              <c:strCache>
                <c:ptCount val="1"/>
                <c:pt idx="0">
                  <c:v>eq.5.7.2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2-4036-4FDB-AF0A-FE008DCBFCB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05CC23B-88A7-409A-A9A4-AD3240A2DC6E}" type="CELLRANGE">
                      <a:rPr lang="el-GR"/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4036-4FDB-AF0A-FE008DCBFC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4036-4FDB-AF0A-FE008DCBFCB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ordia New" panose="020B0304020202020204" pitchFamily="34" charset="-34"/>
                    <a:ea typeface="+mn-ea"/>
                    <a:cs typeface="Cordia New" panose="020B0304020202020204" pitchFamily="34" charset="-34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'I-Pile'!$AP$9:$AQ$9</c:f>
              <c:numCache>
                <c:formatCode>General</c:formatCode>
                <c:ptCount val="2"/>
                <c:pt idx="0">
                  <c:v>4.8316544151011884</c:v>
                </c:pt>
                <c:pt idx="1">
                  <c:v>-10.138345584898811</c:v>
                </c:pt>
              </c:numCache>
            </c:numRef>
          </c:xVal>
          <c:yVal>
            <c:numRef>
              <c:f>'I-Pile'!$AR$9:$AS$9</c:f>
              <c:numCache>
                <c:formatCode>#,##0.00</c:formatCode>
                <c:ptCount val="2"/>
                <c:pt idx="0" formatCode="General">
                  <c:v>0</c:v>
                </c:pt>
                <c:pt idx="1">
                  <c:v>10.951750007562696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'I-Pile'!$BD$46</c15:f>
                <c15:dlblRangeCache>
                  <c:ptCount val="1"/>
                  <c:pt idx="0">
                    <c:v>1/αt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4036-4FDB-AF0A-FE008DCBFCBC}"/>
            </c:ext>
          </c:extLst>
        </c:ser>
        <c:ser>
          <c:idx val="5"/>
          <c:order val="4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4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4036-4FDB-AF0A-FE008DCBFCBC}"/>
              </c:ext>
            </c:extLst>
          </c:dPt>
          <c:dPt>
            <c:idx val="1"/>
            <c:marker>
              <c:symbol val="circle"/>
              <c:size val="4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rgbClr val="FF000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4036-4FDB-AF0A-FE008DCBFCB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E532E1F-918D-4EBA-BE09-A312CDF2CACE}" type="CELLRANGE">
                      <a:rPr lang="en-US" baseline="0">
                        <a:solidFill>
                          <a:sysClr val="windowText" lastClr="000000"/>
                        </a:solidFill>
                        <a:latin typeface="Cordia New" panose="020B0304020202020204" pitchFamily="34" charset="-34"/>
                        <a:cs typeface="Cordia New" panose="020B0304020202020204" pitchFamily="34" charset="-34"/>
                      </a:rPr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4036-4FDB-AF0A-FE008DCBFC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4036-4FDB-AF0A-FE008DCBFCB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'I-Pile'!$BH$25:$BI$25</c:f>
              <c:numCache>
                <c:formatCode>General</c:formatCode>
                <c:ptCount val="2"/>
                <c:pt idx="0">
                  <c:v>8.9887889878617084</c:v>
                </c:pt>
                <c:pt idx="1">
                  <c:v>8.9887889878617084</c:v>
                </c:pt>
              </c:numCache>
            </c:numRef>
          </c:xVal>
          <c:yVal>
            <c:numRef>
              <c:f>'I-Pile'!$BF$25:$BG$25</c:f>
              <c:numCache>
                <c:formatCode>General</c:formatCode>
                <c:ptCount val="2"/>
                <c:pt idx="0">
                  <c:v>0</c:v>
                </c:pt>
                <c:pt idx="1">
                  <c:v>6.3850416049191274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'I-Pile'!$BD$43</c15:f>
                <c15:dlblRangeCache>
                  <c:ptCount val="1"/>
                  <c:pt idx="0">
                    <c:v>e = 8.98 cm.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4036-4FDB-AF0A-FE008DCBFCBC}"/>
            </c:ext>
          </c:extLst>
        </c:ser>
        <c:ser>
          <c:idx val="6"/>
          <c:order val="5"/>
          <c:spPr>
            <a:ln w="6350" cap="rnd">
              <a:solidFill>
                <a:srgbClr val="FF0000"/>
              </a:solidFill>
              <a:prstDash val="lgDash"/>
              <a:round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28387106387979472"/>
                  <c:y val="-6.4937542355915159E-2"/>
                </c:manualLayout>
              </c:layout>
              <c:tx>
                <c:rich>
                  <a:bodyPr/>
                  <a:lstStyle/>
                  <a:p>
                    <a:fld id="{DEE0AE47-3066-42ED-B6EC-0F0E3A437250}" type="CELLRANGE">
                      <a:rPr lang="en-US">
                        <a:solidFill>
                          <a:sysClr val="windowText" lastClr="000000"/>
                        </a:solidFill>
                        <a:latin typeface="Cordia New" panose="020B0304020202020204" pitchFamily="34" charset="-34"/>
                        <a:cs typeface="Cordia New" panose="020B0304020202020204" pitchFamily="34" charset="-34"/>
                      </a:rPr>
                      <a:pPr/>
                      <a:t>[CELLRANGE]</a:t>
                    </a:fld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5-4036-4FDB-AF0A-FE008DCBFC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th-T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4036-4FDB-AF0A-FE008DCBFCB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'I-Pile'!$BF$26:$BG$26</c:f>
              <c:numCache>
                <c:formatCode>General</c:formatCode>
                <c:ptCount val="2"/>
                <c:pt idx="0">
                  <c:v>0</c:v>
                </c:pt>
                <c:pt idx="1">
                  <c:v>8.9887889878617084</c:v>
                </c:pt>
              </c:numCache>
            </c:numRef>
          </c:xVal>
          <c:yVal>
            <c:numRef>
              <c:f>'I-Pile'!$BH$26:$BI$26</c:f>
              <c:numCache>
                <c:formatCode>General</c:formatCode>
                <c:ptCount val="2"/>
                <c:pt idx="0">
                  <c:v>6.3850416049191274</c:v>
                </c:pt>
                <c:pt idx="1">
                  <c:v>6.3850416049191274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'I-Pile'!$BE$47</c15:f>
                <c15:dlblRangeCache>
                  <c:ptCount val="1"/>
                  <c:pt idx="0">
                    <c:v>Pi Minimum in Theory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C-4036-4FDB-AF0A-FE008DCBF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475856"/>
        <c:axId val="1775416224"/>
      </c:scatterChart>
      <c:valAx>
        <c:axId val="655475856"/>
        <c:scaling>
          <c:orientation val="minMax"/>
          <c:max val="11"/>
          <c:min val="-6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ysClr val="windowText" lastClr="000000"/>
                    </a:solidFill>
                    <a:latin typeface="Cordia New" panose="020B0304020202020204" pitchFamily="34" charset="-34"/>
                    <a:cs typeface="Cordia New" panose="020B0304020202020204" pitchFamily="34" charset="-34"/>
                  </a:rPr>
                  <a:t>e (cm.) </a:t>
                </a:r>
              </a:p>
              <a:p>
                <a:pPr>
                  <a:defRPr/>
                </a:pPr>
                <a:r>
                  <a:rPr lang="en-US" sz="1200" baseline="0">
                    <a:solidFill>
                      <a:sysClr val="windowText" lastClr="000000"/>
                    </a:solidFill>
                    <a:latin typeface="Cordia New" panose="020B0304020202020204" pitchFamily="34" charset="-34"/>
                    <a:cs typeface="Cordia New" panose="020B0304020202020204" pitchFamily="34" charset="-34"/>
                  </a:rPr>
                  <a:t>Magnel Diagram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1775416224"/>
        <c:crosses val="autoZero"/>
        <c:crossBetween val="midCat"/>
        <c:majorUnit val="2"/>
      </c:valAx>
      <c:valAx>
        <c:axId val="17754162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Cordia New" panose="020B0304020202020204" pitchFamily="34" charset="-34"/>
                    <a:cs typeface="Cordia New" panose="020B0304020202020204" pitchFamily="34" charset="-34"/>
                  </a:rPr>
                  <a:t>(1/Pi)x10</a:t>
                </a:r>
                <a:r>
                  <a:rPr lang="en-US" sz="1200" strike="noStrike" baseline="30000">
                    <a:solidFill>
                      <a:sysClr val="windowText" lastClr="000000"/>
                    </a:solidFill>
                    <a:latin typeface="Cordia New" panose="020B0304020202020204" pitchFamily="34" charset="-34"/>
                    <a:cs typeface="Cordia New" panose="020B0304020202020204" pitchFamily="34" charset="-34"/>
                  </a:rPr>
                  <a:t>-5</a:t>
                </a:r>
                <a:r>
                  <a:rPr lang="en-US" sz="1200" baseline="0">
                    <a:solidFill>
                      <a:sysClr val="windowText" lastClr="000000"/>
                    </a:solidFill>
                    <a:latin typeface="Cordia New" panose="020B0304020202020204" pitchFamily="34" charset="-34"/>
                    <a:cs typeface="Cordia New" panose="020B0304020202020204" pitchFamily="34" charset="-34"/>
                  </a:rPr>
                  <a:t>(kg.</a:t>
                </a:r>
                <a:r>
                  <a:rPr lang="en-US" sz="1200" baseline="30000">
                    <a:solidFill>
                      <a:sysClr val="windowText" lastClr="000000"/>
                    </a:solidFill>
                    <a:latin typeface="Cordia New" panose="020B0304020202020204" pitchFamily="34" charset="-34"/>
                    <a:cs typeface="Cordia New" panose="020B0304020202020204" pitchFamily="34" charset="-34"/>
                  </a:rPr>
                  <a:t>-1</a:t>
                </a:r>
                <a:r>
                  <a:rPr lang="en-US" sz="1200" baseline="0">
                    <a:solidFill>
                      <a:sysClr val="windowText" lastClr="000000"/>
                    </a:solidFill>
                    <a:latin typeface="Cordia New" panose="020B0304020202020204" pitchFamily="34" charset="-34"/>
                    <a:cs typeface="Cordia New" panose="020B0304020202020204" pitchFamily="34" charset="-34"/>
                  </a:rPr>
                  <a:t>)</a:t>
                </a:r>
                <a:endParaRPr lang="en-US" sz="1200">
                  <a:solidFill>
                    <a:sysClr val="windowText" lastClr="000000"/>
                  </a:solidFill>
                  <a:latin typeface="Cordia New" panose="020B0304020202020204" pitchFamily="34" charset="-34"/>
                  <a:cs typeface="Cordia New" panose="020B0304020202020204" pitchFamily="34" charset="-34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655475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" dropStyle="combo" dx="22" fmlaLink="$E$26" fmlaRange="Database!$C$14:$C$21" noThreeD="1" sel="1" val="0"/>
</file>

<file path=xl/ctrlProps/ctrlProp2.xml><?xml version="1.0" encoding="utf-8"?>
<formControlPr xmlns="http://schemas.microsoft.com/office/spreadsheetml/2009/9/main" objectType="Drop" dropLines="5" dropStyle="combo" dx="22" fmlaLink="$A$20" fmlaRange="Database!$C$6:$C$11" noThreeD="1" sel="2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0</xdr:rowOff>
        </xdr:from>
        <xdr:to>
          <xdr:col>4</xdr:col>
          <xdr:colOff>123825</xdr:colOff>
          <xdr:row>19</xdr:row>
          <xdr:rowOff>200025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326055</xdr:colOff>
      <xdr:row>8</xdr:row>
      <xdr:rowOff>65942</xdr:rowOff>
    </xdr:from>
    <xdr:to>
      <xdr:col>15</xdr:col>
      <xdr:colOff>308471</xdr:colOff>
      <xdr:row>17</xdr:row>
      <xdr:rowOff>139211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73270</xdr:colOff>
      <xdr:row>8</xdr:row>
      <xdr:rowOff>211012</xdr:rowOff>
    </xdr:from>
    <xdr:to>
      <xdr:col>7</xdr:col>
      <xdr:colOff>168519</xdr:colOff>
      <xdr:row>17</xdr:row>
      <xdr:rowOff>139210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73270" y="1752871"/>
          <a:ext cx="2678905" cy="1803433"/>
          <a:chOff x="1" y="489435"/>
          <a:chExt cx="3084635" cy="2111621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975"/>
          <a:stretch/>
        </xdr:blipFill>
        <xdr:spPr>
          <a:xfrm>
            <a:off x="1" y="490902"/>
            <a:ext cx="2637691" cy="2110154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0823" r="-2201"/>
          <a:stretch/>
        </xdr:blipFill>
        <xdr:spPr>
          <a:xfrm>
            <a:off x="2754924" y="489435"/>
            <a:ext cx="329712" cy="2110154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25</xdr:row>
          <xdr:rowOff>19050</xdr:rowOff>
        </xdr:from>
        <xdr:to>
          <xdr:col>11</xdr:col>
          <xdr:colOff>104775</xdr:colOff>
          <xdr:row>26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95252</xdr:colOff>
      <xdr:row>25</xdr:row>
      <xdr:rowOff>196362</xdr:rowOff>
    </xdr:from>
    <xdr:to>
      <xdr:col>4</xdr:col>
      <xdr:colOff>124558</xdr:colOff>
      <xdr:row>28</xdr:row>
      <xdr:rowOff>207668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464346" y="5280331"/>
          <a:ext cx="1136587" cy="636384"/>
          <a:chOff x="468925" y="4064978"/>
          <a:chExt cx="1150325" cy="648748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0253"/>
          <a:stretch/>
        </xdr:blipFill>
        <xdr:spPr>
          <a:xfrm>
            <a:off x="468925" y="4066443"/>
            <a:ext cx="293076" cy="640949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405"/>
          <a:stretch/>
        </xdr:blipFill>
        <xdr:spPr>
          <a:xfrm>
            <a:off x="945175" y="4064978"/>
            <a:ext cx="674075" cy="64874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31</xdr:row>
      <xdr:rowOff>205150</xdr:rowOff>
    </xdr:from>
    <xdr:to>
      <xdr:col>7</xdr:col>
      <xdr:colOff>329711</xdr:colOff>
      <xdr:row>42</xdr:row>
      <xdr:rowOff>73268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D3A90-E481-4C6B-B00D-55607BD87F0B}">
  <sheetPr>
    <tabColor rgb="FF92D050"/>
  </sheetPr>
  <dimension ref="A1:BY63"/>
  <sheetViews>
    <sheetView tabSelected="1" zoomScale="160" zoomScaleNormal="160" zoomScaleSheetLayoutView="130" workbookViewId="0">
      <selection activeCell="T9" sqref="T9"/>
    </sheetView>
  </sheetViews>
  <sheetFormatPr defaultRowHeight="17.25"/>
  <cols>
    <col min="1" max="8" width="4.875" style="17" customWidth="1"/>
    <col min="9" max="9" width="5.5" style="17" customWidth="1"/>
    <col min="10" max="16" width="4.875" style="17" customWidth="1"/>
    <col min="17" max="34" width="4.875" style="15" customWidth="1"/>
    <col min="35" max="35" width="6.375" style="15" customWidth="1"/>
    <col min="36" max="36" width="8.875" style="15" customWidth="1"/>
    <col min="37" max="37" width="4.875" style="16" customWidth="1"/>
    <col min="38" max="38" width="6.375" style="16" customWidth="1"/>
    <col min="39" max="56" width="4.875" style="16" customWidth="1"/>
    <col min="57" max="57" width="8.375" style="16" customWidth="1"/>
    <col min="58" max="58" width="7.625" style="16" customWidth="1"/>
    <col min="59" max="65" width="4.875" style="16" customWidth="1"/>
    <col min="66" max="69" width="9" style="17"/>
    <col min="70" max="70" width="11.25" style="17" customWidth="1"/>
    <col min="71" max="71" width="9" style="17"/>
    <col min="72" max="74" width="5.625" style="17" customWidth="1"/>
    <col min="75" max="16384" width="9" style="17"/>
  </cols>
  <sheetData>
    <row r="1" spans="1:77">
      <c r="A1" s="11"/>
      <c r="B1" s="12" t="s">
        <v>166</v>
      </c>
      <c r="C1" s="158"/>
      <c r="D1" s="158"/>
      <c r="E1" s="158"/>
      <c r="F1" s="158"/>
      <c r="G1" s="158"/>
      <c r="H1" s="158"/>
      <c r="I1" s="11"/>
      <c r="J1" s="13"/>
      <c r="K1" s="12" t="s">
        <v>167</v>
      </c>
      <c r="L1" s="159" t="s">
        <v>168</v>
      </c>
      <c r="M1" s="159"/>
      <c r="N1" s="159"/>
      <c r="O1" s="159"/>
      <c r="P1" s="159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77">
      <c r="A2" s="11"/>
      <c r="B2" s="12" t="s">
        <v>169</v>
      </c>
      <c r="C2" s="158"/>
      <c r="D2" s="158"/>
      <c r="E2" s="158"/>
      <c r="F2" s="158"/>
      <c r="G2" s="158"/>
      <c r="H2" s="158"/>
      <c r="I2" s="11"/>
      <c r="J2" s="13"/>
      <c r="K2" s="12" t="s">
        <v>170</v>
      </c>
      <c r="L2" s="159" t="s">
        <v>171</v>
      </c>
      <c r="M2" s="159"/>
      <c r="N2" s="159"/>
      <c r="O2" s="159"/>
      <c r="P2" s="159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77">
      <c r="A3" s="11"/>
      <c r="B3" s="12" t="s">
        <v>172</v>
      </c>
      <c r="C3" s="158"/>
      <c r="D3" s="158"/>
      <c r="E3" s="158"/>
      <c r="F3" s="158"/>
      <c r="G3" s="158"/>
      <c r="H3" s="158"/>
      <c r="I3" s="18"/>
      <c r="J3" s="11"/>
      <c r="K3" s="12" t="s">
        <v>173</v>
      </c>
      <c r="L3" s="160">
        <v>45292</v>
      </c>
      <c r="M3" s="160"/>
      <c r="N3" s="160"/>
      <c r="O3" s="160"/>
      <c r="P3" s="160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77" ht="5.0999999999999996" customHeight="1" thickBot="1">
      <c r="A4" s="19"/>
      <c r="B4" s="20"/>
      <c r="C4" s="21"/>
      <c r="D4" s="21"/>
      <c r="E4" s="21"/>
      <c r="F4" s="21"/>
      <c r="G4" s="21"/>
      <c r="H4" s="21"/>
      <c r="I4" s="21"/>
      <c r="J4" s="19"/>
      <c r="K4" s="20"/>
      <c r="L4" s="22"/>
      <c r="M4" s="22"/>
      <c r="N4" s="22"/>
      <c r="O4" s="22"/>
      <c r="P4" s="22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77" ht="30" thickTop="1">
      <c r="A5" s="23" t="s">
        <v>175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14"/>
      <c r="R5" s="24" t="s">
        <v>182</v>
      </c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77" ht="15" customHeight="1">
      <c r="A6" s="25" t="s">
        <v>174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14"/>
      <c r="R6" s="26" t="s">
        <v>177</v>
      </c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77" ht="15" customHeight="1" thickBo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14"/>
      <c r="R7" s="28" t="s">
        <v>178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77" ht="5.0999999999999996" customHeight="1" thickTop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K8" s="16" t="s">
        <v>140</v>
      </c>
      <c r="AP8" s="16" t="s">
        <v>141</v>
      </c>
    </row>
    <row r="9" spans="1:77" ht="16.5" customHeight="1">
      <c r="A9" s="29" t="s">
        <v>39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4"/>
      <c r="R9" s="28" t="s">
        <v>179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K9" s="30">
        <f>$AL$63</f>
        <v>10.951750007562696</v>
      </c>
      <c r="AL9" s="16">
        <f>ABS($AL$14)</f>
        <v>4.8316544151011884</v>
      </c>
      <c r="AM9" s="16">
        <f>ABS($AN$63)</f>
        <v>9.4</v>
      </c>
      <c r="AN9" s="16">
        <v>0</v>
      </c>
      <c r="AP9" s="16">
        <f>ABS($AL$14)</f>
        <v>4.8316544151011884</v>
      </c>
      <c r="AQ9" s="16">
        <f>AP9-AT14</f>
        <v>-10.138345584898811</v>
      </c>
      <c r="AR9" s="16">
        <f>AN9</f>
        <v>0</v>
      </c>
      <c r="AS9" s="30">
        <f>AL63</f>
        <v>10.951750007562696</v>
      </c>
      <c r="BO9" s="31" t="s">
        <v>26</v>
      </c>
      <c r="BP9" s="32" t="s">
        <v>83</v>
      </c>
      <c r="BQ9" s="33" t="s">
        <v>84</v>
      </c>
      <c r="BR9" s="32" t="s">
        <v>27</v>
      </c>
    </row>
    <row r="10" spans="1:77" ht="16.5" customHeight="1">
      <c r="A10" s="11"/>
      <c r="B10" s="11"/>
      <c r="C10" s="11"/>
      <c r="D10" s="34">
        <f>$B$23</f>
        <v>22</v>
      </c>
      <c r="E10" s="35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4"/>
      <c r="R10" s="28" t="s">
        <v>180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K10" s="15" t="s">
        <v>136</v>
      </c>
      <c r="AL10" s="15" t="s">
        <v>147</v>
      </c>
      <c r="AM10" s="15" t="s">
        <v>143</v>
      </c>
      <c r="AN10" s="15" t="s">
        <v>142</v>
      </c>
      <c r="AP10" s="15" t="s">
        <v>136</v>
      </c>
      <c r="AQ10" s="15" t="s">
        <v>143</v>
      </c>
      <c r="AR10" s="15" t="s">
        <v>144</v>
      </c>
      <c r="AS10" s="15" t="s">
        <v>142</v>
      </c>
      <c r="BO10" s="36"/>
      <c r="BP10" s="37" t="s">
        <v>28</v>
      </c>
      <c r="BQ10" s="38" t="s">
        <v>85</v>
      </c>
      <c r="BR10" s="37" t="s">
        <v>86</v>
      </c>
    </row>
    <row r="11" spans="1:77" ht="16.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4"/>
      <c r="R11" s="28" t="s">
        <v>181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M11" s="39" t="s">
        <v>139</v>
      </c>
      <c r="AN11" s="16">
        <v>5</v>
      </c>
      <c r="BN11" s="17">
        <v>0</v>
      </c>
      <c r="BO11" s="40">
        <f>N22</f>
        <v>3</v>
      </c>
      <c r="BP11" s="40">
        <f>$BO$11-BO11</f>
        <v>0</v>
      </c>
      <c r="BQ11" s="41">
        <f>$N$20*BP11</f>
        <v>0</v>
      </c>
      <c r="BR11" s="41">
        <f>$N$25+BQ11-2*$N$21</f>
        <v>-1.8620000000000001</v>
      </c>
      <c r="BS11" s="42">
        <f>BR11*$N$24*$N$24</f>
        <v>-7.4480000000000004</v>
      </c>
      <c r="BT11" s="43">
        <f t="shared" ref="BT11:BT21" si="0">IF(BS11&lt;0,$N$23*$N$24*$N$24,(0.5*BS11*($BQ$32-BP11)))</f>
        <v>4.5</v>
      </c>
      <c r="BU11" s="43">
        <f>$N$23*$N$24*$N$24</f>
        <v>4.5</v>
      </c>
      <c r="BV11" s="43">
        <f>IF(BS11&lt;0,0,(0.5*BS11*($BQ$32-BO11)))</f>
        <v>0</v>
      </c>
      <c r="BW11" s="43">
        <f>BU11-BV11</f>
        <v>4.5</v>
      </c>
      <c r="BY11" s="17">
        <f>ABS(BT11)</f>
        <v>4.5</v>
      </c>
    </row>
    <row r="12" spans="1:77" ht="16.5" customHeight="1">
      <c r="A12" s="11"/>
      <c r="B12" s="11"/>
      <c r="C12" s="11"/>
      <c r="D12" s="11"/>
      <c r="E12" s="11"/>
      <c r="F12" s="44">
        <f>$B$24</f>
        <v>6.5</v>
      </c>
      <c r="G12" s="44"/>
      <c r="H12" s="45"/>
      <c r="I12" s="11"/>
      <c r="J12" s="11"/>
      <c r="K12" s="11"/>
      <c r="L12" s="11"/>
      <c r="M12" s="11"/>
      <c r="N12" s="11"/>
      <c r="O12" s="11"/>
      <c r="P12" s="11"/>
      <c r="Q12" s="14"/>
      <c r="R12" s="28" t="s">
        <v>183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K12" s="16" t="s">
        <v>137</v>
      </c>
      <c r="AL12" s="16" t="s">
        <v>138</v>
      </c>
      <c r="AM12" s="46" t="s">
        <v>129</v>
      </c>
      <c r="AN12" s="46"/>
      <c r="AO12" s="46" t="s">
        <v>130</v>
      </c>
      <c r="AP12" s="46"/>
      <c r="AQ12" s="46" t="s">
        <v>119</v>
      </c>
      <c r="AR12" s="46"/>
      <c r="AS12" s="46" t="s">
        <v>120</v>
      </c>
      <c r="AT12" s="46"/>
      <c r="AU12" s="46" t="s">
        <v>131</v>
      </c>
      <c r="AV12" s="46"/>
      <c r="BA12" s="16" t="s">
        <v>145</v>
      </c>
      <c r="BN12" s="17">
        <v>0</v>
      </c>
      <c r="BO12" s="40">
        <f>BO11-($BO$11/10)</f>
        <v>2.7</v>
      </c>
      <c r="BP12" s="40">
        <f t="shared" ref="BP12:BP21" si="1">$BO$11-BO12</f>
        <v>0.29999999999999982</v>
      </c>
      <c r="BQ12" s="41">
        <f t="shared" ref="BQ12:BQ21" si="2">$N$20*BP12</f>
        <v>0.59729999999999972</v>
      </c>
      <c r="BR12" s="41">
        <f t="shared" ref="BR12:BR21" si="3">$N$25+BQ12-2*$N$21</f>
        <v>-1.2647000000000004</v>
      </c>
      <c r="BS12" s="42">
        <f t="shared" ref="BS12:BS21" si="4">BR12*$N$24*$N$24</f>
        <v>-5.0588000000000015</v>
      </c>
      <c r="BT12" s="43">
        <f t="shared" si="0"/>
        <v>4.5</v>
      </c>
      <c r="BU12" s="43">
        <f t="shared" ref="BU12:BU21" si="5">$N$23*$N$24*$N$24</f>
        <v>4.5</v>
      </c>
      <c r="BV12" s="43">
        <f t="shared" ref="BV12:BV21" si="6">IF(BS12&lt;0,0,(0.5*BS12*($BQ$32-BO12)))</f>
        <v>0</v>
      </c>
      <c r="BW12" s="43">
        <f t="shared" ref="BW12:BW21" si="7">BU12-BV12</f>
        <v>4.5</v>
      </c>
      <c r="BY12" s="17">
        <f t="shared" ref="BY12:BY21" si="8">ABS(BT12)</f>
        <v>4.5</v>
      </c>
    </row>
    <row r="13" spans="1:77" ht="16.5" customHeight="1">
      <c r="A13" s="11"/>
      <c r="B13" s="11"/>
      <c r="C13" s="11"/>
      <c r="D13" s="11"/>
      <c r="E13" s="11"/>
      <c r="F13" s="44"/>
      <c r="G13" s="44"/>
      <c r="H13" s="45"/>
      <c r="I13" s="11"/>
      <c r="J13" s="11"/>
      <c r="K13" s="11"/>
      <c r="L13" s="11"/>
      <c r="M13" s="11"/>
      <c r="N13" s="11"/>
      <c r="O13" s="11"/>
      <c r="P13" s="11"/>
      <c r="Q13" s="14"/>
      <c r="R13" s="28" t="s">
        <v>184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47" t="s">
        <v>128</v>
      </c>
      <c r="AJ13" s="48">
        <f>ABS(H32)</f>
        <v>35.777087639996637</v>
      </c>
      <c r="AK13" s="15" t="s">
        <v>135</v>
      </c>
      <c r="AL13" s="15" t="s">
        <v>107</v>
      </c>
      <c r="AM13" s="15" t="s">
        <v>136</v>
      </c>
      <c r="AN13" s="15" t="str">
        <f>"x"&amp;$AN$11</f>
        <v>x5</v>
      </c>
      <c r="AO13" s="15" t="s">
        <v>136</v>
      </c>
      <c r="AP13" s="15" t="str">
        <f>"x"&amp;$AN$11</f>
        <v>x5</v>
      </c>
      <c r="AQ13" s="15" t="s">
        <v>136</v>
      </c>
      <c r="AR13" s="15" t="str">
        <f>"x"&amp;$AN$11</f>
        <v>x5</v>
      </c>
      <c r="AS13" s="15" t="s">
        <v>136</v>
      </c>
      <c r="AT13" s="15" t="str">
        <f>"x"&amp;$AN$11</f>
        <v>x5</v>
      </c>
      <c r="AU13" s="15" t="s">
        <v>136</v>
      </c>
      <c r="AV13" s="15" t="str">
        <f>"x"&amp;$AN$11</f>
        <v>x5</v>
      </c>
      <c r="BA13" s="39" t="s">
        <v>146</v>
      </c>
      <c r="BB13" s="16" t="str">
        <f>AM12</f>
        <v>eq.5.5</v>
      </c>
      <c r="BI13" s="49"/>
      <c r="BJ13" s="49"/>
      <c r="BN13" s="17">
        <v>0</v>
      </c>
      <c r="BO13" s="40">
        <f>BO12-($BO$11/10)</f>
        <v>2.4000000000000004</v>
      </c>
      <c r="BP13" s="40">
        <f t="shared" si="1"/>
        <v>0.59999999999999964</v>
      </c>
      <c r="BQ13" s="41">
        <f t="shared" si="2"/>
        <v>1.1945999999999994</v>
      </c>
      <c r="BR13" s="41">
        <f t="shared" si="3"/>
        <v>-0.66740000000000066</v>
      </c>
      <c r="BS13" s="42">
        <f t="shared" si="4"/>
        <v>-2.6696000000000026</v>
      </c>
      <c r="BT13" s="43">
        <f t="shared" si="0"/>
        <v>4.5</v>
      </c>
      <c r="BU13" s="43">
        <f t="shared" si="5"/>
        <v>4.5</v>
      </c>
      <c r="BV13" s="43">
        <f t="shared" si="6"/>
        <v>0</v>
      </c>
      <c r="BW13" s="43">
        <f t="shared" si="7"/>
        <v>4.5</v>
      </c>
      <c r="BY13" s="17">
        <f t="shared" si="8"/>
        <v>4.5</v>
      </c>
    </row>
    <row r="14" spans="1:77" ht="16.5" customHeight="1">
      <c r="A14" s="34">
        <f>$B$22</f>
        <v>22</v>
      </c>
      <c r="B14" s="34"/>
      <c r="C14" s="11"/>
      <c r="D14" s="11"/>
      <c r="E14" s="11"/>
      <c r="F14" s="34">
        <f>$B$23</f>
        <v>22</v>
      </c>
      <c r="G14" s="34"/>
      <c r="H14" s="11"/>
      <c r="I14" s="11"/>
      <c r="J14" s="11"/>
      <c r="K14" s="11"/>
      <c r="L14" s="11"/>
      <c r="M14" s="11"/>
      <c r="N14" s="11"/>
      <c r="O14" s="11"/>
      <c r="P14" s="11"/>
      <c r="Q14" s="14"/>
      <c r="R14" s="28" t="s">
        <v>185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47" t="s">
        <v>127</v>
      </c>
      <c r="AJ14" s="48">
        <f>N35</f>
        <v>3459.8450987662459</v>
      </c>
      <c r="AK14" s="15"/>
      <c r="AL14" s="50">
        <f>1/$AJ$25</f>
        <v>-4.8316544151011884</v>
      </c>
      <c r="AM14" s="15">
        <f t="shared" ref="AM14:AM45" si="9">IF(AL14&lt;ABS($AL$14),0,($AJ$24*AL14-1)/(($AJ$22*$AJ$17)+($AJ$24*$AJ$26*100)))</f>
        <v>0</v>
      </c>
      <c r="AN14" s="16">
        <f>TRUNC(AM14*10^($AN$11),2)</f>
        <v>0</v>
      </c>
      <c r="AO14" s="16">
        <f>($AJ$24*AL14+1)/(($AJ$22*$AJ$16)+($AJ$24*$AJ$26*100))</f>
        <v>0</v>
      </c>
      <c r="AP14" s="16">
        <f>AO14*10^($AN$11)</f>
        <v>0</v>
      </c>
      <c r="AS14" s="16">
        <f>($AJ$23*($AJ$24*AL14-1))/((-$AJ$22*$AJ$15)+($AJ$24*$AJ$14*100))</f>
        <v>1.497263433759867E-4</v>
      </c>
      <c r="AT14" s="16">
        <f>TRUNC(AS14*10^($AN$11),2)</f>
        <v>14.97</v>
      </c>
      <c r="AU14" s="16">
        <f t="shared" ref="AU14:AU45" si="10">($AJ$23*($AJ$24*AL14+1))/((-$AJ$22*$AJ$13)+($AJ$24*$AJ$14*100))</f>
        <v>0</v>
      </c>
      <c r="AV14" s="16">
        <f>TRUNC(AU14*10^($AN$11),2)</f>
        <v>0</v>
      </c>
      <c r="BA14" s="15" t="s">
        <v>136</v>
      </c>
      <c r="BB14" s="15" t="s">
        <v>143</v>
      </c>
      <c r="BC14" s="15" t="s">
        <v>144</v>
      </c>
      <c r="BD14" s="15" t="s">
        <v>142</v>
      </c>
      <c r="BI14" s="49"/>
      <c r="BJ14" s="49"/>
      <c r="BN14" s="17">
        <v>0</v>
      </c>
      <c r="BO14" s="40">
        <f t="shared" ref="BO14:BO20" si="11">BO13-($BO$11/10)</f>
        <v>2.1000000000000005</v>
      </c>
      <c r="BP14" s="40">
        <f t="shared" si="1"/>
        <v>0.89999999999999947</v>
      </c>
      <c r="BQ14" s="41">
        <f t="shared" si="2"/>
        <v>1.7918999999999989</v>
      </c>
      <c r="BR14" s="41">
        <f t="shared" si="3"/>
        <v>-7.0100000000000939E-2</v>
      </c>
      <c r="BS14" s="42">
        <f t="shared" si="4"/>
        <v>-0.28040000000000376</v>
      </c>
      <c r="BT14" s="43">
        <f t="shared" si="0"/>
        <v>4.5</v>
      </c>
      <c r="BU14" s="43">
        <f t="shared" si="5"/>
        <v>4.5</v>
      </c>
      <c r="BV14" s="43">
        <f t="shared" si="6"/>
        <v>0</v>
      </c>
      <c r="BW14" s="43">
        <f t="shared" si="7"/>
        <v>4.5</v>
      </c>
      <c r="BY14" s="17">
        <f t="shared" si="8"/>
        <v>4.5</v>
      </c>
    </row>
    <row r="15" spans="1:77" ht="16.5" customHeight="1">
      <c r="A15" s="11"/>
      <c r="B15" s="11"/>
      <c r="C15" s="11"/>
      <c r="D15" s="11"/>
      <c r="E15" s="11"/>
      <c r="F15" s="44">
        <f>$B$24</f>
        <v>6.5</v>
      </c>
      <c r="G15" s="44"/>
      <c r="H15" s="45"/>
      <c r="I15" s="11"/>
      <c r="J15" s="11"/>
      <c r="K15" s="11"/>
      <c r="L15" s="11"/>
      <c r="M15" s="11"/>
      <c r="N15" s="11"/>
      <c r="O15" s="11"/>
      <c r="P15" s="11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47" t="s">
        <v>126</v>
      </c>
      <c r="AJ15" s="48">
        <f>C32</f>
        <v>225</v>
      </c>
      <c r="AK15" s="15"/>
      <c r="AL15" s="50">
        <f>AL14+(-$AL$14/15)</f>
        <v>-4.5095441207611096</v>
      </c>
      <c r="AM15" s="15">
        <f t="shared" si="9"/>
        <v>0</v>
      </c>
      <c r="AN15" s="16">
        <f t="shared" ref="AN15:AN63" si="12">TRUNC(AM15*10^($AN$11),2)</f>
        <v>0</v>
      </c>
      <c r="AO15" s="16">
        <f t="shared" ref="AO15:AO63" si="13">($AJ$24*AL15+1)/(($AJ$22*$AJ$16)+($AJ$24*$AJ$26*100))</f>
        <v>8.4675754102759752E-7</v>
      </c>
      <c r="AP15" s="16">
        <f t="shared" ref="AP15:AP63" si="14">AO15*10^($AN$11)</f>
        <v>8.4675754102759751E-2</v>
      </c>
      <c r="AS15" s="16">
        <f t="shared" ref="AS15:AS63" si="15">($AJ$23*($AJ$24*AL15-1))/((-$AJ$22*$AJ$15)+($AJ$24*$AJ$14*100))</f>
        <v>1.4473546526345382E-4</v>
      </c>
      <c r="AT15" s="16">
        <f t="shared" ref="AT15:AT63" si="16">TRUNC(AS15*10^($AN$11),2)</f>
        <v>14.47</v>
      </c>
      <c r="AU15" s="16">
        <f t="shared" si="10"/>
        <v>9.4194176755798119E-7</v>
      </c>
      <c r="AV15" s="16">
        <f t="shared" ref="AV15:AV63" si="17">TRUNC(AU15*10^($AN$11),2)</f>
        <v>0.09</v>
      </c>
      <c r="BA15" s="30">
        <f>AK9</f>
        <v>10.951750007562696</v>
      </c>
      <c r="BB15" s="30">
        <f>AL9</f>
        <v>4.8316544151011884</v>
      </c>
      <c r="BC15" s="30">
        <f>AM9</f>
        <v>9.4</v>
      </c>
      <c r="BD15" s="30">
        <f>AN9</f>
        <v>0</v>
      </c>
      <c r="BI15" s="49"/>
      <c r="BJ15" s="49"/>
      <c r="BN15" s="17">
        <v>0</v>
      </c>
      <c r="BO15" s="40">
        <f t="shared" si="11"/>
        <v>1.8000000000000005</v>
      </c>
      <c r="BP15" s="40">
        <f t="shared" si="1"/>
        <v>1.1999999999999995</v>
      </c>
      <c r="BQ15" s="41">
        <f t="shared" si="2"/>
        <v>2.3891999999999993</v>
      </c>
      <c r="BR15" s="41">
        <f t="shared" si="3"/>
        <v>0.52719999999999878</v>
      </c>
      <c r="BS15" s="42">
        <f t="shared" si="4"/>
        <v>2.1087999999999951</v>
      </c>
      <c r="BT15" s="43">
        <f t="shared" si="0"/>
        <v>0.91183622300351486</v>
      </c>
      <c r="BU15" s="43">
        <f t="shared" si="5"/>
        <v>4.5</v>
      </c>
      <c r="BV15" s="43">
        <f t="shared" si="6"/>
        <v>0.27919622300351532</v>
      </c>
      <c r="BW15" s="43">
        <f t="shared" si="7"/>
        <v>4.220803776996485</v>
      </c>
      <c r="BY15" s="17">
        <f t="shared" si="8"/>
        <v>0.91183622300351486</v>
      </c>
    </row>
    <row r="16" spans="1:77" ht="16.5" customHeight="1">
      <c r="A16" s="11"/>
      <c r="B16" s="11"/>
      <c r="C16" s="11"/>
      <c r="D16" s="11"/>
      <c r="E16" s="11"/>
      <c r="F16" s="44"/>
      <c r="G16" s="44"/>
      <c r="H16" s="45"/>
      <c r="I16" s="11"/>
      <c r="J16" s="11"/>
      <c r="K16" s="11"/>
      <c r="L16" s="11"/>
      <c r="M16" s="11"/>
      <c r="N16" s="11"/>
      <c r="O16" s="11"/>
      <c r="P16" s="11"/>
      <c r="Q16" s="14"/>
      <c r="R16" s="51" t="s">
        <v>195</v>
      </c>
      <c r="S16" s="52"/>
      <c r="T16" s="52"/>
      <c r="U16" s="52"/>
      <c r="V16" s="52"/>
      <c r="W16" s="52"/>
      <c r="X16" s="52"/>
      <c r="Y16" s="52"/>
      <c r="Z16" s="52"/>
      <c r="AA16" s="14"/>
      <c r="AB16" s="14"/>
      <c r="AC16" s="14"/>
      <c r="AD16" s="14"/>
      <c r="AE16" s="14"/>
      <c r="AF16" s="14"/>
      <c r="AG16" s="14"/>
      <c r="AH16" s="14"/>
      <c r="AI16" s="47" t="s">
        <v>125</v>
      </c>
      <c r="AJ16" s="48">
        <f>C31</f>
        <v>192</v>
      </c>
      <c r="AK16" s="15"/>
      <c r="AL16" s="50">
        <f t="shared" ref="AL16:AL63" si="18">AL15+(-$AL$14/15)</f>
        <v>-4.1874338264210307</v>
      </c>
      <c r="AM16" s="15">
        <f t="shared" si="9"/>
        <v>0</v>
      </c>
      <c r="AN16" s="16">
        <f t="shared" si="12"/>
        <v>0</v>
      </c>
      <c r="AO16" s="16">
        <f t="shared" si="13"/>
        <v>1.6935150820551965E-6</v>
      </c>
      <c r="AP16" s="16">
        <f t="shared" si="14"/>
        <v>0.16935150820551964</v>
      </c>
      <c r="AS16" s="16">
        <f t="shared" si="15"/>
        <v>1.3974458715092092E-4</v>
      </c>
      <c r="AT16" s="16">
        <f t="shared" si="16"/>
        <v>13.97</v>
      </c>
      <c r="AU16" s="16">
        <f t="shared" si="10"/>
        <v>1.8838835351159641E-6</v>
      </c>
      <c r="AV16" s="16">
        <f t="shared" si="17"/>
        <v>0.18</v>
      </c>
      <c r="BI16" s="49"/>
      <c r="BJ16" s="49"/>
      <c r="BN16" s="17">
        <v>0</v>
      </c>
      <c r="BO16" s="40">
        <f t="shared" si="11"/>
        <v>1.5000000000000004</v>
      </c>
      <c r="BP16" s="40">
        <f t="shared" si="1"/>
        <v>1.4999999999999996</v>
      </c>
      <c r="BQ16" s="41">
        <f t="shared" si="2"/>
        <v>2.9864999999999995</v>
      </c>
      <c r="BR16" s="41">
        <f t="shared" si="3"/>
        <v>1.1244999999999994</v>
      </c>
      <c r="BS16" s="42">
        <f t="shared" si="4"/>
        <v>4.4979999999999976</v>
      </c>
      <c r="BT16" s="43">
        <f t="shared" si="0"/>
        <v>1.2702162230035174</v>
      </c>
      <c r="BU16" s="43">
        <f t="shared" si="5"/>
        <v>4.5</v>
      </c>
      <c r="BV16" s="43">
        <f t="shared" si="6"/>
        <v>1.2702162230035154</v>
      </c>
      <c r="BW16" s="43">
        <f t="shared" si="7"/>
        <v>3.2297837769964843</v>
      </c>
      <c r="BY16" s="17">
        <f t="shared" si="8"/>
        <v>1.2702162230035174</v>
      </c>
    </row>
    <row r="17" spans="1:77" ht="16.5" customHeight="1">
      <c r="A17" s="11"/>
      <c r="B17" s="53">
        <f>$G$24</f>
        <v>1.5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4"/>
      <c r="R17" s="51" t="s">
        <v>186</v>
      </c>
      <c r="S17" s="52"/>
      <c r="T17" s="52"/>
      <c r="U17" s="52"/>
      <c r="V17" s="52"/>
      <c r="W17" s="52"/>
      <c r="X17" s="52"/>
      <c r="Y17" s="52"/>
      <c r="Z17" s="52"/>
      <c r="AA17" s="14"/>
      <c r="AB17" s="14"/>
      <c r="AC17" s="14"/>
      <c r="AD17" s="14"/>
      <c r="AE17" s="14"/>
      <c r="AF17" s="14"/>
      <c r="AG17" s="14"/>
      <c r="AH17" s="14"/>
      <c r="AI17" s="47" t="s">
        <v>124</v>
      </c>
      <c r="AJ17" s="48">
        <f>ABS(H31)</f>
        <v>14.310835055998655</v>
      </c>
      <c r="AK17" s="15"/>
      <c r="AL17" s="50">
        <f t="shared" si="18"/>
        <v>-3.8653235320809514</v>
      </c>
      <c r="AM17" s="15">
        <f t="shared" si="9"/>
        <v>0</v>
      </c>
      <c r="AN17" s="16">
        <f t="shared" si="12"/>
        <v>0</v>
      </c>
      <c r="AO17" s="16">
        <f t="shared" si="13"/>
        <v>2.5402726230827953E-6</v>
      </c>
      <c r="AP17" s="16">
        <f t="shared" si="14"/>
        <v>0.25402726230827954</v>
      </c>
      <c r="AS17" s="16">
        <f t="shared" si="15"/>
        <v>1.3475370903838805E-4</v>
      </c>
      <c r="AT17" s="16">
        <f t="shared" si="16"/>
        <v>13.47</v>
      </c>
      <c r="AU17" s="16">
        <f t="shared" si="10"/>
        <v>2.8258253026739471E-6</v>
      </c>
      <c r="AV17" s="16">
        <f t="shared" si="17"/>
        <v>0.28000000000000003</v>
      </c>
      <c r="AZ17" s="54"/>
      <c r="BA17" s="55"/>
      <c r="BB17" s="55"/>
      <c r="BC17" s="55"/>
      <c r="BD17" s="55"/>
      <c r="BE17" s="55"/>
      <c r="BF17" s="55"/>
      <c r="BG17" s="55"/>
      <c r="BH17" s="55"/>
      <c r="BI17" s="56"/>
      <c r="BJ17" s="57"/>
      <c r="BN17" s="17">
        <v>0</v>
      </c>
      <c r="BO17" s="40">
        <f t="shared" si="11"/>
        <v>1.2000000000000004</v>
      </c>
      <c r="BP17" s="40">
        <f t="shared" si="1"/>
        <v>1.7999999999999996</v>
      </c>
      <c r="BQ17" s="41">
        <f t="shared" si="2"/>
        <v>3.5837999999999992</v>
      </c>
      <c r="BR17" s="41">
        <f t="shared" si="3"/>
        <v>1.7217999999999991</v>
      </c>
      <c r="BS17" s="42">
        <f t="shared" si="4"/>
        <v>6.8871999999999964</v>
      </c>
      <c r="BT17" s="43">
        <f t="shared" si="0"/>
        <v>0.91183622300351885</v>
      </c>
      <c r="BU17" s="43">
        <f t="shared" si="5"/>
        <v>4.5</v>
      </c>
      <c r="BV17" s="43">
        <f t="shared" si="6"/>
        <v>2.9779962230035153</v>
      </c>
      <c r="BW17" s="43">
        <f t="shared" si="7"/>
        <v>1.5220037769964847</v>
      </c>
      <c r="BY17" s="17">
        <f t="shared" si="8"/>
        <v>0.91183622300351885</v>
      </c>
    </row>
    <row r="18" spans="1:77" ht="16.5" customHeight="1">
      <c r="A18" s="11"/>
      <c r="B18" s="11"/>
      <c r="C18" s="11"/>
      <c r="D18" s="58">
        <f>$G$23</f>
        <v>8</v>
      </c>
      <c r="E18" s="59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4"/>
      <c r="R18" s="51" t="s">
        <v>187</v>
      </c>
      <c r="S18" s="52"/>
      <c r="T18" s="52"/>
      <c r="U18" s="52"/>
      <c r="V18" s="52"/>
      <c r="W18" s="52"/>
      <c r="X18" s="52"/>
      <c r="Y18" s="52"/>
      <c r="Z18" s="52"/>
      <c r="AA18" s="14"/>
      <c r="AB18" s="14"/>
      <c r="AC18" s="14"/>
      <c r="AD18" s="14"/>
      <c r="AE18" s="14"/>
      <c r="AF18" s="14"/>
      <c r="AG18" s="14"/>
      <c r="AH18" s="14"/>
      <c r="AI18" s="47" t="s">
        <v>118</v>
      </c>
      <c r="AJ18" s="48">
        <f>N35*100</f>
        <v>345984.50987662456</v>
      </c>
      <c r="AK18" s="15"/>
      <c r="AL18" s="50">
        <f t="shared" si="18"/>
        <v>-3.543213237740872</v>
      </c>
      <c r="AM18" s="15">
        <f t="shared" si="9"/>
        <v>0</v>
      </c>
      <c r="AN18" s="16">
        <f t="shared" si="12"/>
        <v>0</v>
      </c>
      <c r="AO18" s="16">
        <f t="shared" si="13"/>
        <v>3.3870301641103943E-6</v>
      </c>
      <c r="AP18" s="16">
        <f t="shared" si="14"/>
        <v>0.33870301641103945</v>
      </c>
      <c r="AS18" s="16">
        <f t="shared" si="15"/>
        <v>1.2976283092585515E-4</v>
      </c>
      <c r="AT18" s="16">
        <f t="shared" si="16"/>
        <v>12.97</v>
      </c>
      <c r="AU18" s="16">
        <f t="shared" si="10"/>
        <v>3.7677670702319294E-6</v>
      </c>
      <c r="AV18" s="16">
        <f t="shared" si="17"/>
        <v>0.37</v>
      </c>
      <c r="AZ18" s="60"/>
      <c r="BA18" s="39" t="s">
        <v>146</v>
      </c>
      <c r="BB18" s="16" t="str">
        <f>AO12</f>
        <v>eq.5.6</v>
      </c>
      <c r="BE18" s="16" t="s">
        <v>149</v>
      </c>
      <c r="BI18" s="49"/>
      <c r="BJ18" s="61"/>
      <c r="BN18" s="17">
        <v>0</v>
      </c>
      <c r="BO18" s="40">
        <f t="shared" si="11"/>
        <v>0.90000000000000036</v>
      </c>
      <c r="BP18" s="40">
        <f t="shared" si="1"/>
        <v>2.0999999999999996</v>
      </c>
      <c r="BQ18" s="41">
        <f t="shared" si="2"/>
        <v>4.1810999999999998</v>
      </c>
      <c r="BR18" s="41">
        <f t="shared" si="3"/>
        <v>2.3190999999999997</v>
      </c>
      <c r="BS18" s="42">
        <f t="shared" si="4"/>
        <v>9.2763999999999989</v>
      </c>
      <c r="BT18" s="43">
        <f t="shared" si="0"/>
        <v>-0.16330377699647958</v>
      </c>
      <c r="BU18" s="43">
        <f t="shared" si="5"/>
        <v>4.5</v>
      </c>
      <c r="BV18" s="43">
        <f t="shared" si="6"/>
        <v>5.4025362230035165</v>
      </c>
      <c r="BW18" s="43">
        <f t="shared" si="7"/>
        <v>-0.90253622300351655</v>
      </c>
      <c r="BY18" s="17">
        <f t="shared" si="8"/>
        <v>0.16330377699647958</v>
      </c>
    </row>
    <row r="19" spans="1:77" ht="16.5" customHeight="1">
      <c r="A19" s="62" t="s">
        <v>25</v>
      </c>
      <c r="B19" s="63"/>
      <c r="C19" s="63"/>
      <c r="D19" s="63"/>
      <c r="E19" s="63"/>
      <c r="F19" s="63"/>
      <c r="G19" s="63"/>
      <c r="H19" s="63"/>
      <c r="I19" s="63"/>
      <c r="J19" s="64" t="s">
        <v>29</v>
      </c>
      <c r="K19" s="65"/>
      <c r="L19" s="64"/>
      <c r="M19" s="65"/>
      <c r="N19" s="65"/>
      <c r="O19" s="65"/>
      <c r="P19" s="66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47" t="str">
        <f>A25</f>
        <v>Zt =</v>
      </c>
      <c r="AJ19" s="48">
        <f>B25</f>
        <v>1774.6666666666665</v>
      </c>
      <c r="AL19" s="50">
        <f t="shared" si="18"/>
        <v>-3.2211029434007927</v>
      </c>
      <c r="AM19" s="15">
        <f t="shared" si="9"/>
        <v>0</v>
      </c>
      <c r="AN19" s="16">
        <f t="shared" si="12"/>
        <v>0</v>
      </c>
      <c r="AO19" s="16">
        <f t="shared" si="13"/>
        <v>4.233787705137995E-6</v>
      </c>
      <c r="AP19" s="16">
        <f t="shared" si="14"/>
        <v>0.42337877051379952</v>
      </c>
      <c r="AS19" s="16">
        <f t="shared" si="15"/>
        <v>1.2477195281332228E-4</v>
      </c>
      <c r="AT19" s="16">
        <f t="shared" si="16"/>
        <v>12.47</v>
      </c>
      <c r="AU19" s="16">
        <f t="shared" si="10"/>
        <v>4.7097088377899139E-6</v>
      </c>
      <c r="AV19" s="16">
        <f t="shared" si="17"/>
        <v>0.47</v>
      </c>
      <c r="AZ19" s="60"/>
      <c r="BJ19" s="67"/>
      <c r="BN19" s="17">
        <v>0</v>
      </c>
      <c r="BO19" s="40">
        <f>BO18-($BO$11/10)</f>
        <v>0.60000000000000031</v>
      </c>
      <c r="BP19" s="40">
        <f t="shared" si="1"/>
        <v>2.3999999999999995</v>
      </c>
      <c r="BQ19" s="41">
        <f t="shared" si="2"/>
        <v>4.7783999999999995</v>
      </c>
      <c r="BR19" s="41">
        <f t="shared" si="3"/>
        <v>2.9163999999999994</v>
      </c>
      <c r="BS19" s="42">
        <f t="shared" si="4"/>
        <v>11.665599999999998</v>
      </c>
      <c r="BT19" s="43">
        <f t="shared" si="0"/>
        <v>-1.955203776996477</v>
      </c>
      <c r="BU19" s="43">
        <f t="shared" si="5"/>
        <v>4.5</v>
      </c>
      <c r="BV19" s="43">
        <f t="shared" si="6"/>
        <v>8.5438362230035167</v>
      </c>
      <c r="BW19" s="43">
        <f t="shared" si="7"/>
        <v>-4.0438362230035167</v>
      </c>
      <c r="BY19" s="17">
        <f t="shared" si="8"/>
        <v>1.955203776996477</v>
      </c>
    </row>
    <row r="20" spans="1:77" ht="16.5" customHeight="1">
      <c r="A20" s="161">
        <v>2</v>
      </c>
      <c r="B20" s="161"/>
      <c r="C20" s="161"/>
      <c r="D20" s="161"/>
      <c r="E20" s="162"/>
      <c r="F20" s="69" t="s">
        <v>40</v>
      </c>
      <c r="G20" s="70" cm="1">
        <f t="array" ref="G20">INDEX(Database!J6:J11,'I-Pile'!$A$20)</f>
        <v>367.3</v>
      </c>
      <c r="H20" s="71"/>
      <c r="I20" s="72" t="s">
        <v>87</v>
      </c>
      <c r="J20" s="73"/>
      <c r="K20" s="74"/>
      <c r="L20" s="74"/>
      <c r="M20" s="74" t="s">
        <v>88</v>
      </c>
      <c r="N20" s="152">
        <v>1.9910000000000001</v>
      </c>
      <c r="O20" s="153"/>
      <c r="P20" s="66" t="s">
        <v>89</v>
      </c>
      <c r="Q20" s="14"/>
      <c r="R20" s="14"/>
      <c r="S20" s="14"/>
      <c r="T20" s="14"/>
      <c r="U20" s="75" t="s">
        <v>188</v>
      </c>
      <c r="V20" s="75"/>
      <c r="W20" s="75"/>
      <c r="X20" s="75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47" t="s">
        <v>117</v>
      </c>
      <c r="AJ20" s="48">
        <f>AJ18/AJ19</f>
        <v>194.95746236473963</v>
      </c>
      <c r="AL20" s="50">
        <f t="shared" si="18"/>
        <v>-2.8989926490607134</v>
      </c>
      <c r="AM20" s="15">
        <f t="shared" si="9"/>
        <v>0</v>
      </c>
      <c r="AN20" s="16">
        <f t="shared" si="12"/>
        <v>0</v>
      </c>
      <c r="AO20" s="16">
        <f t="shared" si="13"/>
        <v>5.0805452461655932E-6</v>
      </c>
      <c r="AP20" s="16">
        <f t="shared" si="14"/>
        <v>0.50805452461655931</v>
      </c>
      <c r="AS20" s="16">
        <f t="shared" si="15"/>
        <v>1.1978107470078937E-4</v>
      </c>
      <c r="AT20" s="16">
        <f t="shared" si="16"/>
        <v>11.97</v>
      </c>
      <c r="AU20" s="16">
        <f t="shared" si="10"/>
        <v>5.6516506053478967E-6</v>
      </c>
      <c r="AV20" s="16">
        <f t="shared" si="17"/>
        <v>0.56000000000000005</v>
      </c>
      <c r="AZ20" s="60"/>
      <c r="BA20" s="15" t="s">
        <v>136</v>
      </c>
      <c r="BB20" s="15" t="s">
        <v>147</v>
      </c>
      <c r="BC20" s="15" t="s">
        <v>143</v>
      </c>
      <c r="BD20" s="15" t="s">
        <v>142</v>
      </c>
      <c r="BE20" s="39" t="s">
        <v>151</v>
      </c>
      <c r="BF20" s="76">
        <f>BC21-(BF21*BA21)</f>
        <v>2.2322232045318051</v>
      </c>
      <c r="BJ20" s="67"/>
      <c r="BN20" s="17">
        <v>0</v>
      </c>
      <c r="BO20" s="40">
        <f t="shared" si="11"/>
        <v>0.30000000000000032</v>
      </c>
      <c r="BP20" s="40">
        <f t="shared" si="1"/>
        <v>2.6999999999999997</v>
      </c>
      <c r="BQ20" s="41">
        <f t="shared" si="2"/>
        <v>5.3757000000000001</v>
      </c>
      <c r="BR20" s="41">
        <f t="shared" si="3"/>
        <v>3.5137</v>
      </c>
      <c r="BS20" s="42">
        <f t="shared" si="4"/>
        <v>14.0548</v>
      </c>
      <c r="BT20" s="43">
        <f t="shared" si="0"/>
        <v>-4.4638637769964777</v>
      </c>
      <c r="BU20" s="43">
        <f t="shared" si="5"/>
        <v>4.5</v>
      </c>
      <c r="BV20" s="43">
        <f t="shared" si="6"/>
        <v>12.401896223003519</v>
      </c>
      <c r="BW20" s="43">
        <f t="shared" si="7"/>
        <v>-7.9018962230035186</v>
      </c>
      <c r="BY20" s="17">
        <f t="shared" si="8"/>
        <v>4.4638637769964777</v>
      </c>
    </row>
    <row r="21" spans="1:77" ht="16.5" customHeight="1">
      <c r="A21" s="68" t="s">
        <v>116</v>
      </c>
      <c r="B21" s="77" cm="1">
        <f t="array" ref="B21">INDEX(Database!L6:L11,'I-Pile'!$A$20)</f>
        <v>19521.333333333332</v>
      </c>
      <c r="C21" s="78"/>
      <c r="D21" s="79" t="s">
        <v>111</v>
      </c>
      <c r="E21" s="80"/>
      <c r="F21" s="81"/>
      <c r="G21" s="70" cm="1">
        <f t="array" ref="G21">INDEX(Database!N6:N11,'I-Pile'!$A$20)</f>
        <v>88.152000000000001</v>
      </c>
      <c r="H21" s="71"/>
      <c r="I21" s="72" t="s">
        <v>41</v>
      </c>
      <c r="J21" s="73"/>
      <c r="K21" s="74"/>
      <c r="L21" s="74"/>
      <c r="M21" s="74" t="s">
        <v>90</v>
      </c>
      <c r="N21" s="152">
        <v>2.181</v>
      </c>
      <c r="O21" s="153"/>
      <c r="P21" s="66" t="s">
        <v>91</v>
      </c>
      <c r="Q21" s="14"/>
      <c r="R21" s="14"/>
      <c r="S21" s="14"/>
      <c r="T21" s="14"/>
      <c r="U21" s="75" t="s">
        <v>189</v>
      </c>
      <c r="V21" s="75"/>
      <c r="W21" s="75"/>
      <c r="X21" s="75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47" t="s">
        <v>123</v>
      </c>
      <c r="AJ21" s="48">
        <f>B25</f>
        <v>1774.6666666666665</v>
      </c>
      <c r="AL21" s="50">
        <f t="shared" si="18"/>
        <v>-2.5768823547206341</v>
      </c>
      <c r="AM21" s="15">
        <f t="shared" si="9"/>
        <v>0</v>
      </c>
      <c r="AN21" s="16">
        <f t="shared" si="12"/>
        <v>0</v>
      </c>
      <c r="AO21" s="16">
        <f t="shared" si="13"/>
        <v>5.9273027871931922E-6</v>
      </c>
      <c r="AP21" s="16">
        <f t="shared" si="14"/>
        <v>0.59273027871931927</v>
      </c>
      <c r="AS21" s="16">
        <f t="shared" si="15"/>
        <v>1.1479019658825649E-4</v>
      </c>
      <c r="AT21" s="16">
        <f t="shared" si="16"/>
        <v>11.47</v>
      </c>
      <c r="AU21" s="16">
        <f t="shared" si="10"/>
        <v>6.5935923729058794E-6</v>
      </c>
      <c r="AV21" s="16">
        <f t="shared" si="17"/>
        <v>0.65</v>
      </c>
      <c r="AZ21" s="60"/>
      <c r="BA21" s="30">
        <f>$AL$14</f>
        <v>-4.8316544151011884</v>
      </c>
      <c r="BB21" s="30">
        <f>BD21</f>
        <v>4.1491119510352359</v>
      </c>
      <c r="BC21" s="30">
        <v>0</v>
      </c>
      <c r="BD21" s="30">
        <f>AP63</f>
        <v>4.1491119510352359</v>
      </c>
      <c r="BE21" s="39" t="s">
        <v>148</v>
      </c>
      <c r="BF21" s="16">
        <f>(BD21-BC21)/(BB21-BA21)</f>
        <v>0.46199976504011947</v>
      </c>
      <c r="BJ21" s="67"/>
      <c r="BN21" s="17">
        <v>0</v>
      </c>
      <c r="BO21" s="40">
        <f>BO20-($BO$11/10)</f>
        <v>0</v>
      </c>
      <c r="BP21" s="40">
        <f t="shared" si="1"/>
        <v>3</v>
      </c>
      <c r="BQ21" s="41">
        <f t="shared" si="2"/>
        <v>5.9730000000000008</v>
      </c>
      <c r="BR21" s="41">
        <f t="shared" si="3"/>
        <v>4.1110000000000007</v>
      </c>
      <c r="BS21" s="42">
        <f t="shared" si="4"/>
        <v>16.444000000000003</v>
      </c>
      <c r="BT21" s="43">
        <f t="shared" si="0"/>
        <v>-7.6892837769964801</v>
      </c>
      <c r="BU21" s="43">
        <f t="shared" si="5"/>
        <v>4.5</v>
      </c>
      <c r="BV21" s="43">
        <f t="shared" si="6"/>
        <v>16.976716223003525</v>
      </c>
      <c r="BW21" s="43">
        <f t="shared" si="7"/>
        <v>-12.476716223003525</v>
      </c>
      <c r="BY21" s="17">
        <f t="shared" si="8"/>
        <v>7.6892837769964801</v>
      </c>
    </row>
    <row r="22" spans="1:77" ht="16.5" customHeight="1">
      <c r="A22" s="68" t="s">
        <v>42</v>
      </c>
      <c r="B22" s="77" cm="1">
        <f t="array" ref="B22">INDEX(Database!E6:E11,'I-Pile'!$A$20)</f>
        <v>22</v>
      </c>
      <c r="C22" s="78"/>
      <c r="D22" s="79" t="s">
        <v>112</v>
      </c>
      <c r="E22" s="80"/>
      <c r="F22" s="81"/>
      <c r="G22" s="77" cm="1">
        <f t="array" ref="G22">INDEX(Database!K6:K11,'I-Pile'!$A$20)</f>
        <v>109</v>
      </c>
      <c r="H22" s="78"/>
      <c r="I22" s="63" t="s">
        <v>13</v>
      </c>
      <c r="J22" s="73"/>
      <c r="K22" s="74"/>
      <c r="L22" s="74"/>
      <c r="M22" s="74" t="s">
        <v>30</v>
      </c>
      <c r="N22" s="152">
        <v>3</v>
      </c>
      <c r="O22" s="153"/>
      <c r="P22" s="66" t="s">
        <v>32</v>
      </c>
      <c r="Q22" s="14"/>
      <c r="R22" s="14"/>
      <c r="S22" s="14"/>
      <c r="T22" s="14"/>
      <c r="U22" s="75" t="s">
        <v>190</v>
      </c>
      <c r="V22" s="75"/>
      <c r="W22" s="75"/>
      <c r="X22" s="75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47" t="s">
        <v>132</v>
      </c>
      <c r="AJ22" s="82">
        <f>G20</f>
        <v>367.3</v>
      </c>
      <c r="AL22" s="50">
        <f t="shared" si="18"/>
        <v>-2.2547720603805548</v>
      </c>
      <c r="AM22" s="15">
        <f t="shared" si="9"/>
        <v>0</v>
      </c>
      <c r="AN22" s="16">
        <f t="shared" si="12"/>
        <v>0</v>
      </c>
      <c r="AO22" s="16">
        <f t="shared" si="13"/>
        <v>6.7740603282207912E-6</v>
      </c>
      <c r="AP22" s="16">
        <f t="shared" si="14"/>
        <v>0.67740603282207912</v>
      </c>
      <c r="AS22" s="16">
        <f t="shared" si="15"/>
        <v>1.097993184757236E-4</v>
      </c>
      <c r="AT22" s="16">
        <f t="shared" si="16"/>
        <v>10.97</v>
      </c>
      <c r="AU22" s="16">
        <f t="shared" si="10"/>
        <v>7.5355341404638622E-6</v>
      </c>
      <c r="AV22" s="16">
        <f t="shared" si="17"/>
        <v>0.75</v>
      </c>
      <c r="AZ22" s="60"/>
      <c r="BE22" s="39" t="s">
        <v>150</v>
      </c>
      <c r="BF22" s="16" t="str">
        <f>"Y ="&amp;TRUNC(BF21,4)&amp;"x + "&amp;TRUNC(BF20,4)</f>
        <v>Y =0.4619x + 2.2322</v>
      </c>
      <c r="BJ22" s="67"/>
      <c r="BS22" s="83"/>
    </row>
    <row r="23" spans="1:77" ht="16.5" customHeight="1">
      <c r="A23" s="68" t="s">
        <v>43</v>
      </c>
      <c r="B23" s="77" cm="1">
        <f t="array" ref="B23">INDEX(Database!D6:D11,'I-Pile'!$A$20)</f>
        <v>22</v>
      </c>
      <c r="C23" s="78"/>
      <c r="D23" s="84" t="s">
        <v>113</v>
      </c>
      <c r="E23" s="63"/>
      <c r="F23" s="68" t="s">
        <v>45</v>
      </c>
      <c r="G23" s="77" cm="1">
        <f t="array" ref="G23">INDEX(Database!I6:I11,'I-Pile'!$A$20)</f>
        <v>8</v>
      </c>
      <c r="H23" s="78"/>
      <c r="I23" s="63" t="s">
        <v>13</v>
      </c>
      <c r="J23" s="65"/>
      <c r="K23" s="74"/>
      <c r="L23" s="74"/>
      <c r="M23" s="74" t="s">
        <v>31</v>
      </c>
      <c r="N23" s="152">
        <v>1.125</v>
      </c>
      <c r="O23" s="153"/>
      <c r="P23" s="66" t="s">
        <v>33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47" t="s">
        <v>133</v>
      </c>
      <c r="AJ23" s="82">
        <f t="shared" ref="AJ23" si="19">0.76/0.92</f>
        <v>0.82608695652173914</v>
      </c>
      <c r="AL23" s="50">
        <f t="shared" si="18"/>
        <v>-1.9326617660404755</v>
      </c>
      <c r="AM23" s="15">
        <f t="shared" si="9"/>
        <v>0</v>
      </c>
      <c r="AN23" s="16">
        <f t="shared" si="12"/>
        <v>0</v>
      </c>
      <c r="AO23" s="16">
        <f t="shared" si="13"/>
        <v>7.6208178692483919E-6</v>
      </c>
      <c r="AP23" s="16">
        <f t="shared" si="14"/>
        <v>0.76208178692483919</v>
      </c>
      <c r="AS23" s="16">
        <f t="shared" si="15"/>
        <v>1.0480844036319069E-4</v>
      </c>
      <c r="AT23" s="16">
        <f t="shared" si="16"/>
        <v>10.48</v>
      </c>
      <c r="AU23" s="16">
        <f t="shared" si="10"/>
        <v>8.4774759080218467E-6</v>
      </c>
      <c r="AV23" s="16">
        <f t="shared" si="17"/>
        <v>0.84</v>
      </c>
      <c r="AZ23" s="60"/>
      <c r="BF23" s="15" t="s">
        <v>136</v>
      </c>
      <c r="BG23" s="15" t="s">
        <v>147</v>
      </c>
      <c r="BH23" s="15" t="s">
        <v>143</v>
      </c>
      <c r="BI23" s="15" t="s">
        <v>142</v>
      </c>
      <c r="BJ23" s="67"/>
      <c r="BP23" s="85" t="s">
        <v>31</v>
      </c>
      <c r="BQ23" s="86">
        <f>N23*$N$24*$N$24</f>
        <v>4.5</v>
      </c>
      <c r="BR23" s="86">
        <f>BQ23-N23*$N$24*$N$24</f>
        <v>0</v>
      </c>
      <c r="BS23" s="83"/>
    </row>
    <row r="24" spans="1:77" ht="16.5" customHeight="1">
      <c r="A24" s="68" t="s">
        <v>44</v>
      </c>
      <c r="B24" s="77" cm="1">
        <f t="array" ref="B24">INDEX(Database!G6:G11,'I-Pile'!$A$20)</f>
        <v>6.5</v>
      </c>
      <c r="C24" s="78"/>
      <c r="D24" s="84" t="s">
        <v>113</v>
      </c>
      <c r="E24" s="63"/>
      <c r="F24" s="68" t="s">
        <v>46</v>
      </c>
      <c r="G24" s="77" cm="1">
        <f t="array" ref="G24">INDEX(Database!F6:F11,'I-Pile'!$A$20)</f>
        <v>1.5</v>
      </c>
      <c r="H24" s="78"/>
      <c r="I24" s="63" t="s">
        <v>13</v>
      </c>
      <c r="J24" s="65"/>
      <c r="K24" s="74"/>
      <c r="L24" s="74"/>
      <c r="M24" s="74" t="s">
        <v>34</v>
      </c>
      <c r="N24" s="152">
        <v>2</v>
      </c>
      <c r="O24" s="153"/>
      <c r="P24" s="66" t="s">
        <v>32</v>
      </c>
      <c r="Q24" s="14"/>
      <c r="R24" s="87" t="s">
        <v>191</v>
      </c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88" t="s">
        <v>121</v>
      </c>
      <c r="AJ24" s="82">
        <f>AJ22/$AJ$21</f>
        <v>0.20696844477836215</v>
      </c>
      <c r="AL24" s="50">
        <f t="shared" si="18"/>
        <v>-1.6105514717003961</v>
      </c>
      <c r="AM24" s="15">
        <f t="shared" si="9"/>
        <v>0</v>
      </c>
      <c r="AN24" s="16">
        <f t="shared" si="12"/>
        <v>0</v>
      </c>
      <c r="AO24" s="16">
        <f t="shared" si="13"/>
        <v>8.4675754102759917E-6</v>
      </c>
      <c r="AP24" s="16">
        <f t="shared" si="14"/>
        <v>0.84675754102759915</v>
      </c>
      <c r="AS24" s="16">
        <f t="shared" si="15"/>
        <v>9.9817562250657799E-5</v>
      </c>
      <c r="AT24" s="16">
        <f t="shared" si="16"/>
        <v>9.98</v>
      </c>
      <c r="AU24" s="16">
        <f t="shared" si="10"/>
        <v>9.4194176755798328E-6</v>
      </c>
      <c r="AV24" s="16">
        <f t="shared" si="17"/>
        <v>0.94</v>
      </c>
      <c r="AZ24" s="60"/>
      <c r="BF24" s="16">
        <f>BB43</f>
        <v>8.9887889878617084</v>
      </c>
      <c r="BG24" s="16">
        <v>0</v>
      </c>
      <c r="BH24" s="16">
        <f>BF21*BF24+BF20</f>
        <v>6.3850416049191274</v>
      </c>
      <c r="BI24" s="16">
        <v>0</v>
      </c>
      <c r="BJ24" s="67"/>
      <c r="BQ24" s="86">
        <f>N22</f>
        <v>3</v>
      </c>
      <c r="BR24" s="86">
        <f>N22</f>
        <v>3</v>
      </c>
      <c r="BS24" s="83"/>
    </row>
    <row r="25" spans="1:77" ht="16.5" customHeight="1">
      <c r="A25" s="89" t="s">
        <v>109</v>
      </c>
      <c r="B25" s="77">
        <f>B21/(B22/2)</f>
        <v>1774.6666666666665</v>
      </c>
      <c r="C25" s="78"/>
      <c r="D25" s="90" t="s">
        <v>114</v>
      </c>
      <c r="E25" s="91"/>
      <c r="F25" s="89" t="s">
        <v>110</v>
      </c>
      <c r="G25" s="77">
        <f>B21/(B23/2)</f>
        <v>1774.6666666666665</v>
      </c>
      <c r="H25" s="78"/>
      <c r="I25" s="91" t="s">
        <v>32</v>
      </c>
      <c r="J25" s="92"/>
      <c r="K25" s="93"/>
      <c r="L25" s="93"/>
      <c r="M25" s="93" t="s">
        <v>35</v>
      </c>
      <c r="N25" s="154">
        <v>2.5</v>
      </c>
      <c r="O25" s="155"/>
      <c r="P25" s="94" t="s">
        <v>33</v>
      </c>
      <c r="Q25" s="14"/>
      <c r="R25" s="95" t="s">
        <v>192</v>
      </c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96" t="s">
        <v>122</v>
      </c>
      <c r="AJ25" s="82">
        <f>-AJ24</f>
        <v>-0.20696844477836215</v>
      </c>
      <c r="AL25" s="50">
        <f t="shared" si="18"/>
        <v>-1.2884411773603168</v>
      </c>
      <c r="AM25" s="15">
        <f t="shared" si="9"/>
        <v>0</v>
      </c>
      <c r="AN25" s="16">
        <f t="shared" si="12"/>
        <v>0</v>
      </c>
      <c r="AO25" s="16">
        <f t="shared" si="13"/>
        <v>9.3143329513035915E-6</v>
      </c>
      <c r="AP25" s="16">
        <f t="shared" si="14"/>
        <v>0.93143329513035911</v>
      </c>
      <c r="AS25" s="16">
        <f t="shared" si="15"/>
        <v>9.4826684138124911E-5</v>
      </c>
      <c r="AT25" s="16">
        <f t="shared" si="16"/>
        <v>9.48</v>
      </c>
      <c r="AU25" s="16">
        <f t="shared" si="10"/>
        <v>1.0361359443137814E-5</v>
      </c>
      <c r="AV25" s="16">
        <f t="shared" si="17"/>
        <v>1.03</v>
      </c>
      <c r="AZ25" s="60"/>
      <c r="BF25" s="16">
        <v>0</v>
      </c>
      <c r="BG25" s="16">
        <f>BH24</f>
        <v>6.3850416049191274</v>
      </c>
      <c r="BH25" s="16">
        <f>BF24</f>
        <v>8.9887889878617084</v>
      </c>
      <c r="BI25" s="16">
        <f>BF24</f>
        <v>8.9887889878617084</v>
      </c>
      <c r="BJ25" s="67"/>
      <c r="BP25" s="85" t="s">
        <v>36</v>
      </c>
      <c r="BQ25" s="17">
        <v>-30</v>
      </c>
      <c r="BR25" s="17">
        <v>30</v>
      </c>
      <c r="BS25" s="83"/>
    </row>
    <row r="26" spans="1:77" ht="16.5" customHeight="1">
      <c r="A26" s="97" t="s">
        <v>47</v>
      </c>
      <c r="B26" s="98"/>
      <c r="C26" s="98"/>
      <c r="D26" s="98"/>
      <c r="E26" s="163">
        <v>1</v>
      </c>
      <c r="F26" s="163"/>
      <c r="G26" s="163"/>
      <c r="H26" s="163"/>
      <c r="I26" s="163"/>
      <c r="J26" s="163"/>
      <c r="K26" s="163"/>
      <c r="L26" s="163"/>
      <c r="M26" s="98"/>
      <c r="N26" s="98"/>
      <c r="O26" s="98"/>
      <c r="P26" s="98"/>
      <c r="Q26" s="14"/>
      <c r="R26" s="95" t="s">
        <v>193</v>
      </c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99" t="s">
        <v>108</v>
      </c>
      <c r="AJ26" s="100">
        <f>N34</f>
        <v>396.68400000000003</v>
      </c>
      <c r="AL26" s="50">
        <f t="shared" si="18"/>
        <v>-0.96633088302023762</v>
      </c>
      <c r="AM26" s="15">
        <f t="shared" si="9"/>
        <v>0</v>
      </c>
      <c r="AN26" s="16">
        <f t="shared" si="12"/>
        <v>0</v>
      </c>
      <c r="AO26" s="16">
        <f t="shared" si="13"/>
        <v>1.016109049233119E-5</v>
      </c>
      <c r="AP26" s="16">
        <f t="shared" si="14"/>
        <v>1.0161090492331191</v>
      </c>
      <c r="AS26" s="16">
        <f t="shared" si="15"/>
        <v>8.9835806025592011E-5</v>
      </c>
      <c r="AT26" s="16">
        <f t="shared" si="16"/>
        <v>8.98</v>
      </c>
      <c r="AU26" s="16">
        <f t="shared" si="10"/>
        <v>1.1303301210695797E-5</v>
      </c>
      <c r="AV26" s="16">
        <f t="shared" si="17"/>
        <v>1.1299999999999999</v>
      </c>
      <c r="AZ26" s="101"/>
      <c r="BA26" s="102"/>
      <c r="BB26" s="102"/>
      <c r="BC26" s="102"/>
      <c r="BD26" s="102"/>
      <c r="BE26" s="102"/>
      <c r="BF26" s="102">
        <f>BF25</f>
        <v>0</v>
      </c>
      <c r="BG26" s="102">
        <f>BF24</f>
        <v>8.9887889878617084</v>
      </c>
      <c r="BH26" s="102">
        <f>BG25</f>
        <v>6.3850416049191274</v>
      </c>
      <c r="BI26" s="102">
        <f>BG25</f>
        <v>6.3850416049191274</v>
      </c>
      <c r="BJ26" s="103"/>
      <c r="BP26" s="85" t="s">
        <v>37</v>
      </c>
      <c r="BQ26" s="17">
        <v>0</v>
      </c>
      <c r="BR26" s="17">
        <v>0</v>
      </c>
      <c r="BS26" s="83"/>
    </row>
    <row r="27" spans="1:77" ht="16.5" customHeight="1">
      <c r="A27" s="98"/>
      <c r="B27" s="98"/>
      <c r="C27" s="98"/>
      <c r="D27" s="98"/>
      <c r="E27" s="98"/>
      <c r="F27" s="98"/>
      <c r="G27" s="98"/>
      <c r="H27" s="104" t="s">
        <v>50</v>
      </c>
      <c r="I27" s="105" cm="1">
        <f t="array" ref="I27">INDEX(Database!E14:E21,'I-Pile'!$E$26)</f>
        <v>12.57</v>
      </c>
      <c r="J27" s="105"/>
      <c r="K27" s="98" t="s">
        <v>92</v>
      </c>
      <c r="L27" s="106" t="s">
        <v>106</v>
      </c>
      <c r="M27" s="106"/>
      <c r="N27" s="105">
        <f>0.7*$I$28</f>
        <v>10500</v>
      </c>
      <c r="O27" s="105"/>
      <c r="P27" s="98" t="s">
        <v>51</v>
      </c>
      <c r="Q27" s="14"/>
      <c r="R27" s="95" t="s">
        <v>194</v>
      </c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L27" s="50">
        <f t="shared" si="18"/>
        <v>-0.64422058868015841</v>
      </c>
      <c r="AM27" s="15">
        <f t="shared" si="9"/>
        <v>0</v>
      </c>
      <c r="AN27" s="16">
        <f t="shared" si="12"/>
        <v>0</v>
      </c>
      <c r="AO27" s="16">
        <f t="shared" si="13"/>
        <v>1.100784803335879E-5</v>
      </c>
      <c r="AP27" s="16">
        <f t="shared" si="14"/>
        <v>1.1007848033358789</v>
      </c>
      <c r="AS27" s="16">
        <f t="shared" si="15"/>
        <v>8.4844927913059123E-5</v>
      </c>
      <c r="AT27" s="16">
        <f t="shared" si="16"/>
        <v>8.48</v>
      </c>
      <c r="AU27" s="16">
        <f t="shared" si="10"/>
        <v>1.2245242978253779E-5</v>
      </c>
      <c r="AV27" s="16">
        <f t="shared" si="17"/>
        <v>1.22</v>
      </c>
      <c r="BP27" s="85" t="s">
        <v>38</v>
      </c>
      <c r="BQ27" s="107">
        <f>$BS$11</f>
        <v>-7.4480000000000004</v>
      </c>
      <c r="BR27" s="17">
        <v>0</v>
      </c>
      <c r="BS27" s="83"/>
    </row>
    <row r="28" spans="1:77" ht="16.5" customHeight="1">
      <c r="A28" s="108" t="s">
        <v>48</v>
      </c>
      <c r="B28" s="109" cm="1">
        <f t="array" ref="B28">INDEX(Database!D14:D21,'I-Pile'!$E$26)</f>
        <v>4</v>
      </c>
      <c r="C28" s="98" t="s">
        <v>49</v>
      </c>
      <c r="D28" s="98"/>
      <c r="E28" s="98"/>
      <c r="F28" s="98"/>
      <c r="G28" s="98"/>
      <c r="H28" s="104" t="s">
        <v>93</v>
      </c>
      <c r="I28" s="105" cm="1">
        <f t="array" ref="I28">INDEX(Database!F14:F21,'I-Pile'!$E$26)</f>
        <v>15000</v>
      </c>
      <c r="J28" s="105"/>
      <c r="K28" s="98" t="s">
        <v>51</v>
      </c>
      <c r="L28" s="110" t="s">
        <v>54</v>
      </c>
      <c r="M28" s="110"/>
      <c r="N28" s="105">
        <f>N27*(I27*0.01)</f>
        <v>1319.8500000000001</v>
      </c>
      <c r="O28" s="105"/>
      <c r="P28" s="98" t="s">
        <v>53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L28" s="50">
        <f t="shared" si="18"/>
        <v>-0.32211029434007921</v>
      </c>
      <c r="AM28" s="15">
        <f t="shared" si="9"/>
        <v>0</v>
      </c>
      <c r="AN28" s="16">
        <f t="shared" si="12"/>
        <v>0</v>
      </c>
      <c r="AO28" s="16">
        <f t="shared" si="13"/>
        <v>1.1854605574386388E-5</v>
      </c>
      <c r="AP28" s="16">
        <f t="shared" si="14"/>
        <v>1.1854605574386388</v>
      </c>
      <c r="AS28" s="16">
        <f t="shared" si="15"/>
        <v>7.9854049800526236E-5</v>
      </c>
      <c r="AT28" s="16">
        <f t="shared" si="16"/>
        <v>7.98</v>
      </c>
      <c r="AU28" s="16">
        <f t="shared" si="10"/>
        <v>1.3187184745811762E-5</v>
      </c>
      <c r="AV28" s="16">
        <f t="shared" si="17"/>
        <v>1.31</v>
      </c>
      <c r="AZ28" s="54"/>
      <c r="BA28" s="111" t="s">
        <v>146</v>
      </c>
      <c r="BB28" s="55" t="str">
        <f>AM12</f>
        <v>eq.5.5</v>
      </c>
      <c r="BC28" s="55"/>
      <c r="BD28" s="55"/>
      <c r="BE28" s="55"/>
      <c r="BF28" s="55"/>
      <c r="BG28" s="55"/>
      <c r="BH28" s="55"/>
      <c r="BI28" s="55"/>
      <c r="BJ28" s="112"/>
      <c r="BP28" s="85" t="s">
        <v>37</v>
      </c>
      <c r="BQ28" s="86">
        <f>BQ24</f>
        <v>3</v>
      </c>
      <c r="BR28" s="86">
        <f>BR24</f>
        <v>3</v>
      </c>
      <c r="BS28" s="83"/>
    </row>
    <row r="29" spans="1:77" ht="16.5" customHeight="1">
      <c r="A29" s="98"/>
      <c r="B29" s="98"/>
      <c r="C29" s="98"/>
      <c r="D29" s="98"/>
      <c r="E29" s="98"/>
      <c r="F29" s="98"/>
      <c r="G29" s="113"/>
      <c r="H29" s="113"/>
      <c r="I29" s="113"/>
      <c r="J29" s="113"/>
      <c r="K29" s="114"/>
      <c r="L29" s="115" t="s">
        <v>52</v>
      </c>
      <c r="M29" s="116">
        <v>2040000</v>
      </c>
      <c r="N29" s="116"/>
      <c r="O29" s="116"/>
      <c r="P29" s="113" t="s">
        <v>51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L29" s="50">
        <f t="shared" si="18"/>
        <v>0</v>
      </c>
      <c r="AM29" s="15">
        <f t="shared" si="9"/>
        <v>0</v>
      </c>
      <c r="AN29" s="16">
        <f t="shared" si="12"/>
        <v>0</v>
      </c>
      <c r="AO29" s="16">
        <f t="shared" si="13"/>
        <v>1.2701363115413986E-5</v>
      </c>
      <c r="AP29" s="16">
        <f t="shared" si="14"/>
        <v>1.2701363115413986</v>
      </c>
      <c r="AS29" s="16">
        <f t="shared" si="15"/>
        <v>7.4863171687993349E-5</v>
      </c>
      <c r="AT29" s="16">
        <f t="shared" si="16"/>
        <v>7.48</v>
      </c>
      <c r="AU29" s="16">
        <f t="shared" si="10"/>
        <v>1.4129126513369745E-5</v>
      </c>
      <c r="AV29" s="16">
        <f t="shared" si="17"/>
        <v>1.41</v>
      </c>
      <c r="AZ29" s="60"/>
      <c r="BA29" s="15" t="s">
        <v>136</v>
      </c>
      <c r="BB29" s="15" t="s">
        <v>147</v>
      </c>
      <c r="BC29" s="15" t="s">
        <v>143</v>
      </c>
      <c r="BD29" s="15" t="s">
        <v>142</v>
      </c>
      <c r="BE29" s="16" t="s">
        <v>149</v>
      </c>
      <c r="BJ29" s="67"/>
      <c r="BP29" s="85" t="s">
        <v>38</v>
      </c>
      <c r="BQ29" s="107">
        <f>$BS$21</f>
        <v>16.444000000000003</v>
      </c>
      <c r="BR29" s="17">
        <v>0</v>
      </c>
      <c r="BS29" s="117"/>
    </row>
    <row r="30" spans="1:77" ht="16.5" customHeight="1">
      <c r="A30" s="118" t="s">
        <v>68</v>
      </c>
      <c r="B30" s="119"/>
      <c r="C30" s="119"/>
      <c r="D30" s="119"/>
      <c r="E30" s="119"/>
      <c r="F30" s="119"/>
      <c r="G30" s="119"/>
      <c r="H30" s="119"/>
      <c r="I30" s="119"/>
      <c r="J30" s="120"/>
      <c r="K30" s="120"/>
      <c r="L30" s="120"/>
      <c r="M30" s="119"/>
      <c r="N30" s="119"/>
      <c r="O30" s="119"/>
      <c r="P30" s="119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L30" s="50">
        <f t="shared" si="18"/>
        <v>0.32211029434007921</v>
      </c>
      <c r="AM30" s="15">
        <f t="shared" si="9"/>
        <v>0</v>
      </c>
      <c r="AN30" s="16">
        <f t="shared" si="12"/>
        <v>0</v>
      </c>
      <c r="AO30" s="16">
        <f t="shared" si="13"/>
        <v>1.3548120656441586E-5</v>
      </c>
      <c r="AP30" s="16">
        <f t="shared" si="14"/>
        <v>1.3548120656441587</v>
      </c>
      <c r="AS30" s="16">
        <f t="shared" si="15"/>
        <v>6.9872293575460462E-5</v>
      </c>
      <c r="AT30" s="16">
        <f t="shared" si="16"/>
        <v>6.98</v>
      </c>
      <c r="AU30" s="16">
        <f t="shared" si="10"/>
        <v>1.5071068280927728E-5</v>
      </c>
      <c r="AV30" s="16">
        <f t="shared" si="17"/>
        <v>1.5</v>
      </c>
      <c r="AZ30" s="60"/>
      <c r="BA30" s="30">
        <f>AK9</f>
        <v>10.951750007562696</v>
      </c>
      <c r="BB30" s="30">
        <f t="shared" ref="BB30:BD30" si="20">AL9</f>
        <v>4.8316544151011884</v>
      </c>
      <c r="BC30" s="30">
        <f t="shared" si="20"/>
        <v>9.4</v>
      </c>
      <c r="BD30" s="30">
        <f t="shared" si="20"/>
        <v>0</v>
      </c>
      <c r="BJ30" s="67"/>
      <c r="BP30" s="85" t="s">
        <v>37</v>
      </c>
      <c r="BQ30" s="86">
        <f>BQ26</f>
        <v>0</v>
      </c>
      <c r="BR30" s="86">
        <f>BR26</f>
        <v>0</v>
      </c>
      <c r="BS30" s="117"/>
    </row>
    <row r="31" spans="1:77" ht="16.5" customHeight="1">
      <c r="A31" s="119"/>
      <c r="B31" s="121" t="s">
        <v>94</v>
      </c>
      <c r="C31" s="122">
        <f>0.6*$N$31</f>
        <v>192</v>
      </c>
      <c r="D31" s="120" t="s">
        <v>51</v>
      </c>
      <c r="E31" s="119"/>
      <c r="F31" s="119"/>
      <c r="G31" s="121" t="s">
        <v>95</v>
      </c>
      <c r="H31" s="122">
        <f>-0.8*SQRT(N31)</f>
        <v>-14.310835055998655</v>
      </c>
      <c r="I31" s="120" t="s">
        <v>51</v>
      </c>
      <c r="J31" s="120"/>
      <c r="K31" s="120"/>
      <c r="L31" s="120"/>
      <c r="M31" s="121" t="s">
        <v>96</v>
      </c>
      <c r="N31" s="156">
        <v>320</v>
      </c>
      <c r="O31" s="157"/>
      <c r="P31" s="120" t="s">
        <v>51</v>
      </c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L31" s="50">
        <f t="shared" si="18"/>
        <v>0.64422058868015841</v>
      </c>
      <c r="AM31" s="15">
        <f t="shared" si="9"/>
        <v>0</v>
      </c>
      <c r="AN31" s="16">
        <f t="shared" si="12"/>
        <v>0</v>
      </c>
      <c r="AO31" s="16">
        <f t="shared" si="13"/>
        <v>1.4394878197469184E-5</v>
      </c>
      <c r="AP31" s="16">
        <f t="shared" si="14"/>
        <v>1.4394878197469183</v>
      </c>
      <c r="AS31" s="16">
        <f t="shared" si="15"/>
        <v>6.4881415462927575E-5</v>
      </c>
      <c r="AT31" s="16">
        <f t="shared" si="16"/>
        <v>6.48</v>
      </c>
      <c r="AU31" s="16">
        <f t="shared" si="10"/>
        <v>1.6013010048485709E-5</v>
      </c>
      <c r="AV31" s="16">
        <f t="shared" si="17"/>
        <v>1.6</v>
      </c>
      <c r="AZ31" s="60"/>
      <c r="BE31" s="39" t="s">
        <v>151</v>
      </c>
      <c r="BF31" s="76">
        <f>BC30-(BF32*BA30)</f>
        <v>-7.4210526315789433</v>
      </c>
      <c r="BJ31" s="67"/>
      <c r="BP31" s="85"/>
      <c r="BQ31" s="86"/>
      <c r="BR31" s="86"/>
      <c r="BS31" s="117"/>
    </row>
    <row r="32" spans="1:77" ht="16.5" customHeight="1">
      <c r="A32" s="119"/>
      <c r="B32" s="121" t="s">
        <v>97</v>
      </c>
      <c r="C32" s="123">
        <f>0.45*N32</f>
        <v>225</v>
      </c>
      <c r="D32" s="120" t="s">
        <v>51</v>
      </c>
      <c r="E32" s="120"/>
      <c r="F32" s="119"/>
      <c r="G32" s="121" t="s">
        <v>98</v>
      </c>
      <c r="H32" s="124">
        <f>-1.6*SQRT(N32)</f>
        <v>-35.777087639996637</v>
      </c>
      <c r="I32" s="120" t="s">
        <v>51</v>
      </c>
      <c r="J32" s="120"/>
      <c r="K32" s="120"/>
      <c r="L32" s="120"/>
      <c r="M32" s="121" t="s">
        <v>99</v>
      </c>
      <c r="N32" s="156">
        <v>500</v>
      </c>
      <c r="O32" s="157"/>
      <c r="P32" s="120" t="s">
        <v>51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L32" s="50">
        <f t="shared" si="18"/>
        <v>0.96633088302023762</v>
      </c>
      <c r="AM32" s="15">
        <f t="shared" si="9"/>
        <v>0</v>
      </c>
      <c r="AN32" s="16">
        <f t="shared" si="12"/>
        <v>0</v>
      </c>
      <c r="AO32" s="16">
        <f t="shared" si="13"/>
        <v>1.5241635738496784E-5</v>
      </c>
      <c r="AP32" s="16">
        <f t="shared" si="14"/>
        <v>1.5241635738496784</v>
      </c>
      <c r="AS32" s="16">
        <f t="shared" si="15"/>
        <v>5.9890537350394687E-5</v>
      </c>
      <c r="AT32" s="16">
        <f t="shared" si="16"/>
        <v>5.98</v>
      </c>
      <c r="AU32" s="16">
        <f t="shared" si="10"/>
        <v>1.6954951816043693E-5</v>
      </c>
      <c r="AV32" s="16">
        <f t="shared" si="17"/>
        <v>1.69</v>
      </c>
      <c r="AZ32" s="60"/>
      <c r="BE32" s="39" t="s">
        <v>148</v>
      </c>
      <c r="BF32" s="15">
        <f>(BD30-BC30)/(BB30-BA30)</f>
        <v>1.535923721776266</v>
      </c>
      <c r="BJ32" s="67"/>
      <c r="BP32" s="17" t="s">
        <v>69</v>
      </c>
      <c r="BQ32" s="17">
        <f>INTERCEPT(BO11:BO21,BS11:BS21)</f>
        <v>2.0647915620291317</v>
      </c>
      <c r="BR32" s="17">
        <f>BQ32</f>
        <v>2.0647915620291317</v>
      </c>
      <c r="BS32" s="17">
        <f>BR32</f>
        <v>2.0647915620291317</v>
      </c>
      <c r="BT32" s="117"/>
      <c r="BU32" s="17" t="str">
        <f>"EL.+"&amp;TRUNC(BS32,2)&amp;"m."</f>
        <v>EL.+2.06m.</v>
      </c>
    </row>
    <row r="33" spans="1:73" ht="16.5" customHeight="1">
      <c r="A33" s="125"/>
      <c r="B33" s="125"/>
      <c r="C33" s="125"/>
      <c r="D33" s="125"/>
      <c r="E33" s="125"/>
      <c r="F33" s="125"/>
      <c r="G33" s="125"/>
      <c r="H33" s="125"/>
      <c r="I33" s="126" t="s">
        <v>67</v>
      </c>
      <c r="J33" s="125"/>
      <c r="K33" s="125"/>
      <c r="L33" s="125"/>
      <c r="M33" s="125"/>
      <c r="N33" s="125"/>
      <c r="O33" s="125"/>
      <c r="P33" s="125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27"/>
      <c r="AI33" s="16"/>
      <c r="AJ33" s="16"/>
      <c r="AL33" s="50">
        <f t="shared" si="18"/>
        <v>1.2884411773603168</v>
      </c>
      <c r="AM33" s="15">
        <f t="shared" si="9"/>
        <v>0</v>
      </c>
      <c r="AN33" s="16">
        <f t="shared" si="12"/>
        <v>0</v>
      </c>
      <c r="AO33" s="16">
        <f t="shared" si="13"/>
        <v>1.6088393279524384E-5</v>
      </c>
      <c r="AP33" s="16">
        <f t="shared" si="14"/>
        <v>1.6088393279524384</v>
      </c>
      <c r="AS33" s="16">
        <f t="shared" si="15"/>
        <v>5.48996592378618E-5</v>
      </c>
      <c r="AT33" s="16">
        <f t="shared" si="16"/>
        <v>5.48</v>
      </c>
      <c r="AU33" s="16">
        <f t="shared" si="10"/>
        <v>1.7896893583601678E-5</v>
      </c>
      <c r="AV33" s="16">
        <f t="shared" si="17"/>
        <v>1.78</v>
      </c>
      <c r="AZ33" s="60"/>
      <c r="BE33" s="39" t="s">
        <v>150</v>
      </c>
      <c r="BF33" s="16" t="str">
        <f>"Y ="&amp;TRUNC(BF32,4)&amp;"x + "&amp;TRUNC(BF31,4)</f>
        <v>Y =1.5359x + -7.421</v>
      </c>
      <c r="BJ33" s="67"/>
      <c r="BQ33" s="17">
        <v>-30</v>
      </c>
      <c r="BR33" s="17">
        <v>30</v>
      </c>
      <c r="BS33" s="17">
        <f>BQ33+5</f>
        <v>-25</v>
      </c>
      <c r="BT33" s="117"/>
    </row>
    <row r="34" spans="1:73" ht="16.5" customHeight="1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8" t="s">
        <v>100</v>
      </c>
      <c r="N34" s="129">
        <f>(G21*N22^2)/2</f>
        <v>396.68400000000003</v>
      </c>
      <c r="O34" s="129"/>
      <c r="P34" s="125" t="s">
        <v>82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27"/>
      <c r="AI34" s="16"/>
      <c r="AJ34" s="16"/>
      <c r="AL34" s="50">
        <f t="shared" si="18"/>
        <v>1.6105514717003961</v>
      </c>
      <c r="AM34" s="15">
        <f t="shared" si="9"/>
        <v>0</v>
      </c>
      <c r="AN34" s="16">
        <f t="shared" si="12"/>
        <v>0</v>
      </c>
      <c r="AO34" s="16">
        <f t="shared" si="13"/>
        <v>1.693515082055198E-5</v>
      </c>
      <c r="AP34" s="16">
        <f t="shared" si="14"/>
        <v>1.6935150820551981</v>
      </c>
      <c r="AS34" s="16">
        <f t="shared" si="15"/>
        <v>4.9908781125328913E-5</v>
      </c>
      <c r="AT34" s="16">
        <f t="shared" si="16"/>
        <v>4.99</v>
      </c>
      <c r="AU34" s="16">
        <f t="shared" si="10"/>
        <v>1.8838835351159659E-5</v>
      </c>
      <c r="AV34" s="16">
        <f t="shared" si="17"/>
        <v>1.88</v>
      </c>
      <c r="AZ34" s="60"/>
      <c r="BF34" s="15" t="s">
        <v>136</v>
      </c>
      <c r="BG34" s="15" t="s">
        <v>147</v>
      </c>
      <c r="BH34" s="15" t="s">
        <v>143</v>
      </c>
      <c r="BI34" s="15" t="s">
        <v>142</v>
      </c>
      <c r="BJ34" s="67"/>
      <c r="BP34" s="17" t="s">
        <v>70</v>
      </c>
      <c r="BQ34" s="17">
        <f>INTERCEPT(BO17:BO20,BW17:BW20)</f>
        <v>1.017633094312949</v>
      </c>
      <c r="BR34" s="17">
        <f>BQ34</f>
        <v>1.017633094312949</v>
      </c>
      <c r="BT34" s="117">
        <f>INTERCEPT(BP11:BP21,BW11:BW21)</f>
        <v>1.5225102153711054</v>
      </c>
      <c r="BU34" s="17" t="str">
        <f>"EL.+"&amp;TRUNC(BQ34,2)&amp;"m."</f>
        <v>EL.+1.01m.</v>
      </c>
    </row>
    <row r="35" spans="1:73" ht="16.5" customHeight="1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8" t="s">
        <v>101</v>
      </c>
      <c r="N35" s="129">
        <f>N34+(ABS(BS46*1000))</f>
        <v>3459.8450987662459</v>
      </c>
      <c r="O35" s="129"/>
      <c r="P35" s="125" t="s">
        <v>82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27"/>
      <c r="AI35" s="16"/>
      <c r="AJ35" s="16"/>
      <c r="AL35" s="50">
        <f t="shared" si="18"/>
        <v>1.9326617660404755</v>
      </c>
      <c r="AM35" s="15">
        <f t="shared" si="9"/>
        <v>0</v>
      </c>
      <c r="AN35" s="16">
        <f t="shared" si="12"/>
        <v>0</v>
      </c>
      <c r="AO35" s="16">
        <f t="shared" si="13"/>
        <v>1.778190836157958E-5</v>
      </c>
      <c r="AP35" s="16">
        <f t="shared" si="14"/>
        <v>1.7781908361579579</v>
      </c>
      <c r="AS35" s="16">
        <f t="shared" si="15"/>
        <v>4.4917903012796005E-5</v>
      </c>
      <c r="AT35" s="16">
        <f t="shared" si="16"/>
        <v>4.49</v>
      </c>
      <c r="AU35" s="16">
        <f t="shared" si="10"/>
        <v>1.9780777118717643E-5</v>
      </c>
      <c r="AV35" s="16">
        <f t="shared" si="17"/>
        <v>1.97</v>
      </c>
      <c r="AZ35" s="60"/>
      <c r="BF35" s="16">
        <v>9</v>
      </c>
      <c r="BG35" s="16">
        <v>0</v>
      </c>
      <c r="BH35" s="16">
        <f>BF32*BF35+BF31</f>
        <v>6.4022608644074506</v>
      </c>
      <c r="BI35" s="16">
        <v>0</v>
      </c>
      <c r="BJ35" s="67"/>
      <c r="BQ35" s="17">
        <v>-30</v>
      </c>
      <c r="BR35" s="17">
        <v>30</v>
      </c>
      <c r="BT35" s="117"/>
    </row>
    <row r="36" spans="1:73" ht="16.5" customHeight="1">
      <c r="A36" s="125"/>
      <c r="B36" s="125"/>
      <c r="C36" s="125"/>
      <c r="D36" s="125"/>
      <c r="E36" s="125"/>
      <c r="F36" s="125"/>
      <c r="G36" s="125"/>
      <c r="H36" s="125"/>
      <c r="I36" s="130" t="s">
        <v>102</v>
      </c>
      <c r="J36" s="131" t="s">
        <v>103</v>
      </c>
      <c r="K36" s="131"/>
      <c r="L36" s="130" t="s">
        <v>54</v>
      </c>
      <c r="M36" s="131" t="str">
        <f>"("&amp;TRUNC(N35,2)&amp;"-0.826x"&amp;TRUNC(N34,2)&amp;")x100"</f>
        <v>(3459.84-0.826x396.68)x100</v>
      </c>
      <c r="N36" s="131"/>
      <c r="O36" s="131"/>
      <c r="P36" s="131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27"/>
      <c r="AI36" s="16"/>
      <c r="AJ36" s="16"/>
      <c r="AL36" s="50">
        <f t="shared" si="18"/>
        <v>2.2547720603805548</v>
      </c>
      <c r="AM36" s="15">
        <f t="shared" si="9"/>
        <v>0</v>
      </c>
      <c r="AN36" s="16">
        <f t="shared" si="12"/>
        <v>0</v>
      </c>
      <c r="AO36" s="16">
        <f t="shared" si="13"/>
        <v>1.8628665902607183E-5</v>
      </c>
      <c r="AP36" s="16">
        <f t="shared" si="14"/>
        <v>1.8628665902607182</v>
      </c>
      <c r="AS36" s="16">
        <f t="shared" si="15"/>
        <v>3.9927024900263111E-5</v>
      </c>
      <c r="AT36" s="16">
        <f t="shared" si="16"/>
        <v>3.99</v>
      </c>
      <c r="AU36" s="16">
        <f t="shared" si="10"/>
        <v>2.0722718886275628E-5</v>
      </c>
      <c r="AV36" s="16">
        <f t="shared" si="17"/>
        <v>2.0699999999999998</v>
      </c>
      <c r="AZ36" s="60"/>
      <c r="BF36" s="16">
        <v>0</v>
      </c>
      <c r="BG36" s="16">
        <f>BH35</f>
        <v>6.4022608644074506</v>
      </c>
      <c r="BH36" s="16">
        <f>BF35</f>
        <v>9</v>
      </c>
      <c r="BI36" s="16">
        <f>BF35</f>
        <v>9</v>
      </c>
      <c r="BJ36" s="67"/>
      <c r="BM36" s="17"/>
      <c r="BO36" s="17" t="s">
        <v>71</v>
      </c>
      <c r="BP36" s="132">
        <f>$BW$21</f>
        <v>-12.476716223003525</v>
      </c>
      <c r="BQ36" s="17">
        <v>0</v>
      </c>
      <c r="BR36" s="117"/>
    </row>
    <row r="37" spans="1:73" ht="16.5" customHeight="1">
      <c r="A37" s="125"/>
      <c r="B37" s="125"/>
      <c r="C37" s="125"/>
      <c r="D37" s="125"/>
      <c r="E37" s="125"/>
      <c r="F37" s="125"/>
      <c r="G37" s="125"/>
      <c r="H37" s="125"/>
      <c r="I37" s="130"/>
      <c r="J37" s="133" t="s">
        <v>104</v>
      </c>
      <c r="K37" s="133"/>
      <c r="L37" s="130"/>
      <c r="M37" s="133" t="str">
        <f>"0.826x"&amp;TRUNC(C31,2)&amp;" - ("&amp;TRUNC(H32,3)&amp;")"</f>
        <v>0.826x192 - (-35.777)</v>
      </c>
      <c r="N37" s="133"/>
      <c r="O37" s="133"/>
      <c r="P37" s="133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27"/>
      <c r="AI37" s="16"/>
      <c r="AJ37" s="16"/>
      <c r="AL37" s="50">
        <f t="shared" si="18"/>
        <v>2.5768823547206341</v>
      </c>
      <c r="AM37" s="15">
        <f t="shared" si="9"/>
        <v>0</v>
      </c>
      <c r="AN37" s="16">
        <f t="shared" si="12"/>
        <v>0</v>
      </c>
      <c r="AO37" s="16">
        <f t="shared" si="13"/>
        <v>1.947542344363478E-5</v>
      </c>
      <c r="AP37" s="16">
        <f t="shared" si="14"/>
        <v>1.9475423443634781</v>
      </c>
      <c r="AS37" s="16">
        <f t="shared" si="15"/>
        <v>3.4936146787730224E-5</v>
      </c>
      <c r="AT37" s="16">
        <f t="shared" si="16"/>
        <v>3.49</v>
      </c>
      <c r="AU37" s="16">
        <f t="shared" si="10"/>
        <v>2.1664660653833612E-5</v>
      </c>
      <c r="AV37" s="16">
        <f t="shared" si="17"/>
        <v>2.16</v>
      </c>
      <c r="AZ37" s="101"/>
      <c r="BA37" s="102"/>
      <c r="BB37" s="102"/>
      <c r="BC37" s="102"/>
      <c r="BD37" s="102"/>
      <c r="BE37" s="102"/>
      <c r="BF37" s="102">
        <f>BF36</f>
        <v>0</v>
      </c>
      <c r="BG37" s="102">
        <f>BF35</f>
        <v>9</v>
      </c>
      <c r="BH37" s="102">
        <f>BG36</f>
        <v>6.4022608644074506</v>
      </c>
      <c r="BI37" s="102">
        <f>BG36</f>
        <v>6.4022608644074506</v>
      </c>
      <c r="BJ37" s="103"/>
      <c r="BM37" s="17"/>
      <c r="BR37" s="117"/>
    </row>
    <row r="38" spans="1:73" ht="16.5" customHeight="1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34" t="s">
        <v>54</v>
      </c>
      <c r="M38" s="135">
        <f>((N35-0.826*N34)*100)/(0.826*C31-H32)</f>
        <v>1611.462065700264</v>
      </c>
      <c r="N38" s="135"/>
      <c r="O38" s="135"/>
      <c r="P38" s="125" t="s">
        <v>105</v>
      </c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27"/>
      <c r="AI38" s="16"/>
      <c r="AJ38" s="16"/>
      <c r="AL38" s="50">
        <f t="shared" si="18"/>
        <v>2.8989926490607134</v>
      </c>
      <c r="AM38" s="15">
        <f t="shared" si="9"/>
        <v>0</v>
      </c>
      <c r="AN38" s="16">
        <f t="shared" si="12"/>
        <v>0</v>
      </c>
      <c r="AO38" s="16">
        <f t="shared" si="13"/>
        <v>2.0322180984662379E-5</v>
      </c>
      <c r="AP38" s="16">
        <f t="shared" si="14"/>
        <v>2.0322180984662381</v>
      </c>
      <c r="AS38" s="16">
        <f t="shared" si="15"/>
        <v>2.9945268675197333E-5</v>
      </c>
      <c r="AT38" s="16">
        <f t="shared" si="16"/>
        <v>2.99</v>
      </c>
      <c r="AU38" s="16">
        <f t="shared" si="10"/>
        <v>2.2606602421391593E-5</v>
      </c>
      <c r="AV38" s="16">
        <f t="shared" si="17"/>
        <v>2.2599999999999998</v>
      </c>
      <c r="BA38" s="16" t="s">
        <v>152</v>
      </c>
      <c r="BP38" s="17" t="s">
        <v>72</v>
      </c>
      <c r="BQ38" s="17">
        <f>BQ34</f>
        <v>1.017633094312949</v>
      </c>
      <c r="BR38" s="17">
        <f>BQ38</f>
        <v>1.017633094312949</v>
      </c>
      <c r="BS38" s="83"/>
    </row>
    <row r="39" spans="1:73" ht="16.5" customHeight="1">
      <c r="A39" s="125"/>
      <c r="B39" s="125"/>
      <c r="C39" s="125"/>
      <c r="D39" s="125"/>
      <c r="E39" s="125"/>
      <c r="F39" s="125"/>
      <c r="G39" s="125"/>
      <c r="H39" s="125"/>
      <c r="I39" s="136"/>
      <c r="J39" s="137" t="s">
        <v>134</v>
      </c>
      <c r="K39" s="138" t="str" cm="1">
        <f t="array" ref="K39">INDEX(Database!C6:C11,'I-Pile'!$A$20)</f>
        <v>Concrete Pile  I - 22 x 22</v>
      </c>
      <c r="L39" s="138"/>
      <c r="M39" s="138"/>
      <c r="N39" s="139" t="str">
        <f>IF(B25&gt;M38,"&gt;       (Zb)min    O.K.","Not Pass")</f>
        <v>&gt;       (Zb)min    O.K.</v>
      </c>
      <c r="O39" s="139"/>
      <c r="P39" s="139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27"/>
      <c r="AI39" s="16"/>
      <c r="AJ39" s="16"/>
      <c r="AL39" s="50">
        <f t="shared" si="18"/>
        <v>3.2211029434007927</v>
      </c>
      <c r="AM39" s="15">
        <f t="shared" si="9"/>
        <v>0</v>
      </c>
      <c r="AN39" s="16">
        <f t="shared" si="12"/>
        <v>0</v>
      </c>
      <c r="AO39" s="16">
        <f t="shared" si="13"/>
        <v>2.1168938525689979E-5</v>
      </c>
      <c r="AP39" s="16">
        <f t="shared" si="14"/>
        <v>2.1168938525689978</v>
      </c>
      <c r="AS39" s="16">
        <f t="shared" si="15"/>
        <v>2.4954390562664446E-5</v>
      </c>
      <c r="AT39" s="16">
        <f t="shared" si="16"/>
        <v>2.4900000000000002</v>
      </c>
      <c r="AU39" s="16">
        <f t="shared" si="10"/>
        <v>2.3548544188949578E-5</v>
      </c>
      <c r="AV39" s="16">
        <f t="shared" si="17"/>
        <v>2.35</v>
      </c>
      <c r="BS39" s="83"/>
    </row>
    <row r="40" spans="1:73" ht="16.5" customHeight="1">
      <c r="A40" s="125"/>
      <c r="B40" s="125"/>
      <c r="C40" s="125"/>
      <c r="D40" s="125"/>
      <c r="E40" s="125"/>
      <c r="F40" s="125"/>
      <c r="G40" s="125"/>
      <c r="H40" s="125"/>
      <c r="I40" s="125" t="s">
        <v>159</v>
      </c>
      <c r="J40" s="125"/>
      <c r="K40" s="125"/>
      <c r="L40" s="125"/>
      <c r="M40" s="125" t="s">
        <v>160</v>
      </c>
      <c r="N40" s="140">
        <f>BB43</f>
        <v>8.9887889878617084</v>
      </c>
      <c r="O40" s="141" t="s">
        <v>161</v>
      </c>
      <c r="P40" s="125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27"/>
      <c r="AI40" s="16"/>
      <c r="AJ40" s="16"/>
      <c r="AL40" s="50">
        <f t="shared" si="18"/>
        <v>3.543213237740872</v>
      </c>
      <c r="AM40" s="15">
        <f t="shared" si="9"/>
        <v>0</v>
      </c>
      <c r="AN40" s="16">
        <f t="shared" si="12"/>
        <v>0</v>
      </c>
      <c r="AO40" s="16">
        <f t="shared" si="13"/>
        <v>2.2015696066717579E-5</v>
      </c>
      <c r="AP40" s="16">
        <f t="shared" si="14"/>
        <v>2.2015696066717578</v>
      </c>
      <c r="AS40" s="16">
        <f t="shared" si="15"/>
        <v>1.9963512450131549E-5</v>
      </c>
      <c r="AT40" s="16">
        <f t="shared" si="16"/>
        <v>1.99</v>
      </c>
      <c r="AU40" s="16">
        <f t="shared" si="10"/>
        <v>2.4490485956507559E-5</v>
      </c>
      <c r="AV40" s="16">
        <f t="shared" si="17"/>
        <v>2.44</v>
      </c>
      <c r="BA40" s="16" t="str">
        <f>BF33</f>
        <v>Y =1.5359x + -7.421</v>
      </c>
      <c r="BD40" s="142" t="s">
        <v>153</v>
      </c>
      <c r="BP40" s="85" t="s">
        <v>81</v>
      </c>
      <c r="BQ40" s="17">
        <f>IF(BY11&gt;BY21,BY11,BW21)</f>
        <v>-12.476716223003525</v>
      </c>
      <c r="BR40" s="17">
        <f>BQ40</f>
        <v>-12.476716223003525</v>
      </c>
      <c r="BS40" s="17" t="str">
        <f>TRUNC(BQ40,2)&amp;" ton."</f>
        <v>-12.47 ton.</v>
      </c>
    </row>
    <row r="41" spans="1:73" ht="16.5" customHeight="1">
      <c r="A41" s="125"/>
      <c r="B41" s="125"/>
      <c r="C41" s="125"/>
      <c r="D41" s="125"/>
      <c r="E41" s="125"/>
      <c r="F41" s="125"/>
      <c r="G41" s="125"/>
      <c r="H41" s="130" t="s">
        <v>162</v>
      </c>
      <c r="I41" s="130"/>
      <c r="J41" s="130"/>
      <c r="K41" s="130" t="s">
        <v>163</v>
      </c>
      <c r="L41" s="131" t="str">
        <f>TRUNC(AJ23,2)&amp;" x  (  "&amp;TRUNC(AJ24,2)&amp;" x ("&amp;TRUNC(N40,2)&amp;") + 1 )"</f>
        <v>0.82 x  (  0.2 x (8.98) + 1 )</v>
      </c>
      <c r="M41" s="131"/>
      <c r="N41" s="131"/>
      <c r="O41" s="131"/>
      <c r="P41" s="131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27"/>
      <c r="AI41" s="16"/>
      <c r="AJ41" s="16"/>
      <c r="AL41" s="50">
        <f t="shared" si="18"/>
        <v>3.8653235320809514</v>
      </c>
      <c r="AM41" s="15">
        <f t="shared" si="9"/>
        <v>0</v>
      </c>
      <c r="AN41" s="16">
        <f t="shared" si="12"/>
        <v>0</v>
      </c>
      <c r="AO41" s="16">
        <f t="shared" si="13"/>
        <v>2.2862453607745179E-5</v>
      </c>
      <c r="AP41" s="16">
        <f t="shared" si="14"/>
        <v>2.2862453607745179</v>
      </c>
      <c r="AS41" s="16">
        <f t="shared" si="15"/>
        <v>1.497263433759866E-5</v>
      </c>
      <c r="AT41" s="16">
        <f t="shared" si="16"/>
        <v>1.49</v>
      </c>
      <c r="AU41" s="16">
        <f t="shared" si="10"/>
        <v>2.5432427724065547E-5</v>
      </c>
      <c r="AV41" s="16">
        <f t="shared" si="17"/>
        <v>2.54</v>
      </c>
      <c r="BA41" s="16" t="str">
        <f>BF22</f>
        <v>Y =0.4619x + 2.2322</v>
      </c>
      <c r="BD41" s="142" t="s">
        <v>154</v>
      </c>
      <c r="BQ41" s="17">
        <f>IF(BY11&gt;BY21,N22,BO21)</f>
        <v>0</v>
      </c>
      <c r="BR41" s="17">
        <f>BQ41</f>
        <v>0</v>
      </c>
    </row>
    <row r="42" spans="1:73" ht="16.5" customHeight="1">
      <c r="A42" s="125"/>
      <c r="B42" s="125"/>
      <c r="C42" s="125"/>
      <c r="D42" s="125"/>
      <c r="E42" s="125"/>
      <c r="F42" s="125"/>
      <c r="G42" s="125"/>
      <c r="H42" s="130"/>
      <c r="I42" s="130"/>
      <c r="J42" s="130"/>
      <c r="K42" s="130"/>
      <c r="L42" s="143" t="str">
        <f>"-"&amp;TRUNC(AJ22,2)&amp;" x "&amp;TRUNC(AJ13,2)&amp;" + "&amp;TRUNC(AJ24,2)&amp;" x "&amp;TRUNC(AJ18,2)&amp;" x 100 "</f>
        <v xml:space="preserve">-367.3 x 35.77 + 0.2 x 345984.5 x 100 </v>
      </c>
      <c r="M42" s="143"/>
      <c r="N42" s="143"/>
      <c r="O42" s="143"/>
      <c r="P42" s="143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27"/>
      <c r="AI42" s="16"/>
      <c r="AJ42" s="16"/>
      <c r="AL42" s="50">
        <f t="shared" si="18"/>
        <v>4.1874338264210307</v>
      </c>
      <c r="AM42" s="15">
        <f t="shared" si="9"/>
        <v>0</v>
      </c>
      <c r="AN42" s="16">
        <f t="shared" si="12"/>
        <v>0</v>
      </c>
      <c r="AO42" s="16">
        <f t="shared" si="13"/>
        <v>2.3709211148772775E-5</v>
      </c>
      <c r="AP42" s="16">
        <f t="shared" si="14"/>
        <v>2.3709211148772775</v>
      </c>
      <c r="AS42" s="16">
        <f t="shared" si="15"/>
        <v>9.9817562250657694E-6</v>
      </c>
      <c r="AT42" s="16">
        <f t="shared" si="16"/>
        <v>0.99</v>
      </c>
      <c r="AU42" s="16">
        <f t="shared" si="10"/>
        <v>2.6374369491623524E-5</v>
      </c>
      <c r="AV42" s="16">
        <f t="shared" si="17"/>
        <v>2.63</v>
      </c>
      <c r="BA42" s="16" t="str">
        <f>"0="&amp;TRUNC(BF32-BF21,2)&amp;"x -"&amp;TRUNC(BF20-BF31,2)</f>
        <v>0=1.07x -9.65</v>
      </c>
      <c r="BP42" s="144" t="s">
        <v>73</v>
      </c>
      <c r="BQ42" s="144"/>
      <c r="BR42" s="144" t="s">
        <v>74</v>
      </c>
      <c r="BS42" s="144"/>
      <c r="BT42" s="145"/>
      <c r="BU42" s="145"/>
    </row>
    <row r="43" spans="1:73" ht="16.5" customHeight="1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8" t="s">
        <v>164</v>
      </c>
      <c r="L43" s="129">
        <f>((-$AJ$22*$AJ$13)+($AJ$24*$AJ$14*100))/($AJ$23*($AJ$24*BB43+1))</f>
        <v>24743.35425778633</v>
      </c>
      <c r="M43" s="129"/>
      <c r="N43" s="134" t="s">
        <v>165</v>
      </c>
      <c r="O43" s="125"/>
      <c r="P43" s="125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27"/>
      <c r="AI43" s="16"/>
      <c r="AJ43" s="16"/>
      <c r="AL43" s="50">
        <f t="shared" si="18"/>
        <v>4.5095441207611096</v>
      </c>
      <c r="AM43" s="15">
        <f t="shared" si="9"/>
        <v>0</v>
      </c>
      <c r="AN43" s="16">
        <f t="shared" si="12"/>
        <v>0</v>
      </c>
      <c r="AO43" s="16">
        <f t="shared" si="13"/>
        <v>2.4555968689800379E-5</v>
      </c>
      <c r="AP43" s="16">
        <f t="shared" si="14"/>
        <v>2.455596868980038</v>
      </c>
      <c r="AS43" s="16">
        <f t="shared" si="15"/>
        <v>4.9908781125328804E-6</v>
      </c>
      <c r="AT43" s="16">
        <f t="shared" si="16"/>
        <v>0.49</v>
      </c>
      <c r="AU43" s="16">
        <f t="shared" si="10"/>
        <v>2.7316311259181512E-5</v>
      </c>
      <c r="AV43" s="16">
        <f t="shared" si="17"/>
        <v>2.73</v>
      </c>
      <c r="BA43" s="16" t="s">
        <v>155</v>
      </c>
      <c r="BB43" s="16">
        <f>(BF20-BF31)/(BF32-BF21)</f>
        <v>8.9887889878617084</v>
      </c>
      <c r="BD43" s="16" t="str">
        <f>"e = "&amp;TRUNC(BB43,2)&amp;" cm."</f>
        <v>e = 8.98 cm.</v>
      </c>
      <c r="BP43" s="146" t="s">
        <v>75</v>
      </c>
      <c r="BQ43" s="146" t="s">
        <v>33</v>
      </c>
      <c r="BR43" s="146" t="s">
        <v>76</v>
      </c>
      <c r="BS43" s="146" t="s">
        <v>77</v>
      </c>
      <c r="BT43" s="147"/>
      <c r="BU43" s="147"/>
    </row>
    <row r="44" spans="1:73" ht="18.75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8" t="s">
        <v>176</v>
      </c>
      <c r="L44" s="129">
        <f>L43/0.92</f>
        <v>26894.950280202531</v>
      </c>
      <c r="M44" s="129"/>
      <c r="N44" s="134" t="s">
        <v>165</v>
      </c>
      <c r="O44" s="125"/>
      <c r="P44" s="125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27"/>
      <c r="AI44" s="16"/>
      <c r="AJ44" s="16"/>
      <c r="AL44" s="50">
        <f t="shared" si="18"/>
        <v>4.8316544151011884</v>
      </c>
      <c r="AM44" s="15">
        <f t="shared" si="9"/>
        <v>0</v>
      </c>
      <c r="AN44" s="16">
        <f t="shared" si="12"/>
        <v>0</v>
      </c>
      <c r="AO44" s="16">
        <f t="shared" si="13"/>
        <v>2.5402726230827972E-5</v>
      </c>
      <c r="AP44" s="16">
        <f t="shared" si="14"/>
        <v>2.5402726230827972</v>
      </c>
      <c r="AS44" s="16">
        <f t="shared" si="15"/>
        <v>0</v>
      </c>
      <c r="AT44" s="16">
        <f t="shared" si="16"/>
        <v>0</v>
      </c>
      <c r="AU44" s="16">
        <f t="shared" si="10"/>
        <v>2.825825302673949E-5</v>
      </c>
      <c r="AV44" s="16">
        <f t="shared" si="17"/>
        <v>2.82</v>
      </c>
      <c r="BP44" s="146" t="s">
        <v>78</v>
      </c>
      <c r="BQ44" s="148">
        <f>N23*N24*N24</f>
        <v>4.5</v>
      </c>
      <c r="BR44" s="148">
        <f>N22-BQ34</f>
        <v>1.982366905687051</v>
      </c>
      <c r="BS44" s="148">
        <f>BR44*BQ44</f>
        <v>8.9206510755917297</v>
      </c>
      <c r="BT44" s="149"/>
      <c r="BU44" s="149"/>
    </row>
    <row r="45" spans="1:73" ht="18.75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8" t="str" cm="1">
        <f t="array" ref="K45">"use the  "&amp;INDEX(Database!C14:C21,'I-Pile'!$E$26)&amp;"  &gt;&gt;  "</f>
        <v xml:space="preserve">use the  PC-Wire  4 mm.  Standard Propertie มอก. 95-2534  &gt;&gt;  </v>
      </c>
      <c r="L45" s="143">
        <f>ROUNDUP(L44/N28,0)</f>
        <v>21</v>
      </c>
      <c r="M45" s="143"/>
      <c r="N45" s="125"/>
      <c r="O45" s="125"/>
      <c r="P45" s="125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27"/>
      <c r="AI45" s="16"/>
      <c r="AJ45" s="16"/>
      <c r="AL45" s="50">
        <f t="shared" si="18"/>
        <v>5.1537647094412673</v>
      </c>
      <c r="AM45" s="15">
        <f t="shared" si="9"/>
        <v>4.9505648582602812E-6</v>
      </c>
      <c r="AN45" s="16">
        <f t="shared" si="12"/>
        <v>0.49</v>
      </c>
      <c r="AO45" s="16">
        <f t="shared" si="13"/>
        <v>2.6249483771855568E-5</v>
      </c>
      <c r="AP45" s="16">
        <f t="shared" si="14"/>
        <v>2.6249483771855568</v>
      </c>
      <c r="AS45" s="16">
        <f t="shared" si="15"/>
        <v>-4.9908781125328889E-6</v>
      </c>
      <c r="AT45" s="16">
        <f t="shared" si="16"/>
        <v>-0.49</v>
      </c>
      <c r="AU45" s="16">
        <f t="shared" si="10"/>
        <v>2.9200194794297468E-5</v>
      </c>
      <c r="AV45" s="16">
        <f t="shared" si="17"/>
        <v>2.92</v>
      </c>
      <c r="BD45" s="142" t="s">
        <v>156</v>
      </c>
      <c r="BP45" s="146" t="s">
        <v>79</v>
      </c>
      <c r="BQ45" s="148">
        <f>0.5*BQ32*$BS$21</f>
        <v>16.976716223003525</v>
      </c>
      <c r="BR45" s="148">
        <f>((N22-BQ32)/3)-BQ34</f>
        <v>-0.70589694832265959</v>
      </c>
      <c r="BS45" s="148">
        <f t="shared" ref="BS45" si="21">BR45*BQ45</f>
        <v>-11.983812174357976</v>
      </c>
      <c r="BT45" s="149"/>
      <c r="BU45" s="149"/>
    </row>
    <row r="46" spans="1:73" ht="18.75">
      <c r="AH46" s="16"/>
      <c r="AI46" s="16"/>
      <c r="AJ46" s="16"/>
      <c r="AL46" s="50">
        <f t="shared" si="18"/>
        <v>5.4758750037813462</v>
      </c>
      <c r="AM46" s="15">
        <f t="shared" ref="AM46:AM77" si="22">IF(AL46&lt;ABS($AL$14),0,($AJ$24*AL46-1)/(($AJ$22*$AJ$17)+($AJ$24*$AJ$26*100)))</f>
        <v>9.9011297165205625E-6</v>
      </c>
      <c r="AN46" s="16">
        <f t="shared" si="12"/>
        <v>0.99</v>
      </c>
      <c r="AO46" s="16">
        <f t="shared" si="13"/>
        <v>2.7096241312883171E-5</v>
      </c>
      <c r="AP46" s="16">
        <f t="shared" si="14"/>
        <v>2.7096241312883174</v>
      </c>
      <c r="AS46" s="16">
        <f t="shared" si="15"/>
        <v>-9.9817562250657778E-6</v>
      </c>
      <c r="AT46" s="16">
        <f t="shared" si="16"/>
        <v>-0.99</v>
      </c>
      <c r="AU46" s="16">
        <f t="shared" ref="AU46:AU63" si="23">($AJ$23*($AJ$24*AL46+1))/((-$AJ$22*$AJ$13)+($AJ$24*$AJ$14*100))</f>
        <v>3.0142136561855456E-5</v>
      </c>
      <c r="AV46" s="16">
        <f t="shared" si="17"/>
        <v>3.01</v>
      </c>
      <c r="BD46" s="142" t="s">
        <v>157</v>
      </c>
      <c r="BQ46" s="150"/>
      <c r="BR46" s="150" t="s">
        <v>80</v>
      </c>
      <c r="BS46" s="151">
        <f>SUM(BS44:BS45)</f>
        <v>-3.0631610987662459</v>
      </c>
    </row>
    <row r="47" spans="1:73">
      <c r="AH47" s="16"/>
      <c r="AI47" s="16"/>
      <c r="AJ47" s="16"/>
      <c r="AL47" s="50">
        <f t="shared" si="18"/>
        <v>5.797985298121425</v>
      </c>
      <c r="AM47" s="15">
        <f t="shared" si="22"/>
        <v>1.4851694574780826E-5</v>
      </c>
      <c r="AN47" s="16">
        <f t="shared" si="12"/>
        <v>1.48</v>
      </c>
      <c r="AO47" s="16">
        <f t="shared" si="13"/>
        <v>2.7942998853910768E-5</v>
      </c>
      <c r="AP47" s="16">
        <f t="shared" si="14"/>
        <v>2.794299885391077</v>
      </c>
      <c r="AS47" s="16">
        <f t="shared" si="15"/>
        <v>-1.497263433759865E-5</v>
      </c>
      <c r="AT47" s="16">
        <f t="shared" si="16"/>
        <v>-1.49</v>
      </c>
      <c r="AU47" s="16">
        <f t="shared" si="23"/>
        <v>3.1084078329413433E-5</v>
      </c>
      <c r="AV47" s="16">
        <f t="shared" si="17"/>
        <v>3.1</v>
      </c>
      <c r="BE47" s="16" t="s">
        <v>158</v>
      </c>
      <c r="BS47" s="17" t="str">
        <f>"Mmax = "&amp;TRUNC(ABS(BS46),2)&amp;" t-m."</f>
        <v>Mmax = 3.06 t-m.</v>
      </c>
    </row>
    <row r="48" spans="1:73">
      <c r="AL48" s="50">
        <f t="shared" si="18"/>
        <v>6.1200955924615039</v>
      </c>
      <c r="AM48" s="15">
        <f t="shared" si="22"/>
        <v>1.9802259433041108E-5</v>
      </c>
      <c r="AN48" s="16">
        <f t="shared" si="12"/>
        <v>1.98</v>
      </c>
      <c r="AO48" s="16">
        <f t="shared" si="13"/>
        <v>2.8789756394938368E-5</v>
      </c>
      <c r="AP48" s="16">
        <f t="shared" si="14"/>
        <v>2.8789756394938366</v>
      </c>
      <c r="AS48" s="16">
        <f t="shared" si="15"/>
        <v>-1.9963512450131539E-5</v>
      </c>
      <c r="AT48" s="16">
        <f t="shared" si="16"/>
        <v>-1.99</v>
      </c>
      <c r="AU48" s="16">
        <f t="shared" si="23"/>
        <v>3.2026020096971418E-5</v>
      </c>
      <c r="AV48" s="16">
        <f t="shared" si="17"/>
        <v>3.2</v>
      </c>
    </row>
    <row r="49" spans="38:48">
      <c r="AL49" s="50">
        <f t="shared" si="18"/>
        <v>6.4422058868015828</v>
      </c>
      <c r="AM49" s="15">
        <f t="shared" si="22"/>
        <v>2.4752824291301387E-5</v>
      </c>
      <c r="AN49" s="16">
        <f t="shared" si="12"/>
        <v>2.4700000000000002</v>
      </c>
      <c r="AO49" s="16">
        <f t="shared" si="13"/>
        <v>2.9636513935965964E-5</v>
      </c>
      <c r="AP49" s="16">
        <f t="shared" si="14"/>
        <v>2.9636513935965962</v>
      </c>
      <c r="AS49" s="16">
        <f t="shared" si="15"/>
        <v>-2.4954390562664429E-5</v>
      </c>
      <c r="AT49" s="16">
        <f t="shared" si="16"/>
        <v>-2.4900000000000002</v>
      </c>
      <c r="AU49" s="16">
        <f t="shared" si="23"/>
        <v>3.2967961864529402E-5</v>
      </c>
      <c r="AV49" s="16">
        <f t="shared" si="17"/>
        <v>3.29</v>
      </c>
    </row>
    <row r="50" spans="38:48">
      <c r="AL50" s="50">
        <f t="shared" si="18"/>
        <v>6.7643161811416617</v>
      </c>
      <c r="AM50" s="15">
        <f t="shared" si="22"/>
        <v>2.9703389149561652E-5</v>
      </c>
      <c r="AN50" s="16">
        <f t="shared" si="12"/>
        <v>2.97</v>
      </c>
      <c r="AO50" s="16">
        <f t="shared" si="13"/>
        <v>3.0483271476993561E-5</v>
      </c>
      <c r="AP50" s="16">
        <f t="shared" si="14"/>
        <v>3.0483271476993559</v>
      </c>
      <c r="AS50" s="16">
        <f t="shared" si="15"/>
        <v>-2.99452686751973E-5</v>
      </c>
      <c r="AT50" s="16">
        <f t="shared" si="16"/>
        <v>-2.99</v>
      </c>
      <c r="AU50" s="16">
        <f t="shared" si="23"/>
        <v>3.390990363208738E-5</v>
      </c>
      <c r="AV50" s="16">
        <f t="shared" si="17"/>
        <v>3.39</v>
      </c>
    </row>
    <row r="51" spans="38:48">
      <c r="AL51" s="50">
        <f t="shared" si="18"/>
        <v>7.0864264754817405</v>
      </c>
      <c r="AM51" s="15">
        <f t="shared" si="22"/>
        <v>3.4653954007821934E-5</v>
      </c>
      <c r="AN51" s="16">
        <f t="shared" si="12"/>
        <v>3.46</v>
      </c>
      <c r="AO51" s="16">
        <f t="shared" si="13"/>
        <v>3.133002901802116E-5</v>
      </c>
      <c r="AP51" s="16">
        <f t="shared" si="14"/>
        <v>3.1330029018021159</v>
      </c>
      <c r="AS51" s="16">
        <f t="shared" si="15"/>
        <v>-3.493614678773019E-5</v>
      </c>
      <c r="AT51" s="16">
        <f t="shared" si="16"/>
        <v>-3.49</v>
      </c>
      <c r="AU51" s="16">
        <f t="shared" si="23"/>
        <v>3.4851845399645358E-5</v>
      </c>
      <c r="AV51" s="16">
        <f t="shared" si="17"/>
        <v>3.48</v>
      </c>
    </row>
    <row r="52" spans="38:48">
      <c r="AL52" s="50">
        <f t="shared" si="18"/>
        <v>7.4085367698218194</v>
      </c>
      <c r="AM52" s="15">
        <f t="shared" si="22"/>
        <v>3.9604518866082216E-5</v>
      </c>
      <c r="AN52" s="16">
        <f t="shared" si="12"/>
        <v>3.96</v>
      </c>
      <c r="AO52" s="16">
        <f t="shared" si="13"/>
        <v>3.217678655904876E-5</v>
      </c>
      <c r="AP52" s="16">
        <f t="shared" si="14"/>
        <v>3.217678655904876</v>
      </c>
      <c r="AS52" s="16">
        <f t="shared" si="15"/>
        <v>-3.9927024900263077E-5</v>
      </c>
      <c r="AT52" s="16">
        <f t="shared" si="16"/>
        <v>-3.99</v>
      </c>
      <c r="AU52" s="16">
        <f t="shared" si="23"/>
        <v>3.5793787167203349E-5</v>
      </c>
      <c r="AV52" s="16">
        <f t="shared" si="17"/>
        <v>3.57</v>
      </c>
    </row>
    <row r="53" spans="38:48">
      <c r="AL53" s="50">
        <f t="shared" si="18"/>
        <v>7.7306470641618983</v>
      </c>
      <c r="AM53" s="15">
        <f t="shared" si="22"/>
        <v>4.4555083724342491E-5</v>
      </c>
      <c r="AN53" s="16">
        <f t="shared" si="12"/>
        <v>4.45</v>
      </c>
      <c r="AO53" s="16">
        <f t="shared" si="13"/>
        <v>3.302354410007636E-5</v>
      </c>
      <c r="AP53" s="16">
        <f t="shared" si="14"/>
        <v>3.3023544100076361</v>
      </c>
      <c r="AS53" s="16">
        <f t="shared" si="15"/>
        <v>-4.4917903012795965E-5</v>
      </c>
      <c r="AT53" s="16">
        <f t="shared" si="16"/>
        <v>-4.49</v>
      </c>
      <c r="AU53" s="16">
        <f t="shared" si="23"/>
        <v>3.6735728934761333E-5</v>
      </c>
      <c r="AV53" s="16">
        <f t="shared" si="17"/>
        <v>3.67</v>
      </c>
    </row>
    <row r="54" spans="38:48">
      <c r="AL54" s="50">
        <f t="shared" si="18"/>
        <v>8.052757358501978</v>
      </c>
      <c r="AM54" s="15">
        <f t="shared" si="22"/>
        <v>4.9505648582602773E-5</v>
      </c>
      <c r="AN54" s="16">
        <f t="shared" si="12"/>
        <v>4.95</v>
      </c>
      <c r="AO54" s="16">
        <f t="shared" si="13"/>
        <v>3.387030164110396E-5</v>
      </c>
      <c r="AP54" s="16">
        <f t="shared" si="14"/>
        <v>3.3870301641103961</v>
      </c>
      <c r="AS54" s="16">
        <f t="shared" si="15"/>
        <v>-4.9908781125328859E-5</v>
      </c>
      <c r="AT54" s="16">
        <f t="shared" si="16"/>
        <v>-4.99</v>
      </c>
      <c r="AU54" s="16">
        <f t="shared" si="23"/>
        <v>3.7677670702319311E-5</v>
      </c>
      <c r="AV54" s="16">
        <f t="shared" si="17"/>
        <v>3.76</v>
      </c>
    </row>
    <row r="55" spans="38:48">
      <c r="AL55" s="50">
        <f t="shared" si="18"/>
        <v>8.3748676528420578</v>
      </c>
      <c r="AM55" s="15">
        <f t="shared" si="22"/>
        <v>5.4456213440863076E-5</v>
      </c>
      <c r="AN55" s="16">
        <f t="shared" si="12"/>
        <v>5.44</v>
      </c>
      <c r="AO55" s="16">
        <f t="shared" si="13"/>
        <v>3.471705918213156E-5</v>
      </c>
      <c r="AP55" s="16">
        <f t="shared" si="14"/>
        <v>3.4717059182131558</v>
      </c>
      <c r="AS55" s="16">
        <f t="shared" si="15"/>
        <v>-5.4899659237861759E-5</v>
      </c>
      <c r="AT55" s="16">
        <f t="shared" si="16"/>
        <v>-5.48</v>
      </c>
      <c r="AU55" s="16">
        <f t="shared" si="23"/>
        <v>3.8619612469877295E-5</v>
      </c>
      <c r="AV55" s="16">
        <f t="shared" si="17"/>
        <v>3.86</v>
      </c>
    </row>
    <row r="56" spans="38:48">
      <c r="AL56" s="50">
        <f t="shared" si="18"/>
        <v>8.6969779471821376</v>
      </c>
      <c r="AM56" s="15">
        <f t="shared" si="22"/>
        <v>5.9406778299123351E-5</v>
      </c>
      <c r="AN56" s="16">
        <f t="shared" si="12"/>
        <v>5.94</v>
      </c>
      <c r="AO56" s="16">
        <f t="shared" si="13"/>
        <v>3.556381672315916E-5</v>
      </c>
      <c r="AP56" s="16">
        <f t="shared" si="14"/>
        <v>3.5563816723159158</v>
      </c>
      <c r="AS56" s="16">
        <f t="shared" si="15"/>
        <v>-5.9890537350394647E-5</v>
      </c>
      <c r="AT56" s="16">
        <f t="shared" si="16"/>
        <v>-5.98</v>
      </c>
      <c r="AU56" s="16">
        <f t="shared" si="23"/>
        <v>3.9561554237435287E-5</v>
      </c>
      <c r="AV56" s="16">
        <f t="shared" si="17"/>
        <v>3.95</v>
      </c>
    </row>
    <row r="57" spans="38:48">
      <c r="AL57" s="50">
        <f t="shared" si="18"/>
        <v>9.0190882415222173</v>
      </c>
      <c r="AM57" s="15">
        <f t="shared" si="22"/>
        <v>6.4357343157383647E-5</v>
      </c>
      <c r="AN57" s="16">
        <f t="shared" si="12"/>
        <v>6.43</v>
      </c>
      <c r="AO57" s="16">
        <f t="shared" si="13"/>
        <v>3.641057426418676E-5</v>
      </c>
      <c r="AP57" s="16">
        <f t="shared" si="14"/>
        <v>3.6410574264186759</v>
      </c>
      <c r="AS57" s="16">
        <f t="shared" si="15"/>
        <v>-6.4881415462927561E-5</v>
      </c>
      <c r="AT57" s="16">
        <f t="shared" si="16"/>
        <v>-6.48</v>
      </c>
      <c r="AU57" s="16">
        <f t="shared" si="23"/>
        <v>4.0503496004993258E-5</v>
      </c>
      <c r="AV57" s="16">
        <f t="shared" si="17"/>
        <v>4.05</v>
      </c>
    </row>
    <row r="58" spans="38:48">
      <c r="AL58" s="50">
        <f t="shared" si="18"/>
        <v>9.3411985358622971</v>
      </c>
      <c r="AM58" s="15">
        <f t="shared" si="22"/>
        <v>6.9307908015643949E-5</v>
      </c>
      <c r="AN58" s="16">
        <f t="shared" si="12"/>
        <v>6.93</v>
      </c>
      <c r="AO58" s="16">
        <f t="shared" si="13"/>
        <v>3.7257331805214366E-5</v>
      </c>
      <c r="AP58" s="16">
        <f t="shared" si="14"/>
        <v>3.7257331805214364</v>
      </c>
      <c r="AS58" s="16">
        <f t="shared" si="15"/>
        <v>-6.9872293575460462E-5</v>
      </c>
      <c r="AT58" s="16">
        <f t="shared" si="16"/>
        <v>-6.98</v>
      </c>
      <c r="AU58" s="16">
        <f t="shared" si="23"/>
        <v>4.1445437772551256E-5</v>
      </c>
      <c r="AV58" s="16">
        <f t="shared" si="17"/>
        <v>4.1399999999999997</v>
      </c>
    </row>
    <row r="59" spans="38:48">
      <c r="AL59" s="50">
        <f t="shared" si="18"/>
        <v>9.6633088302023769</v>
      </c>
      <c r="AM59" s="15">
        <f t="shared" si="22"/>
        <v>7.4258472873904225E-5</v>
      </c>
      <c r="AN59" s="16">
        <f t="shared" si="12"/>
        <v>7.42</v>
      </c>
      <c r="AO59" s="16">
        <f t="shared" si="13"/>
        <v>3.8104089346241959E-5</v>
      </c>
      <c r="AP59" s="16">
        <f t="shared" si="14"/>
        <v>3.8104089346241961</v>
      </c>
      <c r="AS59" s="16">
        <f t="shared" si="15"/>
        <v>-7.4863171687993349E-5</v>
      </c>
      <c r="AT59" s="16">
        <f t="shared" si="16"/>
        <v>-7.48</v>
      </c>
      <c r="AU59" s="16">
        <f t="shared" si="23"/>
        <v>4.2387379540109233E-5</v>
      </c>
      <c r="AV59" s="16">
        <f t="shared" si="17"/>
        <v>4.2300000000000004</v>
      </c>
    </row>
    <row r="60" spans="38:48">
      <c r="AL60" s="50">
        <f t="shared" si="18"/>
        <v>9.9854191245424566</v>
      </c>
      <c r="AM60" s="15">
        <f t="shared" si="22"/>
        <v>7.9209037732164527E-5</v>
      </c>
      <c r="AN60" s="16">
        <f t="shared" si="12"/>
        <v>7.92</v>
      </c>
      <c r="AO60" s="16">
        <f t="shared" si="13"/>
        <v>3.8950846887269559E-5</v>
      </c>
      <c r="AP60" s="16">
        <f t="shared" si="14"/>
        <v>3.8950846887269561</v>
      </c>
      <c r="AS60" s="16">
        <f t="shared" si="15"/>
        <v>-7.9854049800526263E-5</v>
      </c>
      <c r="AT60" s="16">
        <f t="shared" si="16"/>
        <v>-7.98</v>
      </c>
      <c r="AU60" s="16">
        <f t="shared" si="23"/>
        <v>4.3329321307667225E-5</v>
      </c>
      <c r="AV60" s="16">
        <f t="shared" si="17"/>
        <v>4.33</v>
      </c>
    </row>
    <row r="61" spans="38:48">
      <c r="AL61" s="50">
        <f t="shared" si="18"/>
        <v>10.307529418882536</v>
      </c>
      <c r="AM61" s="15">
        <f t="shared" si="22"/>
        <v>8.4159602590424829E-5</v>
      </c>
      <c r="AN61" s="16">
        <f t="shared" si="12"/>
        <v>8.41</v>
      </c>
      <c r="AO61" s="16">
        <f t="shared" si="13"/>
        <v>3.9797604428297166E-5</v>
      </c>
      <c r="AP61" s="16">
        <f t="shared" si="14"/>
        <v>3.9797604428297166</v>
      </c>
      <c r="AS61" s="16">
        <f t="shared" si="15"/>
        <v>-8.4844927913059164E-5</v>
      </c>
      <c r="AT61" s="16">
        <f t="shared" si="16"/>
        <v>-8.48</v>
      </c>
      <c r="AU61" s="16">
        <f t="shared" si="23"/>
        <v>4.4271263075225209E-5</v>
      </c>
      <c r="AV61" s="16">
        <f t="shared" si="17"/>
        <v>4.42</v>
      </c>
    </row>
    <row r="62" spans="38:48">
      <c r="AL62" s="50">
        <f t="shared" si="18"/>
        <v>10.629639713222616</v>
      </c>
      <c r="AM62" s="15">
        <f t="shared" si="22"/>
        <v>8.9110167448685091E-5</v>
      </c>
      <c r="AN62" s="16">
        <f t="shared" si="12"/>
        <v>8.91</v>
      </c>
      <c r="AO62" s="16">
        <f t="shared" si="13"/>
        <v>4.0644361969324759E-5</v>
      </c>
      <c r="AP62" s="16">
        <f t="shared" si="14"/>
        <v>4.0644361969324763</v>
      </c>
      <c r="AS62" s="16">
        <f t="shared" si="15"/>
        <v>-8.9835806025592038E-5</v>
      </c>
      <c r="AT62" s="16">
        <f t="shared" si="16"/>
        <v>-8.98</v>
      </c>
      <c r="AU62" s="16">
        <f t="shared" si="23"/>
        <v>4.5213204842783187E-5</v>
      </c>
      <c r="AV62" s="16">
        <f t="shared" si="17"/>
        <v>4.5199999999999996</v>
      </c>
    </row>
    <row r="63" spans="38:48">
      <c r="AL63" s="50">
        <f t="shared" si="18"/>
        <v>10.951750007562696</v>
      </c>
      <c r="AM63" s="15">
        <f t="shared" si="22"/>
        <v>9.406073230694538E-5</v>
      </c>
      <c r="AN63" s="16">
        <f t="shared" si="12"/>
        <v>9.4</v>
      </c>
      <c r="AO63" s="16">
        <f t="shared" si="13"/>
        <v>4.1491119510352359E-5</v>
      </c>
      <c r="AP63" s="16">
        <f t="shared" si="14"/>
        <v>4.1491119510352359</v>
      </c>
      <c r="AS63" s="16">
        <f t="shared" si="15"/>
        <v>-9.4826684138124939E-5</v>
      </c>
      <c r="AT63" s="16">
        <f t="shared" si="16"/>
        <v>-9.48</v>
      </c>
      <c r="AU63" s="16">
        <f t="shared" si="23"/>
        <v>4.6155146610341171E-5</v>
      </c>
      <c r="AV63" s="16">
        <f t="shared" si="17"/>
        <v>4.6100000000000003</v>
      </c>
    </row>
  </sheetData>
  <sheetProtection algorithmName="SHA-512" hashValue="/f2Of9Th0NohOZ6qf86rR1ynVcO852vsr1FRst81qOZJO5JkPaaZhwhhRPd2j7gj94VUVeGHh1DLbGfg5Mvcyg==" saltValue="YUz5gAgZTi236WHfqncZVQ==" spinCount="100000" sheet="1" objects="1" scenarios="1"/>
  <mergeCells count="69">
    <mergeCell ref="D10:E10"/>
    <mergeCell ref="B24:C24"/>
    <mergeCell ref="A14:B14"/>
    <mergeCell ref="D18:E18"/>
    <mergeCell ref="G20:H20"/>
    <mergeCell ref="G21:H21"/>
    <mergeCell ref="D21:F21"/>
    <mergeCell ref="B21:C21"/>
    <mergeCell ref="G22:H22"/>
    <mergeCell ref="D22:F22"/>
    <mergeCell ref="B22:C22"/>
    <mergeCell ref="F12:G13"/>
    <mergeCell ref="F14:G14"/>
    <mergeCell ref="B23:C23"/>
    <mergeCell ref="G23:H23"/>
    <mergeCell ref="G24:H24"/>
    <mergeCell ref="BO9:BO10"/>
    <mergeCell ref="N20:O20"/>
    <mergeCell ref="N21:O21"/>
    <mergeCell ref="AM12:AN12"/>
    <mergeCell ref="AO12:AP12"/>
    <mergeCell ref="AQ12:AR12"/>
    <mergeCell ref="AS12:AT12"/>
    <mergeCell ref="AU12:AV12"/>
    <mergeCell ref="U21:X21"/>
    <mergeCell ref="U20:X20"/>
    <mergeCell ref="BP42:BQ42"/>
    <mergeCell ref="BR42:BS42"/>
    <mergeCell ref="BT42:BU42"/>
    <mergeCell ref="N22:O22"/>
    <mergeCell ref="N23:O23"/>
    <mergeCell ref="N24:O24"/>
    <mergeCell ref="N25:O25"/>
    <mergeCell ref="N31:O31"/>
    <mergeCell ref="N27:O27"/>
    <mergeCell ref="N28:O28"/>
    <mergeCell ref="M29:O29"/>
    <mergeCell ref="U22:X22"/>
    <mergeCell ref="F15:G16"/>
    <mergeCell ref="B25:C25"/>
    <mergeCell ref="G25:H25"/>
    <mergeCell ref="N32:O32"/>
    <mergeCell ref="L36:L37"/>
    <mergeCell ref="J36:K36"/>
    <mergeCell ref="J37:K37"/>
    <mergeCell ref="I36:I37"/>
    <mergeCell ref="M36:P36"/>
    <mergeCell ref="M37:P37"/>
    <mergeCell ref="N34:O34"/>
    <mergeCell ref="I27:J27"/>
    <mergeCell ref="I28:J28"/>
    <mergeCell ref="L27:M27"/>
    <mergeCell ref="L28:M28"/>
    <mergeCell ref="L45:M45"/>
    <mergeCell ref="L1:P1"/>
    <mergeCell ref="L2:P2"/>
    <mergeCell ref="L3:P3"/>
    <mergeCell ref="K41:K42"/>
    <mergeCell ref="L41:P41"/>
    <mergeCell ref="L42:P42"/>
    <mergeCell ref="L43:M43"/>
    <mergeCell ref="A5:P5"/>
    <mergeCell ref="A6:P7"/>
    <mergeCell ref="H41:J42"/>
    <mergeCell ref="L44:M44"/>
    <mergeCell ref="N39:P39"/>
    <mergeCell ref="M38:O38"/>
    <mergeCell ref="N35:O35"/>
    <mergeCell ref="K39:M39"/>
  </mergeCells>
  <phoneticPr fontId="3" type="noConversion"/>
  <conditionalFormatting sqref="N39:P39">
    <cfRule type="containsText" dxfId="0" priority="1" operator="containsText" text="Not Pass">
      <formula>NOT(ISERROR(SEARCH("Not Pass",N39)))</formula>
    </cfRule>
  </conditionalFormatting>
  <printOptions horizontalCentered="1"/>
  <pageMargins left="0" right="0" top="0.25" bottom="0" header="0" footer="0"/>
  <pageSetup paperSize="9" scale="109" orientation="portrait" r:id="rId1"/>
  <colBreaks count="1" manualBreakCount="1"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locked="0" defaultSize="0" autoLine="0" autoPict="0">
                <anchor moveWithCells="1">
                  <from>
                    <xdr:col>4</xdr:col>
                    <xdr:colOff>19050</xdr:colOff>
                    <xdr:row>25</xdr:row>
                    <xdr:rowOff>19050</xdr:rowOff>
                  </from>
                  <to>
                    <xdr:col>11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5" name="Drop Down 1">
              <controlPr locked="0" defaultSize="0" autoLine="0" autoPict="0">
                <anchor moveWithCells="1">
                  <from>
                    <xdr:col>0</xdr:col>
                    <xdr:colOff>19050</xdr:colOff>
                    <xdr:row>19</xdr:row>
                    <xdr:rowOff>0</xdr:rowOff>
                  </from>
                  <to>
                    <xdr:col>4</xdr:col>
                    <xdr:colOff>123825</xdr:colOff>
                    <xdr:row>19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099A7-F8E8-4C09-9CC1-3136D9C621A4}">
  <sheetPr>
    <tabColor theme="1" tint="0.14999847407452621"/>
  </sheetPr>
  <dimension ref="C4:O21"/>
  <sheetViews>
    <sheetView workbookViewId="0">
      <selection activeCell="K17" sqref="K17"/>
    </sheetView>
  </sheetViews>
  <sheetFormatPr defaultRowHeight="24"/>
  <cols>
    <col min="1" max="2" width="9" style="1"/>
    <col min="3" max="3" width="41.625" style="1" customWidth="1"/>
    <col min="4" max="5" width="9" style="1"/>
    <col min="6" max="6" width="14" style="1" customWidth="1"/>
    <col min="7" max="7" width="17" style="1" customWidth="1"/>
    <col min="8" max="11" width="9" style="1"/>
    <col min="12" max="12" width="14.375" style="1" bestFit="1" customWidth="1"/>
    <col min="13" max="13" width="14.75" style="1" bestFit="1" customWidth="1"/>
    <col min="14" max="14" width="12" style="1" bestFit="1" customWidth="1"/>
    <col min="15" max="16384" width="9" style="1"/>
  </cols>
  <sheetData>
    <row r="4" spans="3:15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3" t="s">
        <v>7</v>
      </c>
      <c r="K4" s="2" t="s">
        <v>8</v>
      </c>
      <c r="L4" s="3" t="s">
        <v>9</v>
      </c>
      <c r="M4" s="3" t="s">
        <v>10</v>
      </c>
      <c r="N4" s="3" t="s">
        <v>11</v>
      </c>
    </row>
    <row r="5" spans="3:15">
      <c r="C5" s="2" t="s">
        <v>12</v>
      </c>
      <c r="D5" s="2" t="s">
        <v>13</v>
      </c>
      <c r="E5" s="2" t="s">
        <v>13</v>
      </c>
      <c r="F5" s="2" t="s">
        <v>13</v>
      </c>
      <c r="G5" s="2" t="s">
        <v>14</v>
      </c>
      <c r="H5" s="2" t="s">
        <v>13</v>
      </c>
      <c r="I5" s="2" t="s">
        <v>13</v>
      </c>
      <c r="J5" s="3" t="s">
        <v>15</v>
      </c>
      <c r="K5" s="2" t="s">
        <v>16</v>
      </c>
      <c r="L5" s="2" t="s">
        <v>17</v>
      </c>
      <c r="M5" s="3" t="s">
        <v>115</v>
      </c>
      <c r="N5" s="3" t="s">
        <v>18</v>
      </c>
    </row>
    <row r="6" spans="3:15">
      <c r="C6" s="3" t="s">
        <v>19</v>
      </c>
      <c r="D6" s="4">
        <v>18</v>
      </c>
      <c r="E6" s="4">
        <v>18</v>
      </c>
      <c r="F6" s="5">
        <v>1.5</v>
      </c>
      <c r="G6" s="6">
        <v>6</v>
      </c>
      <c r="H6" s="6">
        <v>3</v>
      </c>
      <c r="I6" s="6">
        <v>7</v>
      </c>
      <c r="J6" s="6">
        <v>258.8</v>
      </c>
      <c r="K6" s="6">
        <v>89</v>
      </c>
      <c r="L6" s="7">
        <f>(D6*E6^3)/12</f>
        <v>8748</v>
      </c>
      <c r="M6" s="7">
        <f>L6/(D6/2)</f>
        <v>972</v>
      </c>
      <c r="N6" s="8">
        <f t="shared" ref="N6:N11" si="0">J6*2400/10000</f>
        <v>62.112000000000002</v>
      </c>
      <c r="O6" s="1">
        <f>(D6*E6^3)/12</f>
        <v>8748</v>
      </c>
    </row>
    <row r="7" spans="3:15">
      <c r="C7" s="3" t="s">
        <v>20</v>
      </c>
      <c r="D7" s="4">
        <v>22</v>
      </c>
      <c r="E7" s="4">
        <v>22</v>
      </c>
      <c r="F7" s="5">
        <v>1.5</v>
      </c>
      <c r="G7" s="6">
        <v>6.5</v>
      </c>
      <c r="H7" s="6">
        <v>5</v>
      </c>
      <c r="I7" s="6">
        <v>8</v>
      </c>
      <c r="J7" s="6">
        <v>367.3</v>
      </c>
      <c r="K7" s="6">
        <v>109</v>
      </c>
      <c r="L7" s="7">
        <f t="shared" ref="L7:L11" si="1">(D7*E7^3)/12</f>
        <v>19521.333333333332</v>
      </c>
      <c r="M7" s="7">
        <f t="shared" ref="M7:M11" si="2">L7/(D7/2)</f>
        <v>1774.6666666666665</v>
      </c>
      <c r="N7" s="8">
        <f t="shared" si="0"/>
        <v>88.152000000000001</v>
      </c>
      <c r="O7" s="1">
        <f t="shared" ref="O7:O11" si="3">(D7*E7^3)/12</f>
        <v>19521.333333333332</v>
      </c>
    </row>
    <row r="8" spans="3:15">
      <c r="C8" s="3" t="s">
        <v>21</v>
      </c>
      <c r="D8" s="4">
        <v>26</v>
      </c>
      <c r="E8" s="4">
        <v>26</v>
      </c>
      <c r="F8" s="5">
        <v>1.5</v>
      </c>
      <c r="G8" s="6">
        <v>65</v>
      </c>
      <c r="H8" s="6">
        <v>90</v>
      </c>
      <c r="I8" s="6">
        <v>90</v>
      </c>
      <c r="J8" s="6">
        <v>467.3</v>
      </c>
      <c r="K8" s="6">
        <v>131</v>
      </c>
      <c r="L8" s="7">
        <f t="shared" si="1"/>
        <v>38081.333333333336</v>
      </c>
      <c r="M8" s="7">
        <f t="shared" si="2"/>
        <v>2929.3333333333335</v>
      </c>
      <c r="N8" s="8">
        <f t="shared" si="0"/>
        <v>112.152</v>
      </c>
      <c r="O8" s="1">
        <f t="shared" si="3"/>
        <v>38081.333333333336</v>
      </c>
    </row>
    <row r="9" spans="3:15">
      <c r="C9" s="3" t="s">
        <v>22</v>
      </c>
      <c r="D9" s="4">
        <v>30</v>
      </c>
      <c r="E9" s="4">
        <v>30</v>
      </c>
      <c r="F9" s="5">
        <v>1.5</v>
      </c>
      <c r="G9" s="6">
        <v>75</v>
      </c>
      <c r="H9" s="6">
        <v>90</v>
      </c>
      <c r="I9" s="6">
        <v>100</v>
      </c>
      <c r="J9" s="6">
        <v>635.29999999999995</v>
      </c>
      <c r="K9" s="6">
        <v>150</v>
      </c>
      <c r="L9" s="7">
        <f t="shared" si="1"/>
        <v>67500</v>
      </c>
      <c r="M9" s="7">
        <f t="shared" si="2"/>
        <v>4500</v>
      </c>
      <c r="N9" s="8">
        <f t="shared" si="0"/>
        <v>152.47200000000001</v>
      </c>
      <c r="O9" s="1">
        <f t="shared" si="3"/>
        <v>67500</v>
      </c>
    </row>
    <row r="10" spans="3:15">
      <c r="C10" s="3" t="s">
        <v>23</v>
      </c>
      <c r="D10" s="4">
        <v>35</v>
      </c>
      <c r="E10" s="4">
        <v>35</v>
      </c>
      <c r="F10" s="5">
        <v>1.5</v>
      </c>
      <c r="G10" s="6">
        <v>85</v>
      </c>
      <c r="H10" s="6">
        <v>120</v>
      </c>
      <c r="I10" s="6">
        <v>120</v>
      </c>
      <c r="J10" s="6">
        <v>851.5</v>
      </c>
      <c r="K10" s="6">
        <v>176</v>
      </c>
      <c r="L10" s="7">
        <f t="shared" si="1"/>
        <v>125052.08333333333</v>
      </c>
      <c r="M10" s="7">
        <f t="shared" si="2"/>
        <v>7145.833333333333</v>
      </c>
      <c r="N10" s="8">
        <f t="shared" si="0"/>
        <v>204.36</v>
      </c>
      <c r="O10" s="1">
        <f t="shared" si="3"/>
        <v>125052.08333333333</v>
      </c>
    </row>
    <row r="11" spans="3:15">
      <c r="C11" s="3" t="s">
        <v>24</v>
      </c>
      <c r="D11" s="4">
        <v>40</v>
      </c>
      <c r="E11" s="4">
        <v>40</v>
      </c>
      <c r="F11" s="5">
        <v>1.5</v>
      </c>
      <c r="G11" s="6">
        <v>110</v>
      </c>
      <c r="H11" s="6">
        <v>120</v>
      </c>
      <c r="I11" s="6">
        <v>160</v>
      </c>
      <c r="J11" s="6">
        <v>1207.8</v>
      </c>
      <c r="K11" s="6">
        <v>197</v>
      </c>
      <c r="L11" s="7">
        <f t="shared" si="1"/>
        <v>213333.33333333334</v>
      </c>
      <c r="M11" s="7">
        <f t="shared" si="2"/>
        <v>10666.666666666668</v>
      </c>
      <c r="N11" s="8">
        <f t="shared" si="0"/>
        <v>289.87200000000001</v>
      </c>
      <c r="O11" s="1">
        <f t="shared" si="3"/>
        <v>213333.33333333334</v>
      </c>
    </row>
    <row r="13" spans="3:15" ht="27">
      <c r="C13" s="3"/>
      <c r="D13" s="2" t="s">
        <v>59</v>
      </c>
      <c r="E13" s="3" t="s">
        <v>60</v>
      </c>
      <c r="F13" s="3" t="s">
        <v>61</v>
      </c>
      <c r="G13" s="3" t="s">
        <v>62</v>
      </c>
    </row>
    <row r="14" spans="3:15">
      <c r="C14" s="3" t="s">
        <v>55</v>
      </c>
      <c r="D14" s="9">
        <v>4</v>
      </c>
      <c r="E14" s="2">
        <v>12.57</v>
      </c>
      <c r="F14" s="10">
        <v>15000</v>
      </c>
      <c r="G14" s="10">
        <v>17500</v>
      </c>
    </row>
    <row r="15" spans="3:15">
      <c r="C15" s="3" t="s">
        <v>56</v>
      </c>
      <c r="D15" s="9">
        <v>5</v>
      </c>
      <c r="E15" s="2">
        <v>19.64</v>
      </c>
      <c r="F15" s="10">
        <v>15000</v>
      </c>
      <c r="G15" s="10">
        <v>17500</v>
      </c>
    </row>
    <row r="16" spans="3:15">
      <c r="C16" s="3" t="s">
        <v>57</v>
      </c>
      <c r="D16" s="9">
        <v>7</v>
      </c>
      <c r="E16" s="2">
        <v>38.479999999999997</v>
      </c>
      <c r="F16" s="10">
        <v>13500</v>
      </c>
      <c r="G16" s="10">
        <v>16000</v>
      </c>
    </row>
    <row r="17" spans="3:7">
      <c r="C17" s="3" t="s">
        <v>58</v>
      </c>
      <c r="D17" s="9">
        <v>9</v>
      </c>
      <c r="E17" s="2">
        <v>63.62</v>
      </c>
      <c r="F17" s="10">
        <v>12500</v>
      </c>
      <c r="G17" s="10">
        <v>14500</v>
      </c>
    </row>
    <row r="18" spans="3:7">
      <c r="C18" s="3" t="s">
        <v>63</v>
      </c>
      <c r="D18" s="10">
        <v>4.88</v>
      </c>
      <c r="E18" s="10">
        <v>18.7</v>
      </c>
      <c r="F18" s="10">
        <v>14060</v>
      </c>
      <c r="G18" s="10">
        <v>17580</v>
      </c>
    </row>
    <row r="19" spans="3:7">
      <c r="C19" s="3" t="s">
        <v>64</v>
      </c>
      <c r="D19" s="10">
        <v>4.9800000000000004</v>
      </c>
      <c r="E19" s="10">
        <v>19.48</v>
      </c>
      <c r="F19" s="10">
        <v>14060</v>
      </c>
      <c r="G19" s="10">
        <v>17580</v>
      </c>
    </row>
    <row r="20" spans="3:7">
      <c r="C20" s="3" t="s">
        <v>65</v>
      </c>
      <c r="D20" s="10">
        <v>6.35</v>
      </c>
      <c r="E20" s="10">
        <v>31.67</v>
      </c>
      <c r="F20" s="10">
        <v>13500</v>
      </c>
      <c r="G20" s="10">
        <v>16870</v>
      </c>
    </row>
    <row r="21" spans="3:7">
      <c r="C21" s="3" t="s">
        <v>66</v>
      </c>
      <c r="D21" s="10">
        <v>7.01</v>
      </c>
      <c r="E21" s="10">
        <v>38.590000000000003</v>
      </c>
      <c r="F21" s="10">
        <v>13220</v>
      </c>
      <c r="G21" s="10">
        <v>16520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I-Pile</vt:lpstr>
      <vt:lpstr>Database</vt:lpstr>
      <vt:lpstr>'I-Pile'!Print_Area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 msc</dc:creator>
  <cp:lastModifiedBy>msc msc</cp:lastModifiedBy>
  <cp:lastPrinted>2024-01-31T15:56:30Z</cp:lastPrinted>
  <dcterms:created xsi:type="dcterms:W3CDTF">2024-01-29T15:19:52Z</dcterms:created>
  <dcterms:modified xsi:type="dcterms:W3CDTF">2024-02-05T14:49:14Z</dcterms:modified>
</cp:coreProperties>
</file>