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240" yWindow="75" windowWidth="20055" windowHeight="7935"/>
  </bookViews>
  <sheets>
    <sheet name="ข้อมูลสะพาน" sheetId="11" r:id="rId1"/>
    <sheet name="แบบมีเข็มมีทางเท้า" sheetId="6" r:id="rId2"/>
    <sheet name="แบบมีเข็มไม่มีทางเท้า" sheetId="10" r:id="rId3"/>
    <sheet name="แบบฐานแผ่มีทางเท้า" sheetId="7" r:id="rId4"/>
    <sheet name="แบบฐานแผ่ไม่มีทางเท้า" sheetId="9" r:id="rId5"/>
    <sheet name="Sheet2" sheetId="8" r:id="rId6"/>
  </sheets>
  <externalReferences>
    <externalReference r:id="rId7"/>
  </externalReferences>
  <definedNames>
    <definedName name="_xlnm.Print_Area" localSheetId="3">แบบฐานแผ่มีทางเท้า!$A$140:$R$185</definedName>
    <definedName name="_xlnm.Print_Area" localSheetId="4">แบบฐานแผ่ไม่มีทางเท้า!$A$141:$S$191</definedName>
    <definedName name="_xlnm.Print_Area" localSheetId="1">แบบมีเข็มมีทางเท้า!$A$1:$R$110</definedName>
    <definedName name="_xlnm.Print_Area" localSheetId="2">แบบมีเข็มไม่มีทางเท้า!$A$1:$R$113</definedName>
    <definedName name="เข็มริม">[1]ค่างานต้นทุน!$K$31</definedName>
    <definedName name="นาม1" localSheetId="3">#REF!</definedName>
    <definedName name="นาม1" localSheetId="4">#REF!</definedName>
    <definedName name="นาม1" localSheetId="2">#REF!</definedName>
    <definedName name="นาม1">#REF!</definedName>
    <definedName name="รวม1" localSheetId="3">#REF!</definedName>
    <definedName name="รวม1" localSheetId="4">#REF!</definedName>
    <definedName name="รวม1" localSheetId="2">#REF!</definedName>
    <definedName name="รวม1">#REF!</definedName>
    <definedName name="รวม2" localSheetId="3">#REF!</definedName>
    <definedName name="รวม2" localSheetId="4">#REF!</definedName>
    <definedName name="รวม2" localSheetId="2">#REF!</definedName>
    <definedName name="รวม2">#REF!</definedName>
    <definedName name="รวม3" localSheetId="3">#REF!</definedName>
    <definedName name="รวม3" localSheetId="4">#REF!</definedName>
    <definedName name="รวม3" localSheetId="2">#REF!</definedName>
    <definedName name="รวม3">#REF!</definedName>
    <definedName name="รวม4" localSheetId="3">#REF!</definedName>
    <definedName name="รวม4" localSheetId="4">#REF!</definedName>
    <definedName name="รวม4" localSheetId="2">#REF!</definedName>
    <definedName name="รวม4">#REF!</definedName>
    <definedName name="รวม6" localSheetId="3">#REF!</definedName>
    <definedName name="รวม6" localSheetId="4">#REF!</definedName>
    <definedName name="รวม6" localSheetId="2">#REF!</definedName>
    <definedName name="รวม6">#REF!</definedName>
    <definedName name="รวม7" localSheetId="3">#REF!</definedName>
    <definedName name="รวม7" localSheetId="4">#REF!</definedName>
    <definedName name="รวม7" localSheetId="2">#REF!</definedName>
    <definedName name="รวม7">#REF!</definedName>
  </definedNames>
  <calcPr calcId="124519" calcOnSave="0"/>
</workbook>
</file>

<file path=xl/calcChain.xml><?xml version="1.0" encoding="utf-8"?>
<calcChain xmlns="http://schemas.openxmlformats.org/spreadsheetml/2006/main">
  <c r="N103" i="6"/>
  <c r="N102"/>
  <c r="L95"/>
  <c r="D128" i="7"/>
  <c r="C99" i="6"/>
  <c r="B99"/>
  <c r="E50" i="9"/>
  <c r="F46"/>
  <c r="J139"/>
  <c r="J138"/>
  <c r="I138" i="7"/>
  <c r="I137"/>
  <c r="I111" i="10"/>
  <c r="I110"/>
  <c r="E110" i="6"/>
  <c r="E109"/>
  <c r="E138" i="7"/>
  <c r="E137"/>
  <c r="E111" i="10"/>
  <c r="E110"/>
  <c r="F139" i="9"/>
  <c r="F138"/>
  <c r="E136" i="7"/>
  <c r="F137" i="9"/>
  <c r="E109" i="10"/>
  <c r="E108" i="6"/>
  <c r="O150" i="7"/>
  <c r="P151" i="9"/>
  <c r="D16" i="10"/>
  <c r="D16" i="6"/>
  <c r="L53"/>
  <c r="L53" i="10"/>
  <c r="C103"/>
  <c r="C102"/>
  <c r="B100"/>
  <c r="C99"/>
  <c r="B99"/>
  <c r="B98"/>
  <c r="N103"/>
  <c r="N102"/>
  <c r="O130" i="9"/>
  <c r="O129"/>
  <c r="N130" i="7"/>
  <c r="N129"/>
  <c r="B127"/>
  <c r="C126"/>
  <c r="B126"/>
  <c r="B125"/>
  <c r="C127" i="9"/>
  <c r="D126"/>
  <c r="C126"/>
  <c r="C125"/>
  <c r="D130"/>
  <c r="D129"/>
  <c r="E17"/>
  <c r="E16"/>
  <c r="G181" s="1"/>
  <c r="C130" i="7"/>
  <c r="C129"/>
  <c r="D17"/>
  <c r="D16"/>
  <c r="D17" i="10"/>
  <c r="C103" i="6"/>
  <c r="C102"/>
  <c r="D17"/>
  <c r="E11" i="11"/>
  <c r="C131" i="7" s="1"/>
  <c r="L95" i="10" l="1"/>
  <c r="D101"/>
  <c r="D101" i="6"/>
  <c r="E128" i="9"/>
  <c r="M181" i="7"/>
  <c r="N182" i="9"/>
  <c r="C104" i="6"/>
  <c r="D131" i="9"/>
  <c r="E18"/>
  <c r="C104" i="10"/>
  <c r="Q90"/>
  <c r="M78"/>
  <c r="P35"/>
  <c r="D53"/>
  <c r="D52"/>
  <c r="P51"/>
  <c r="E46"/>
  <c r="J30"/>
  <c r="K30" s="1"/>
  <c r="D24"/>
  <c r="D25" s="1"/>
  <c r="D23"/>
  <c r="D21"/>
  <c r="D20"/>
  <c r="D19"/>
  <c r="P183" i="7" l="1"/>
  <c r="D137" s="1"/>
  <c r="P184"/>
  <c r="D138" s="1"/>
  <c r="Q184" i="9"/>
  <c r="E138" s="1"/>
  <c r="Q185"/>
  <c r="E139" s="1"/>
  <c r="O98" i="10"/>
  <c r="D111" s="1"/>
  <c r="D110" i="6" s="1"/>
  <c r="O97" i="10"/>
  <c r="D110" s="1"/>
  <c r="D109" i="6" s="1"/>
  <c r="O98"/>
  <c r="J22" i="10"/>
  <c r="J20"/>
  <c r="P20"/>
  <c r="O20"/>
  <c r="L90"/>
  <c r="L103" s="1"/>
  <c r="P103" s="1"/>
  <c r="K20"/>
  <c r="L102"/>
  <c r="L20"/>
  <c r="M20"/>
  <c r="P52" s="1"/>
  <c r="P53" s="1"/>
  <c r="N20"/>
  <c r="H132" i="9"/>
  <c r="G105" i="10" s="1"/>
  <c r="G183" i="9"/>
  <c r="P158"/>
  <c r="M178" s="1"/>
  <c r="P150"/>
  <c r="R146"/>
  <c r="Q146"/>
  <c r="P146"/>
  <c r="O146"/>
  <c r="R117"/>
  <c r="N105"/>
  <c r="M83"/>
  <c r="Q79" s="1"/>
  <c r="Q72"/>
  <c r="M53"/>
  <c r="Q35" s="1"/>
  <c r="E52"/>
  <c r="E53" s="1"/>
  <c r="Q51"/>
  <c r="K30"/>
  <c r="L30" s="1"/>
  <c r="E24"/>
  <c r="Q74" s="1"/>
  <c r="Q75" s="1"/>
  <c r="E23"/>
  <c r="E21"/>
  <c r="E20"/>
  <c r="E19"/>
  <c r="K172" i="7"/>
  <c r="K174" s="1"/>
  <c r="O157"/>
  <c r="G2" i="8"/>
  <c r="O149" i="7"/>
  <c r="N183" s="1"/>
  <c r="F191" s="1"/>
  <c r="Q145"/>
  <c r="P145"/>
  <c r="O145"/>
  <c r="N145"/>
  <c r="L53"/>
  <c r="P35" s="1"/>
  <c r="P72"/>
  <c r="L83"/>
  <c r="Q117"/>
  <c r="M105"/>
  <c r="D52"/>
  <c r="D53" s="1"/>
  <c r="P51"/>
  <c r="E46"/>
  <c r="J30"/>
  <c r="K30" s="1"/>
  <c r="P59" s="1"/>
  <c r="D24"/>
  <c r="L117" s="1"/>
  <c r="L130" s="1"/>
  <c r="P130" s="1"/>
  <c r="D23"/>
  <c r="D21"/>
  <c r="D20"/>
  <c r="D19"/>
  <c r="Q90" i="6"/>
  <c r="M78"/>
  <c r="F193" i="7" l="1"/>
  <c r="F205"/>
  <c r="F207" s="1"/>
  <c r="G137"/>
  <c r="N184"/>
  <c r="G138" s="1"/>
  <c r="G174" i="9"/>
  <c r="G176" s="1"/>
  <c r="M97" i="10"/>
  <c r="M97" i="6"/>
  <c r="O184" i="9"/>
  <c r="J59" i="7"/>
  <c r="L177"/>
  <c r="P64"/>
  <c r="P79"/>
  <c r="K61" i="9"/>
  <c r="K22"/>
  <c r="K59"/>
  <c r="O59"/>
  <c r="K20"/>
  <c r="Q64"/>
  <c r="J61" i="7"/>
  <c r="O20" i="9"/>
  <c r="N20"/>
  <c r="L59"/>
  <c r="G188"/>
  <c r="P20"/>
  <c r="P149"/>
  <c r="P152" s="1"/>
  <c r="Q20"/>
  <c r="M59"/>
  <c r="N59"/>
  <c r="L20"/>
  <c r="Q59"/>
  <c r="J21" i="10"/>
  <c r="P102"/>
  <c r="P106" s="1"/>
  <c r="L106"/>
  <c r="M129" i="9"/>
  <c r="M117"/>
  <c r="M130" s="1"/>
  <c r="Q130" s="1"/>
  <c r="E25"/>
  <c r="P59"/>
  <c r="M20"/>
  <c r="M59" i="7"/>
  <c r="O148"/>
  <c r="O151" s="1"/>
  <c r="P74"/>
  <c r="P75" s="1"/>
  <c r="L59"/>
  <c r="K59"/>
  <c r="O59"/>
  <c r="K20"/>
  <c r="N59"/>
  <c r="P20"/>
  <c r="J22"/>
  <c r="M20"/>
  <c r="O20"/>
  <c r="J20"/>
  <c r="N20"/>
  <c r="D25"/>
  <c r="L129"/>
  <c r="L20"/>
  <c r="G190" i="9" l="1"/>
  <c r="F198" i="7"/>
  <c r="F200" s="1"/>
  <c r="H138" i="9"/>
  <c r="O185"/>
  <c r="H139" s="1"/>
  <c r="M98" i="6"/>
  <c r="G110" s="1"/>
  <c r="G109"/>
  <c r="M98" i="10"/>
  <c r="G111" s="1"/>
  <c r="G110"/>
  <c r="K60" i="9"/>
  <c r="Q91" i="10"/>
  <c r="Q92" s="1"/>
  <c r="M79"/>
  <c r="P36"/>
  <c r="P37" s="1"/>
  <c r="D27" s="1"/>
  <c r="G102" s="1"/>
  <c r="M133" i="9"/>
  <c r="Q129"/>
  <c r="Q133" s="1"/>
  <c r="K21"/>
  <c r="Q52"/>
  <c r="Q53" s="1"/>
  <c r="P52" i="7"/>
  <c r="J60"/>
  <c r="J21"/>
  <c r="L132"/>
  <c r="P129"/>
  <c r="P132" s="1"/>
  <c r="D52" i="6"/>
  <c r="D53" s="1"/>
  <c r="E46"/>
  <c r="D24"/>
  <c r="D23"/>
  <c r="D21"/>
  <c r="D20"/>
  <c r="D19"/>
  <c r="J30"/>
  <c r="P51"/>
  <c r="P65" i="7" l="1"/>
  <c r="P80" s="1"/>
  <c r="P81" s="1"/>
  <c r="D135" s="1"/>
  <c r="C158"/>
  <c r="C159" s="1"/>
  <c r="O156" s="1"/>
  <c r="O158" s="1"/>
  <c r="Q65" i="9"/>
  <c r="Q80" s="1"/>
  <c r="Q81" s="1"/>
  <c r="E136" s="1"/>
  <c r="D159"/>
  <c r="D160" s="1"/>
  <c r="P157" s="1"/>
  <c r="P159" s="1"/>
  <c r="Q178" s="1"/>
  <c r="H131" s="1"/>
  <c r="G104" i="10" s="1"/>
  <c r="M80"/>
  <c r="L88" s="1"/>
  <c r="G103" s="1"/>
  <c r="O94"/>
  <c r="O95" s="1"/>
  <c r="D109" s="1"/>
  <c r="Q36" i="9"/>
  <c r="Q37" s="1"/>
  <c r="R118"/>
  <c r="R119" s="1"/>
  <c r="N106"/>
  <c r="D25" i="6"/>
  <c r="O97" s="1"/>
  <c r="L102"/>
  <c r="L90"/>
  <c r="L103" s="1"/>
  <c r="P103" s="1"/>
  <c r="P36" i="7"/>
  <c r="P37" s="1"/>
  <c r="P53"/>
  <c r="M106"/>
  <c r="Q118"/>
  <c r="Q119" s="1"/>
  <c r="P35" i="6"/>
  <c r="K30"/>
  <c r="J22" s="1"/>
  <c r="P177" i="7" l="1"/>
  <c r="G131" s="1"/>
  <c r="G104" i="6" s="1"/>
  <c r="P66" i="7"/>
  <c r="D27" s="1"/>
  <c r="G129" s="1"/>
  <c r="Q66" i="9"/>
  <c r="E27" s="1"/>
  <c r="H129" s="1"/>
  <c r="G106" i="10"/>
  <c r="D108" s="1"/>
  <c r="N107" i="9"/>
  <c r="Q181"/>
  <c r="Q182" s="1"/>
  <c r="E137" s="1"/>
  <c r="M107" i="7"/>
  <c r="P180"/>
  <c r="P181" s="1"/>
  <c r="D136" s="1"/>
  <c r="L105" i="6"/>
  <c r="P102"/>
  <c r="P105" s="1"/>
  <c r="P20"/>
  <c r="L20"/>
  <c r="J20"/>
  <c r="O20"/>
  <c r="N20"/>
  <c r="M20"/>
  <c r="P52" s="1"/>
  <c r="K20"/>
  <c r="M115" i="9" l="1"/>
  <c r="H130" s="1"/>
  <c r="H133" s="1"/>
  <c r="L115" i="7"/>
  <c r="G130" s="1"/>
  <c r="G132" s="1"/>
  <c r="P107" i="10"/>
  <c r="J21" i="6"/>
  <c r="D134" i="7" l="1"/>
  <c r="P133"/>
  <c r="E135" i="9"/>
  <c r="Q134"/>
  <c r="Q91" i="6"/>
  <c r="Q92" s="1"/>
  <c r="M79"/>
  <c r="P53"/>
  <c r="P36"/>
  <c r="P37" s="1"/>
  <c r="M80" l="1"/>
  <c r="L88" s="1"/>
  <c r="G103" s="1"/>
  <c r="O94"/>
  <c r="O95" s="1"/>
  <c r="D108" s="1"/>
  <c r="D27"/>
  <c r="G102" s="1"/>
  <c r="G105" l="1"/>
  <c r="D107" l="1"/>
  <c r="P106"/>
</calcChain>
</file>

<file path=xl/sharedStrings.xml><?xml version="1.0" encoding="utf-8"?>
<sst xmlns="http://schemas.openxmlformats.org/spreadsheetml/2006/main" count="887" uniqueCount="133">
  <si>
    <t>L</t>
  </si>
  <si>
    <t>ความยาว</t>
  </si>
  <si>
    <t>จำนวน</t>
  </si>
  <si>
    <t>ต้น</t>
  </si>
  <si>
    <t>ตร.ม.</t>
  </si>
  <si>
    <t>ลบ.ม.</t>
  </si>
  <si>
    <t>ม.</t>
  </si>
  <si>
    <t>หาความยาวสะพานแบบมาตรฐาน ทช.</t>
  </si>
  <si>
    <t>ตอม่อตับริมแบบ PILE BENT รับสะพานช่วง 5.00-15.00 ม. (แบบมีทางเท้ากว้าง 1.00 และ 1.50 ม.)</t>
  </si>
  <si>
    <t>SEC</t>
  </si>
  <si>
    <t>L แต่ละช่วง</t>
  </si>
  <si>
    <t>L รวม</t>
  </si>
  <si>
    <t>L รวมสูตร</t>
  </si>
  <si>
    <t>หน้าตัด</t>
  </si>
  <si>
    <t>ปริมาตร</t>
  </si>
  <si>
    <t>ปริมาณคอนกรีตคาน</t>
  </si>
  <si>
    <t>หน้าตัดคานจากการคำนวณ</t>
  </si>
  <si>
    <t>หน้าตัดจากการคำนวณ</t>
  </si>
  <si>
    <t>ปริมาณคอนกรีตหูช้าง</t>
  </si>
  <si>
    <t>หนา</t>
  </si>
  <si>
    <t>ปริมาณคอนกรีตคานขวาง</t>
  </si>
  <si>
    <t>B</t>
  </si>
  <si>
    <t>H</t>
  </si>
  <si>
    <t>ข้อมูลสะพาน</t>
  </si>
  <si>
    <t>องศา</t>
  </si>
  <si>
    <t>มุมเฉียง</t>
  </si>
  <si>
    <t>A</t>
  </si>
  <si>
    <t>B1</t>
  </si>
  <si>
    <t xml:space="preserve">ตารางแสดงขนาดมิติต่างๆ </t>
  </si>
  <si>
    <t>(สำหรับการรับน้ำหนักบรรทุกปลอดภัย (ALLOWABLE LOAD)</t>
  </si>
  <si>
    <t>ของเสาเข็มไม่น้อยกว่า 50 ตันต่อต้น</t>
  </si>
  <si>
    <t>ช่วงสะพานยาว</t>
  </si>
  <si>
    <t>มีทางเท้า</t>
  </si>
  <si>
    <t>ไม่มีทางเท้า</t>
  </si>
  <si>
    <t>C</t>
  </si>
  <si>
    <t>N</t>
  </si>
  <si>
    <t>5.00 ถึง 10.00</t>
  </si>
  <si>
    <t>11.00 ถึง 12.00</t>
  </si>
  <si>
    <t>13.00 ถึง 14.00</t>
  </si>
  <si>
    <t>เสาเข็ม</t>
  </si>
  <si>
    <t>ช่อง</t>
  </si>
  <si>
    <t>2 ด้าน</t>
  </si>
  <si>
    <t>กรอกข้อมูลในช่องสี</t>
  </si>
  <si>
    <t>แบบสะพานมาตรฐาน ทช.</t>
  </si>
  <si>
    <t>ตับริมแบบ PILE BENT</t>
  </si>
  <si>
    <t>ตับกลางแบบ PILE BENT</t>
  </si>
  <si>
    <t>H =</t>
  </si>
  <si>
    <t>ตับกลาง 1 ตัวใช้คอนกรีต</t>
  </si>
  <si>
    <t>ตับริม 1 ตัวใช้คอนกรีต</t>
  </si>
  <si>
    <t xml:space="preserve">      * หมายเหตุ ปริมาณคอนกรีต</t>
  </si>
  <si>
    <t>เปลี่ยนแปลงตามความสูงของ H</t>
  </si>
  <si>
    <t xml:space="preserve">โครงการเขื่อนทดน้ำผาจุก สะพานรถยนต์ </t>
  </si>
  <si>
    <t>คลองส่งน้ำสายใหญ่ฝั่งซ้าย (LMC)</t>
  </si>
  <si>
    <t>ตับริม</t>
  </si>
  <si>
    <t>ตับกลาง</t>
  </si>
  <si>
    <t>ปริมาณคอนกรีต</t>
  </si>
  <si>
    <t>แถว</t>
  </si>
  <si>
    <t>รวม</t>
  </si>
  <si>
    <t>คอนกรีต</t>
  </si>
  <si>
    <t>เข็มยาว</t>
  </si>
  <si>
    <t>ตับริมแบบ ฐานแผ่บนดินแข็ง</t>
  </si>
  <si>
    <t>B2</t>
  </si>
  <si>
    <t>W</t>
  </si>
  <si>
    <t>ปริมาณคอนกรีตฐานแผ่</t>
  </si>
  <si>
    <t>W =</t>
  </si>
  <si>
    <t>เสา</t>
  </si>
  <si>
    <t>ปริมาณคอนกรีตเสาตอม่อ</t>
  </si>
  <si>
    <t>ลึก</t>
  </si>
  <si>
    <t>เสาคอนกรีต</t>
  </si>
  <si>
    <t>เสายาว</t>
  </si>
  <si>
    <t>ตับกลางแบบ ฐานแผ่บนดินแข็ง</t>
  </si>
  <si>
    <t>X</t>
  </si>
  <si>
    <t>=</t>
  </si>
  <si>
    <t>คอนกรีตทับหน้าสะพาน</t>
  </si>
  <si>
    <t>ตารางแสดงรายละเอียดของสะพานช่วงความยาว 5.00 ถึง 12.00 ม.</t>
  </si>
  <si>
    <t>คานรูป PLANK GIRDER</t>
  </si>
  <si>
    <t>สะพานช่วง</t>
  </si>
  <si>
    <t>L (เมตร)</t>
  </si>
  <si>
    <t>L" (เมตร)</t>
  </si>
  <si>
    <t>ขนาดมิติต่างๆ</t>
  </si>
  <si>
    <t>ของคานรูป PLANK GIRDER</t>
  </si>
  <si>
    <t>h</t>
  </si>
  <si>
    <t>h1</t>
  </si>
  <si>
    <t>h2</t>
  </si>
  <si>
    <t>h3</t>
  </si>
  <si>
    <t>พื้นที่หน้าตัด ที่อัดด้วยคอนกรีตที่มีคุณสมบัติเดียวกันกับพื้นสะพาน</t>
  </si>
  <si>
    <t>ปริมาณคอนกรีตช่องว่าง</t>
  </si>
  <si>
    <t>x =</t>
  </si>
  <si>
    <t>ปริมาณคอนกรีตทับหน้า</t>
  </si>
  <si>
    <t>ปริมาณคอนกรีตทางเท้า</t>
  </si>
  <si>
    <t>ด้าน</t>
  </si>
  <si>
    <t>ทับหน้า</t>
  </si>
  <si>
    <t>ช่วง</t>
  </si>
  <si>
    <t>1 ช่วงใช้คอนกรีต</t>
  </si>
  <si>
    <t>ทับหน้า+ทางเท้ายาว</t>
  </si>
  <si>
    <t>ปริมาณคอนกรีตราวสะพานตัวบน</t>
  </si>
  <si>
    <t>ปริมาณคอนกรีตราวสะพานตัวกลาง</t>
  </si>
  <si>
    <t>ปริมาณคอนกรีตราวสะพานตัวล่าง</t>
  </si>
  <si>
    <t>ทับหน้า+ราวสะพาน</t>
  </si>
  <si>
    <t>สะพานจำนวน</t>
  </si>
  <si>
    <t>เสาราวสะพานปิดหัวท้าย</t>
  </si>
  <si>
    <t>ปริมาณเหล็ก</t>
  </si>
  <si>
    <t>กก.</t>
  </si>
  <si>
    <t>ปริมาณคอนกรีตหยาบ</t>
  </si>
  <si>
    <t>คอนกรีตหยาบ</t>
  </si>
  <si>
    <t>ความยาวสะพาน</t>
  </si>
  <si>
    <t>มุมฉียงสะพานกับลำน้ำ</t>
  </si>
  <si>
    <t>ตอม่อริม</t>
  </si>
  <si>
    <t>ตอม่อกลาง</t>
  </si>
  <si>
    <t>ช่วงของสะพาน</t>
  </si>
  <si>
    <t>คิดปริมาณเหล็ก / คอนกรีต 1 ลบ.ม.</t>
  </si>
  <si>
    <t>%</t>
  </si>
  <si>
    <t>* กรอกข้อมูลลงในช่องสี</t>
  </si>
  <si>
    <t>ถอดแบบงานสะพาน ตามแบบมาตรฐาน กรมทางหลวงชนบท</t>
  </si>
  <si>
    <t>จัดทำโดย</t>
  </si>
  <si>
    <t>นายธีรเดช  กันทาคำ</t>
  </si>
  <si>
    <t>(ช่างเจมส์)</t>
  </si>
  <si>
    <t xml:space="preserve">นายช่างโยธาปฏิบัติงาน </t>
  </si>
  <si>
    <t>ความกว้างสะพาน</t>
  </si>
  <si>
    <t>สำนักงานก่อสร้างชลประทานขนาดใหญ่ที่ 4</t>
  </si>
  <si>
    <t>กรมชลประทาน สำนักพัฒนาแหล่งน้ำขนาดใหญ่</t>
  </si>
  <si>
    <t>Elastomeric  Bearing  Pad  ขนาด  0.01x0.15 ม.</t>
  </si>
  <si>
    <t>ม. / ช่วง</t>
  </si>
  <si>
    <t>(แผ่นยางรองคานสะพาน) =</t>
  </si>
  <si>
    <t>แผ่นยางรองคานสะพาน</t>
  </si>
  <si>
    <t>คานรูป PLANK GIRDER ตัวริม</t>
  </si>
  <si>
    <t>ท่อน</t>
  </si>
  <si>
    <t>คานรูป PLANK GIRDER ตัวกลาง</t>
  </si>
  <si>
    <t>PLANK GIRDER กลาง</t>
  </si>
  <si>
    <t>PLANK GIRDER ริม</t>
  </si>
  <si>
    <t>@</t>
  </si>
  <si>
    <t>ความยาวสะพานรวม</t>
  </si>
  <si>
    <t xml:space="preserve">กม.  48+  </t>
  </si>
</sst>
</file>

<file path=xl/styles.xml><?xml version="1.0" encoding="utf-8"?>
<styleSheet xmlns="http://schemas.openxmlformats.org/spreadsheetml/2006/main">
  <numFmts count="4">
    <numFmt numFmtId="187" formatCode="#,##0.0000"/>
    <numFmt numFmtId="188" formatCode="0.0000"/>
    <numFmt numFmtId="189" formatCode="0.000"/>
    <numFmt numFmtId="190" formatCode="0.000000"/>
  </numFmts>
  <fonts count="6"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scheme val="minor"/>
    </font>
    <font>
      <b/>
      <i/>
      <sz val="11"/>
      <color theme="1"/>
      <name val="Tahoma"/>
      <family val="2"/>
      <scheme val="minor"/>
    </font>
    <font>
      <b/>
      <u/>
      <sz val="11"/>
      <color theme="1"/>
      <name val="Tahoma"/>
      <family val="2"/>
      <scheme val="minor"/>
    </font>
    <font>
      <b/>
      <sz val="14"/>
      <color theme="1"/>
      <name val="Tahoma"/>
      <family val="2"/>
      <scheme val="minor"/>
    </font>
    <font>
      <sz val="12"/>
      <color rgb="FF1D2129"/>
      <name val="Helvetica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58">
    <xf numFmtId="0" fontId="0" fillId="0" borderId="0" xfId="0"/>
    <xf numFmtId="2" fontId="0" fillId="0" borderId="0" xfId="0" applyNumberFormat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88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/>
    <xf numFmtId="1" fontId="0" fillId="0" borderId="1" xfId="0" applyNumberFormat="1" applyBorder="1" applyAlignment="1">
      <alignment horizontal="center"/>
    </xf>
    <xf numFmtId="0" fontId="0" fillId="0" borderId="4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189" fontId="0" fillId="0" borderId="0" xfId="0" applyNumberFormat="1" applyAlignment="1">
      <alignment horizontal="center"/>
    </xf>
    <xf numFmtId="0" fontId="0" fillId="0" borderId="0" xfId="0" applyFill="1"/>
    <xf numFmtId="0" fontId="0" fillId="2" borderId="0" xfId="0" applyFill="1"/>
    <xf numFmtId="0" fontId="0" fillId="2" borderId="0" xfId="0" applyFill="1" applyAlignment="1">
      <alignment horizontal="right"/>
    </xf>
    <xf numFmtId="188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0" fontId="0" fillId="3" borderId="0" xfId="0" applyFill="1"/>
    <xf numFmtId="0" fontId="0" fillId="0" borderId="0" xfId="0" applyFill="1" applyAlignment="1">
      <alignment horizontal="right"/>
    </xf>
    <xf numFmtId="188" fontId="0" fillId="0" borderId="0" xfId="0" applyNumberFormat="1" applyFill="1"/>
    <xf numFmtId="4" fontId="0" fillId="0" borderId="0" xfId="0" applyNumberFormat="1" applyFill="1"/>
    <xf numFmtId="0" fontId="0" fillId="0" borderId="0" xfId="0" applyFill="1" applyAlignment="1"/>
    <xf numFmtId="0" fontId="0" fillId="4" borderId="0" xfId="0" applyFill="1"/>
    <xf numFmtId="187" fontId="0" fillId="4" borderId="0" xfId="0" applyNumberFormat="1" applyFill="1"/>
    <xf numFmtId="187" fontId="0" fillId="4" borderId="8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88" fontId="0" fillId="0" borderId="0" xfId="0" applyNumberFormat="1" applyAlignment="1" applyProtection="1">
      <alignment horizontal="center"/>
      <protection hidden="1"/>
    </xf>
    <xf numFmtId="189" fontId="0" fillId="0" borderId="0" xfId="0" applyNumberFormat="1" applyAlignment="1" applyProtection="1">
      <alignment horizontal="center"/>
    </xf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0" borderId="12" xfId="0" applyBorder="1"/>
    <xf numFmtId="0" fontId="0" fillId="0" borderId="13" xfId="0" applyBorder="1"/>
    <xf numFmtId="0" fontId="0" fillId="0" borderId="9" xfId="0" applyBorder="1"/>
    <xf numFmtId="0" fontId="0" fillId="0" borderId="10" xfId="0" applyBorder="1"/>
    <xf numFmtId="0" fontId="0" fillId="5" borderId="9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0" fontId="0" fillId="2" borderId="0" xfId="0" applyFill="1" applyProtection="1">
      <protection locked="0"/>
    </xf>
    <xf numFmtId="187" fontId="0" fillId="0" borderId="0" xfId="0" applyNumberFormat="1" applyFill="1"/>
    <xf numFmtId="0" fontId="0" fillId="0" borderId="0" xfId="0" applyAlignment="1">
      <alignment horizontal="left"/>
    </xf>
    <xf numFmtId="4" fontId="0" fillId="0" borderId="0" xfId="0" applyNumberFormat="1"/>
    <xf numFmtId="0" fontId="0" fillId="8" borderId="0" xfId="0" applyFill="1" applyAlignment="1">
      <alignment horizontal="center"/>
    </xf>
    <xf numFmtId="0" fontId="0" fillId="9" borderId="9" xfId="0" applyFill="1" applyBorder="1"/>
    <xf numFmtId="0" fontId="0" fillId="9" borderId="10" xfId="0" applyFill="1" applyBorder="1"/>
    <xf numFmtId="0" fontId="0" fillId="0" borderId="8" xfId="0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8" xfId="0" applyFill="1" applyBorder="1"/>
    <xf numFmtId="4" fontId="0" fillId="0" borderId="11" xfId="0" applyNumberFormat="1" applyBorder="1"/>
    <xf numFmtId="0" fontId="0" fillId="0" borderId="8" xfId="0" applyFill="1" applyBorder="1" applyAlignment="1">
      <alignment horizontal="center"/>
    </xf>
    <xf numFmtId="0" fontId="0" fillId="9" borderId="12" xfId="0" applyFill="1" applyBorder="1"/>
    <xf numFmtId="4" fontId="0" fillId="9" borderId="8" xfId="0" applyNumberFormat="1" applyFill="1" applyBorder="1"/>
    <xf numFmtId="190" fontId="0" fillId="0" borderId="0" xfId="0" applyNumberFormat="1"/>
    <xf numFmtId="2" fontId="0" fillId="0" borderId="0" xfId="0" applyNumberFormat="1"/>
    <xf numFmtId="3" fontId="0" fillId="2" borderId="0" xfId="0" applyNumberFormat="1" applyFill="1"/>
    <xf numFmtId="0" fontId="0" fillId="8" borderId="2" xfId="0" applyFill="1" applyBorder="1" applyAlignment="1">
      <alignment horizontal="center"/>
    </xf>
    <xf numFmtId="0" fontId="0" fillId="8" borderId="3" xfId="0" applyFill="1" applyBorder="1"/>
    <xf numFmtId="2" fontId="0" fillId="8" borderId="1" xfId="0" applyNumberFormat="1" applyFill="1" applyBorder="1" applyAlignment="1">
      <alignment horizontal="center"/>
    </xf>
    <xf numFmtId="2" fontId="0" fillId="8" borderId="0" xfId="0" applyNumberFormat="1" applyFill="1" applyAlignment="1">
      <alignment horizontal="center"/>
    </xf>
    <xf numFmtId="0" fontId="0" fillId="2" borderId="0" xfId="0" applyFill="1" applyAlignment="1" applyProtection="1">
      <alignment horizontal="center"/>
      <protection locked="0"/>
    </xf>
    <xf numFmtId="189" fontId="0" fillId="0" borderId="1" xfId="0" applyNumberForma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189" fontId="0" fillId="0" borderId="26" xfId="0" applyNumberFormat="1" applyBorder="1" applyAlignment="1">
      <alignment horizontal="center"/>
    </xf>
    <xf numFmtId="0" fontId="0" fillId="0" borderId="27" xfId="0" applyBorder="1" applyAlignment="1">
      <alignment horizontal="center"/>
    </xf>
    <xf numFmtId="2" fontId="0" fillId="0" borderId="28" xfId="0" applyNumberFormat="1" applyBorder="1" applyAlignment="1">
      <alignment horizontal="center"/>
    </xf>
    <xf numFmtId="189" fontId="0" fillId="0" borderId="28" xfId="0" applyNumberFormat="1" applyBorder="1" applyAlignment="1">
      <alignment horizontal="center"/>
    </xf>
    <xf numFmtId="189" fontId="0" fillId="0" borderId="29" xfId="0" applyNumberFormat="1" applyBorder="1" applyAlignment="1">
      <alignment horizontal="center"/>
    </xf>
    <xf numFmtId="0" fontId="5" fillId="0" borderId="0" xfId="0" applyFont="1"/>
    <xf numFmtId="187" fontId="0" fillId="2" borderId="0" xfId="0" applyNumberFormat="1" applyFill="1"/>
    <xf numFmtId="4" fontId="0" fillId="0" borderId="12" xfId="0" applyNumberFormat="1" applyFill="1" applyBorder="1"/>
    <xf numFmtId="0" fontId="0" fillId="0" borderId="0" xfId="0" applyFill="1" applyBorder="1"/>
    <xf numFmtId="188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3" fontId="0" fillId="0" borderId="0" xfId="0" applyNumberFormat="1" applyFill="1" applyBorder="1"/>
    <xf numFmtId="187" fontId="0" fillId="0" borderId="0" xfId="0" applyNumberFormat="1" applyFill="1" applyBorder="1"/>
    <xf numFmtId="0" fontId="0" fillId="0" borderId="0" xfId="0" applyFill="1" applyBorder="1" applyAlignment="1"/>
    <xf numFmtId="1" fontId="0" fillId="2" borderId="0" xfId="0" applyNumberFormat="1" applyFill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center"/>
    </xf>
    <xf numFmtId="2" fontId="0" fillId="3" borderId="0" xfId="0" applyNumberFormat="1" applyFill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188" fontId="0" fillId="0" borderId="0" xfId="0" applyNumberFormat="1" applyAlignment="1">
      <alignment horizontal="center"/>
    </xf>
    <xf numFmtId="0" fontId="0" fillId="4" borderId="11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/>
    </xf>
    <xf numFmtId="0" fontId="0" fillId="0" borderId="14" xfId="0" applyBorder="1" applyAlignment="1">
      <alignment horizontal="center"/>
    </xf>
    <xf numFmtId="2" fontId="0" fillId="0" borderId="0" xfId="0" applyNumberFormat="1" applyFill="1"/>
    <xf numFmtId="0" fontId="0" fillId="9" borderId="13" xfId="0" applyFill="1" applyBorder="1"/>
    <xf numFmtId="0" fontId="0" fillId="9" borderId="14" xfId="0" applyFill="1" applyBorder="1" applyAlignment="1">
      <alignment horizontal="center"/>
    </xf>
    <xf numFmtId="4" fontId="0" fillId="9" borderId="10" xfId="0" applyNumberFormat="1" applyFill="1" applyBorder="1"/>
    <xf numFmtId="3" fontId="0" fillId="9" borderId="8" xfId="0" applyNumberFormat="1" applyFill="1" applyBorder="1"/>
    <xf numFmtId="4" fontId="0" fillId="9" borderId="19" xfId="0" applyNumberFormat="1" applyFill="1" applyBorder="1"/>
    <xf numFmtId="0" fontId="0" fillId="0" borderId="0" xfId="0" applyAlignment="1">
      <alignment horizontal="center"/>
    </xf>
    <xf numFmtId="188" fontId="0" fillId="0" borderId="20" xfId="0" applyNumberFormat="1" applyBorder="1" applyAlignment="1" applyProtection="1">
      <alignment horizontal="center"/>
      <protection hidden="1"/>
    </xf>
    <xf numFmtId="188" fontId="0" fillId="0" borderId="20" xfId="0" applyNumberFormat="1" applyBorder="1" applyAlignment="1">
      <alignment horizontal="center"/>
    </xf>
    <xf numFmtId="188" fontId="0" fillId="0" borderId="32" xfId="0" applyNumberFormat="1" applyBorder="1" applyAlignment="1" applyProtection="1">
      <alignment horizontal="center"/>
      <protection hidden="1"/>
    </xf>
    <xf numFmtId="188" fontId="0" fillId="0" borderId="32" xfId="0" applyNumberForma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" xfId="0" applyBorder="1"/>
    <xf numFmtId="0" fontId="0" fillId="0" borderId="3" xfId="0" applyBorder="1" applyAlignment="1">
      <alignment horizontal="center"/>
    </xf>
    <xf numFmtId="188" fontId="0" fillId="0" borderId="1" xfId="0" applyNumberFormat="1" applyBorder="1" applyAlignment="1" applyProtection="1">
      <alignment horizontal="center"/>
      <protection hidden="1"/>
    </xf>
    <xf numFmtId="188" fontId="0" fillId="0" borderId="1" xfId="0" applyNumberFormat="1" applyBorder="1" applyAlignment="1">
      <alignment horizontal="center"/>
    </xf>
    <xf numFmtId="189" fontId="0" fillId="0" borderId="21" xfId="0" applyNumberFormat="1" applyBorder="1"/>
    <xf numFmtId="0" fontId="0" fillId="0" borderId="31" xfId="0" applyBorder="1" applyAlignment="1">
      <alignment horizontal="center"/>
    </xf>
    <xf numFmtId="189" fontId="0" fillId="0" borderId="32" xfId="0" applyNumberFormat="1" applyBorder="1"/>
    <xf numFmtId="189" fontId="0" fillId="0" borderId="1" xfId="0" applyNumberFormat="1" applyBorder="1"/>
    <xf numFmtId="189" fontId="0" fillId="0" borderId="3" xfId="0" applyNumberFormat="1" applyBorder="1"/>
    <xf numFmtId="189" fontId="0" fillId="0" borderId="5" xfId="0" applyNumberFormat="1" applyBorder="1" applyAlignment="1">
      <alignment horizontal="center"/>
    </xf>
    <xf numFmtId="189" fontId="0" fillId="0" borderId="4" xfId="0" applyNumberFormat="1" applyBorder="1" applyAlignment="1">
      <alignment horizontal="center"/>
    </xf>
    <xf numFmtId="189" fontId="0" fillId="0" borderId="3" xfId="0" applyNumberFormat="1" applyBorder="1" applyAlignment="1">
      <alignment horizontal="center"/>
    </xf>
    <xf numFmtId="0" fontId="0" fillId="0" borderId="2" xfId="0" applyBorder="1"/>
    <xf numFmtId="0" fontId="0" fillId="2" borderId="3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1" xfId="0" applyFill="1" applyBorder="1"/>
    <xf numFmtId="4" fontId="0" fillId="9" borderId="32" xfId="0" applyNumberFormat="1" applyFill="1" applyBorder="1"/>
    <xf numFmtId="3" fontId="0" fillId="9" borderId="34" xfId="0" applyNumberFormat="1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1" xfId="0" applyFill="1" applyBorder="1" applyAlignment="1" applyProtection="1">
      <alignment horizontal="right"/>
      <protection locked="0"/>
    </xf>
    <xf numFmtId="0" fontId="0" fillId="10" borderId="1" xfId="0" applyFill="1" applyBorder="1" applyAlignment="1" applyProtection="1">
      <alignment horizontal="center"/>
      <protection locked="0"/>
    </xf>
    <xf numFmtId="2" fontId="0" fillId="6" borderId="0" xfId="0" applyNumberForma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9" borderId="9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31" xfId="0" applyFill="1" applyBorder="1" applyAlignment="1"/>
    <xf numFmtId="0" fontId="0" fillId="4" borderId="32" xfId="0" applyFill="1" applyBorder="1" applyAlignment="1"/>
    <xf numFmtId="0" fontId="0" fillId="4" borderId="32" xfId="0" applyFill="1" applyBorder="1" applyAlignment="1">
      <alignment horizontal="center"/>
    </xf>
    <xf numFmtId="0" fontId="0" fillId="4" borderId="33" xfId="0" applyFill="1" applyBorder="1" applyAlignment="1"/>
    <xf numFmtId="0" fontId="0" fillId="4" borderId="33" xfId="0" applyFill="1" applyBorder="1" applyAlignment="1">
      <alignment horizontal="center"/>
    </xf>
    <xf numFmtId="4" fontId="0" fillId="0" borderId="9" xfId="0" applyNumberFormat="1" applyFill="1" applyBorder="1"/>
    <xf numFmtId="0" fontId="0" fillId="0" borderId="8" xfId="0" applyFill="1" applyBorder="1" applyAlignment="1" applyProtection="1">
      <alignment horizontal="center"/>
    </xf>
    <xf numFmtId="188" fontId="0" fillId="4" borderId="32" xfId="0" applyNumberFormat="1" applyFill="1" applyBorder="1" applyAlignment="1"/>
    <xf numFmtId="3" fontId="0" fillId="9" borderId="19" xfId="0" applyNumberFormat="1" applyFill="1" applyBorder="1"/>
    <xf numFmtId="0" fontId="0" fillId="9" borderId="13" xfId="0" applyFill="1" applyBorder="1" applyAlignment="1">
      <alignment horizontal="center"/>
    </xf>
    <xf numFmtId="0" fontId="0" fillId="9" borderId="35" xfId="0" applyFill="1" applyBorder="1" applyAlignment="1">
      <alignment horizontal="center"/>
    </xf>
    <xf numFmtId="188" fontId="0" fillId="9" borderId="36" xfId="0" applyNumberFormat="1" applyFill="1" applyBorder="1"/>
    <xf numFmtId="0" fontId="0" fillId="9" borderId="36" xfId="0" applyFill="1" applyBorder="1"/>
    <xf numFmtId="0" fontId="0" fillId="9" borderId="37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188" fontId="0" fillId="9" borderId="13" xfId="0" applyNumberFormat="1" applyFill="1" applyBorder="1"/>
    <xf numFmtId="188" fontId="0" fillId="9" borderId="10" xfId="0" applyNumberFormat="1" applyFill="1" applyBorder="1"/>
    <xf numFmtId="0" fontId="0" fillId="9" borderId="38" xfId="0" applyFill="1" applyBorder="1" applyAlignment="1">
      <alignment horizontal="center"/>
    </xf>
    <xf numFmtId="0" fontId="0" fillId="9" borderId="34" xfId="0" applyFill="1" applyBorder="1" applyAlignment="1">
      <alignment horizontal="center"/>
    </xf>
    <xf numFmtId="0" fontId="0" fillId="9" borderId="39" xfId="0" applyFill="1" applyBorder="1" applyAlignment="1">
      <alignment horizontal="center"/>
    </xf>
    <xf numFmtId="0" fontId="0" fillId="9" borderId="35" xfId="0" applyFill="1" applyBorder="1"/>
    <xf numFmtId="4" fontId="0" fillId="9" borderId="37" xfId="0" applyNumberFormat="1" applyFill="1" applyBorder="1"/>
    <xf numFmtId="0" fontId="0" fillId="9" borderId="40" xfId="0" applyFill="1" applyBorder="1"/>
    <xf numFmtId="4" fontId="0" fillId="9" borderId="41" xfId="0" applyNumberFormat="1" applyFill="1" applyBorder="1"/>
    <xf numFmtId="0" fontId="0" fillId="9" borderId="42" xfId="0" applyFill="1" applyBorder="1"/>
    <xf numFmtId="4" fontId="0" fillId="9" borderId="43" xfId="0" applyNumberFormat="1" applyFill="1" applyBorder="1"/>
    <xf numFmtId="3" fontId="0" fillId="9" borderId="38" xfId="0" applyNumberFormat="1" applyFill="1" applyBorder="1" applyAlignment="1">
      <alignment horizontal="center"/>
    </xf>
    <xf numFmtId="3" fontId="0" fillId="9" borderId="39" xfId="0" applyNumberFormat="1" applyFill="1" applyBorder="1" applyAlignment="1">
      <alignment horizontal="center"/>
    </xf>
    <xf numFmtId="4" fontId="0" fillId="9" borderId="36" xfId="0" applyNumberFormat="1" applyFill="1" applyBorder="1"/>
    <xf numFmtId="0" fontId="0" fillId="9" borderId="41" xfId="0" applyFill="1" applyBorder="1" applyAlignment="1">
      <alignment horizontal="center"/>
    </xf>
    <xf numFmtId="4" fontId="0" fillId="9" borderId="44" xfId="0" applyNumberFormat="1" applyFill="1" applyBorder="1"/>
    <xf numFmtId="0" fontId="0" fillId="9" borderId="43" xfId="0" applyFill="1" applyBorder="1" applyAlignment="1">
      <alignment horizontal="center"/>
    </xf>
    <xf numFmtId="2" fontId="0" fillId="11" borderId="0" xfId="0" applyNumberFormat="1" applyFill="1" applyAlignment="1">
      <alignment horizontal="center"/>
    </xf>
    <xf numFmtId="0" fontId="0" fillId="0" borderId="0" xfId="0" applyFill="1" applyProtection="1"/>
    <xf numFmtId="189" fontId="0" fillId="10" borderId="1" xfId="0" applyNumberFormat="1" applyFill="1" applyBorder="1" applyAlignment="1" applyProtection="1">
      <alignment horizontal="left"/>
      <protection locked="0"/>
    </xf>
    <xf numFmtId="0" fontId="0" fillId="7" borderId="0" xfId="0" applyFill="1" applyAlignment="1">
      <alignment horizontal="center"/>
    </xf>
    <xf numFmtId="0" fontId="0" fillId="0" borderId="0" xfId="0" applyFill="1" applyBorder="1" applyAlignment="1">
      <alignment vertical="center"/>
    </xf>
    <xf numFmtId="188" fontId="0" fillId="0" borderId="0" xfId="0" applyNumberFormat="1" applyFill="1" applyBorder="1" applyAlignment="1">
      <alignment vertical="center"/>
    </xf>
    <xf numFmtId="187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188" fontId="0" fillId="0" borderId="0" xfId="0" applyNumberFormat="1" applyFill="1" applyBorder="1" applyAlignment="1"/>
    <xf numFmtId="0" fontId="0" fillId="10" borderId="31" xfId="0" applyFill="1" applyBorder="1" applyAlignment="1" applyProtection="1">
      <alignment horizontal="center"/>
      <protection locked="0"/>
    </xf>
    <xf numFmtId="0" fontId="0" fillId="10" borderId="32" xfId="0" applyFill="1" applyBorder="1" applyAlignment="1" applyProtection="1">
      <alignment horizontal="center"/>
      <protection locked="0"/>
    </xf>
    <xf numFmtId="0" fontId="0" fillId="10" borderId="33" xfId="0" applyFill="1" applyBorder="1" applyAlignment="1" applyProtection="1">
      <alignment horizontal="center"/>
      <protection locked="0"/>
    </xf>
    <xf numFmtId="0" fontId="0" fillId="0" borderId="0" xfId="0" applyAlignment="1">
      <alignment horizontal="right"/>
    </xf>
    <xf numFmtId="0" fontId="0" fillId="0" borderId="30" xfId="0" applyBorder="1" applyAlignment="1">
      <alignment horizontal="right"/>
    </xf>
    <xf numFmtId="0" fontId="0" fillId="7" borderId="0" xfId="0" applyFill="1" applyAlignment="1">
      <alignment horizontal="center"/>
    </xf>
    <xf numFmtId="0" fontId="0" fillId="0" borderId="0" xfId="0" applyAlignment="1">
      <alignment horizontal="center"/>
    </xf>
    <xf numFmtId="2" fontId="0" fillId="3" borderId="0" xfId="0" applyNumberFormat="1" applyFill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188" fontId="0" fillId="0" borderId="0" xfId="0" applyNumberFormat="1" applyAlignment="1">
      <alignment horizontal="center"/>
    </xf>
    <xf numFmtId="0" fontId="0" fillId="4" borderId="9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6" xfId="0" applyFont="1" applyFill="1" applyBorder="1" applyAlignment="1">
      <alignment horizontal="left" vertical="center"/>
    </xf>
    <xf numFmtId="0" fontId="1" fillId="4" borderId="12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187" fontId="1" fillId="4" borderId="15" xfId="0" applyNumberFormat="1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left"/>
    </xf>
    <xf numFmtId="0" fontId="0" fillId="0" borderId="20" xfId="0" applyFill="1" applyBorder="1" applyAlignment="1">
      <alignment horizontal="left"/>
    </xf>
    <xf numFmtId="0" fontId="0" fillId="0" borderId="7" xfId="0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0" fillId="0" borderId="21" xfId="0" applyFill="1" applyBorder="1" applyAlignment="1">
      <alignment horizontal="left"/>
    </xf>
    <xf numFmtId="0" fontId="0" fillId="0" borderId="4" xfId="0" applyFill="1" applyBorder="1" applyAlignment="1">
      <alignment horizontal="left"/>
    </xf>
    <xf numFmtId="4" fontId="0" fillId="0" borderId="9" xfId="0" applyNumberFormat="1" applyBorder="1" applyAlignment="1">
      <alignment horizontal="right"/>
    </xf>
    <xf numFmtId="4" fontId="0" fillId="0" borderId="10" xfId="0" applyNumberFormat="1" applyBorder="1" applyAlignment="1">
      <alignment horizontal="right"/>
    </xf>
    <xf numFmtId="4" fontId="0" fillId="0" borderId="11" xfId="0" applyNumberFormat="1" applyBorder="1" applyAlignment="1">
      <alignment horizontal="right"/>
    </xf>
    <xf numFmtId="0" fontId="0" fillId="4" borderId="6" xfId="0" applyFill="1" applyBorder="1" applyAlignment="1">
      <alignment horizontal="left"/>
    </xf>
    <xf numFmtId="0" fontId="0" fillId="4" borderId="20" xfId="0" applyFill="1" applyBorder="1" applyAlignment="1">
      <alignment horizontal="left"/>
    </xf>
    <xf numFmtId="4" fontId="0" fillId="9" borderId="9" xfId="0" applyNumberFormat="1" applyFill="1" applyBorder="1" applyAlignment="1">
      <alignment horizontal="right"/>
    </xf>
    <xf numFmtId="4" fontId="0" fillId="9" borderId="10" xfId="0" applyNumberFormat="1" applyFill="1" applyBorder="1" applyAlignment="1">
      <alignment horizontal="right"/>
    </xf>
    <xf numFmtId="4" fontId="0" fillId="9" borderId="11" xfId="0" applyNumberFormat="1" applyFill="1" applyBorder="1" applyAlignment="1">
      <alignment horizontal="right"/>
    </xf>
    <xf numFmtId="0" fontId="0" fillId="0" borderId="9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188" fontId="0" fillId="4" borderId="6" xfId="0" applyNumberForma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33" xfId="0" applyFill="1" applyBorder="1" applyAlignment="1">
      <alignment horizontal="center"/>
    </xf>
    <xf numFmtId="188" fontId="0" fillId="0" borderId="32" xfId="0" applyNumberFormat="1" applyBorder="1" applyAlignment="1">
      <alignment horizontal="center"/>
    </xf>
    <xf numFmtId="188" fontId="0" fillId="0" borderId="2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4" borderId="18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188" fontId="0" fillId="4" borderId="16" xfId="0" applyNumberFormat="1" applyFill="1" applyBorder="1" applyAlignment="1">
      <alignment horizontal="center" vertical="center"/>
    </xf>
    <xf numFmtId="188" fontId="0" fillId="4" borderId="13" xfId="0" applyNumberFormat="1" applyFill="1" applyBorder="1" applyAlignment="1">
      <alignment horizontal="center" vertical="center"/>
    </xf>
    <xf numFmtId="0" fontId="0" fillId="4" borderId="16" xfId="0" applyFill="1" applyBorder="1" applyAlignment="1">
      <alignment horizontal="left" vertical="center"/>
    </xf>
    <xf numFmtId="0" fontId="0" fillId="4" borderId="17" xfId="0" applyFill="1" applyBorder="1" applyAlignment="1">
      <alignment horizontal="left" vertical="center"/>
    </xf>
    <xf numFmtId="0" fontId="0" fillId="4" borderId="13" xfId="0" applyFill="1" applyBorder="1" applyAlignment="1">
      <alignment horizontal="left" vertical="center"/>
    </xf>
    <xf numFmtId="0" fontId="0" fillId="4" borderId="14" xfId="0" applyFill="1" applyBorder="1" applyAlignment="1">
      <alignment horizontal="left" vertical="center"/>
    </xf>
    <xf numFmtId="187" fontId="0" fillId="4" borderId="15" xfId="0" applyNumberFormat="1" applyFill="1" applyBorder="1" applyAlignment="1">
      <alignment horizontal="center" vertical="center"/>
    </xf>
    <xf numFmtId="187" fontId="0" fillId="4" borderId="17" xfId="0" applyNumberFormat="1" applyFill="1" applyBorder="1" applyAlignment="1">
      <alignment horizontal="center" vertical="center"/>
    </xf>
    <xf numFmtId="187" fontId="0" fillId="4" borderId="12" xfId="0" applyNumberFormat="1" applyFill="1" applyBorder="1" applyAlignment="1">
      <alignment horizontal="center" vertical="center"/>
    </xf>
    <xf numFmtId="187" fontId="0" fillId="4" borderId="14" xfId="0" applyNumberFormat="1" applyFill="1" applyBorder="1" applyAlignment="1">
      <alignment horizontal="center" vertical="center"/>
    </xf>
    <xf numFmtId="0" fontId="0" fillId="4" borderId="6" xfId="0" applyFill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4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13.png"/><Relationship Id="rId18" Type="http://schemas.openxmlformats.org/officeDocument/2006/relationships/image" Target="../media/image24.png"/><Relationship Id="rId3" Type="http://schemas.openxmlformats.org/officeDocument/2006/relationships/image" Target="../media/image17.png"/><Relationship Id="rId7" Type="http://schemas.openxmlformats.org/officeDocument/2006/relationships/image" Target="../media/image3.png"/><Relationship Id="rId12" Type="http://schemas.openxmlformats.org/officeDocument/2006/relationships/image" Target="../media/image11.png"/><Relationship Id="rId17" Type="http://schemas.openxmlformats.org/officeDocument/2006/relationships/image" Target="../media/image23.png"/><Relationship Id="rId2" Type="http://schemas.openxmlformats.org/officeDocument/2006/relationships/image" Target="../media/image16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1" Type="http://schemas.openxmlformats.org/officeDocument/2006/relationships/image" Target="../media/image15.png"/><Relationship Id="rId6" Type="http://schemas.openxmlformats.org/officeDocument/2006/relationships/image" Target="../media/image2.png"/><Relationship Id="rId11" Type="http://schemas.openxmlformats.org/officeDocument/2006/relationships/image" Target="../media/image10.png"/><Relationship Id="rId5" Type="http://schemas.openxmlformats.org/officeDocument/2006/relationships/image" Target="../media/image19.png"/><Relationship Id="rId15" Type="http://schemas.openxmlformats.org/officeDocument/2006/relationships/image" Target="../media/image21.png"/><Relationship Id="rId10" Type="http://schemas.openxmlformats.org/officeDocument/2006/relationships/image" Target="../media/image9.png"/><Relationship Id="rId19" Type="http://schemas.openxmlformats.org/officeDocument/2006/relationships/image" Target="../media/image25.png"/><Relationship Id="rId4" Type="http://schemas.openxmlformats.org/officeDocument/2006/relationships/image" Target="../media/image18.png"/><Relationship Id="rId9" Type="http://schemas.openxmlformats.org/officeDocument/2006/relationships/image" Target="../media/image5.png"/><Relationship Id="rId1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13.png"/><Relationship Id="rId18" Type="http://schemas.openxmlformats.org/officeDocument/2006/relationships/image" Target="../media/image24.png"/><Relationship Id="rId3" Type="http://schemas.openxmlformats.org/officeDocument/2006/relationships/image" Target="../media/image16.png"/><Relationship Id="rId7" Type="http://schemas.openxmlformats.org/officeDocument/2006/relationships/image" Target="../media/image3.png"/><Relationship Id="rId12" Type="http://schemas.openxmlformats.org/officeDocument/2006/relationships/image" Target="../media/image11.png"/><Relationship Id="rId17" Type="http://schemas.openxmlformats.org/officeDocument/2006/relationships/image" Target="../media/image23.png"/><Relationship Id="rId2" Type="http://schemas.openxmlformats.org/officeDocument/2006/relationships/image" Target="../media/image15.png"/><Relationship Id="rId16" Type="http://schemas.openxmlformats.org/officeDocument/2006/relationships/image" Target="../media/image22.png"/><Relationship Id="rId1" Type="http://schemas.openxmlformats.org/officeDocument/2006/relationships/image" Target="../media/image27.png"/><Relationship Id="rId6" Type="http://schemas.openxmlformats.org/officeDocument/2006/relationships/image" Target="../media/image2.png"/><Relationship Id="rId11" Type="http://schemas.openxmlformats.org/officeDocument/2006/relationships/image" Target="../media/image10.png"/><Relationship Id="rId5" Type="http://schemas.openxmlformats.org/officeDocument/2006/relationships/image" Target="../media/image18.png"/><Relationship Id="rId15" Type="http://schemas.openxmlformats.org/officeDocument/2006/relationships/image" Target="../media/image21.png"/><Relationship Id="rId10" Type="http://schemas.openxmlformats.org/officeDocument/2006/relationships/image" Target="../media/image9.png"/><Relationship Id="rId19" Type="http://schemas.openxmlformats.org/officeDocument/2006/relationships/image" Target="../media/image26.png"/><Relationship Id="rId4" Type="http://schemas.openxmlformats.org/officeDocument/2006/relationships/image" Target="../media/image17.png"/><Relationship Id="rId9" Type="http://schemas.openxmlformats.org/officeDocument/2006/relationships/image" Target="../media/image5.png"/><Relationship Id="rId1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28575</xdr:rowOff>
    </xdr:from>
    <xdr:to>
      <xdr:col>17</xdr:col>
      <xdr:colOff>257175</xdr:colOff>
      <xdr:row>18</xdr:row>
      <xdr:rowOff>57150</xdr:rowOff>
    </xdr:to>
    <xdr:pic>
      <xdr:nvPicPr>
        <xdr:cNvPr id="3" name="รูปภาพ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669" t="29106" r="26103" b="21017"/>
        <a:stretch/>
      </xdr:blipFill>
      <xdr:spPr>
        <a:xfrm>
          <a:off x="0" y="390525"/>
          <a:ext cx="6429375" cy="2962275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22</xdr:row>
      <xdr:rowOff>161925</xdr:rowOff>
    </xdr:from>
    <xdr:to>
      <xdr:col>17</xdr:col>
      <xdr:colOff>19051</xdr:colOff>
      <xdr:row>25</xdr:row>
      <xdr:rowOff>95250</xdr:rowOff>
    </xdr:to>
    <xdr:pic>
      <xdr:nvPicPr>
        <xdr:cNvPr id="4" name="รูปภาพ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89" t="54321" r="53482" b="39825"/>
        <a:stretch/>
      </xdr:blipFill>
      <xdr:spPr>
        <a:xfrm>
          <a:off x="1" y="3419475"/>
          <a:ext cx="6191250" cy="4953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25</xdr:row>
      <xdr:rowOff>142875</xdr:rowOff>
    </xdr:from>
    <xdr:to>
      <xdr:col>10</xdr:col>
      <xdr:colOff>19050</xdr:colOff>
      <xdr:row>28</xdr:row>
      <xdr:rowOff>38100</xdr:rowOff>
    </xdr:to>
    <xdr:pic>
      <xdr:nvPicPr>
        <xdr:cNvPr id="7" name="รูปภาพ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85" t="59838" r="81788" b="32281"/>
        <a:stretch/>
      </xdr:blipFill>
      <xdr:spPr>
        <a:xfrm>
          <a:off x="9525" y="3943350"/>
          <a:ext cx="1381125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31</xdr:row>
      <xdr:rowOff>19050</xdr:rowOff>
    </xdr:from>
    <xdr:to>
      <xdr:col>13</xdr:col>
      <xdr:colOff>19050</xdr:colOff>
      <xdr:row>51</xdr:row>
      <xdr:rowOff>137812</xdr:rowOff>
    </xdr:to>
    <xdr:pic>
      <xdr:nvPicPr>
        <xdr:cNvPr id="10" name="รูปภาพ 9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862" t="15884" r="37280" b="12206"/>
        <a:stretch/>
      </xdr:blipFill>
      <xdr:spPr>
        <a:xfrm>
          <a:off x="95250" y="5972175"/>
          <a:ext cx="3352800" cy="3738262"/>
        </a:xfrm>
        <a:prstGeom prst="rect">
          <a:avLst/>
        </a:prstGeom>
      </xdr:spPr>
    </xdr:pic>
    <xdr:clientData/>
  </xdr:twoCellAnchor>
  <xdr:twoCellAnchor editAs="oneCell">
    <xdr:from>
      <xdr:col>14</xdr:col>
      <xdr:colOff>10116</xdr:colOff>
      <xdr:row>37</xdr:row>
      <xdr:rowOff>123824</xdr:rowOff>
    </xdr:from>
    <xdr:to>
      <xdr:col>15</xdr:col>
      <xdr:colOff>676275</xdr:colOff>
      <xdr:row>46</xdr:row>
      <xdr:rowOff>171450</xdr:rowOff>
    </xdr:to>
    <xdr:pic>
      <xdr:nvPicPr>
        <xdr:cNvPr id="5" name="รูปภาพ 4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9738" t="14719" r="41487" b="12742"/>
        <a:stretch/>
      </xdr:blipFill>
      <xdr:spPr>
        <a:xfrm>
          <a:off x="4124916" y="7162799"/>
          <a:ext cx="1351959" cy="1676401"/>
        </a:xfrm>
        <a:prstGeom prst="rect">
          <a:avLst/>
        </a:prstGeom>
      </xdr:spPr>
    </xdr:pic>
    <xdr:clientData/>
  </xdr:twoCellAnchor>
  <xdr:oneCellAnchor>
    <xdr:from>
      <xdr:col>1</xdr:col>
      <xdr:colOff>428626</xdr:colOff>
      <xdr:row>28</xdr:row>
      <xdr:rowOff>66674</xdr:rowOff>
    </xdr:from>
    <xdr:ext cx="2705099" cy="2962275"/>
    <xdr:pic>
      <xdr:nvPicPr>
        <xdr:cNvPr id="13" name="รูปภาพ 1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805" t="16328" r="36442" b="14510"/>
        <a:stretch/>
      </xdr:blipFill>
      <xdr:spPr>
        <a:xfrm>
          <a:off x="12553951" y="428624"/>
          <a:ext cx="2705099" cy="2962275"/>
        </a:xfrm>
        <a:prstGeom prst="rect">
          <a:avLst/>
        </a:prstGeom>
      </xdr:spPr>
    </xdr:pic>
    <xdr:clientData/>
  </xdr:oneCellAnchor>
  <xdr:twoCellAnchor editAs="oneCell">
    <xdr:from>
      <xdr:col>17</xdr:col>
      <xdr:colOff>276226</xdr:colOff>
      <xdr:row>2</xdr:row>
      <xdr:rowOff>19051</xdr:rowOff>
    </xdr:from>
    <xdr:to>
      <xdr:col>25</xdr:col>
      <xdr:colOff>0</xdr:colOff>
      <xdr:row>22</xdr:row>
      <xdr:rowOff>92081</xdr:rowOff>
    </xdr:to>
    <xdr:pic>
      <xdr:nvPicPr>
        <xdr:cNvPr id="8" name="รูปภาพ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990" t="18981" r="31383" b="11482"/>
        <a:stretch/>
      </xdr:blipFill>
      <xdr:spPr>
        <a:xfrm>
          <a:off x="11715751" y="381001"/>
          <a:ext cx="5210174" cy="3730630"/>
        </a:xfrm>
        <a:prstGeom prst="rect">
          <a:avLst/>
        </a:prstGeom>
      </xdr:spPr>
    </xdr:pic>
    <xdr:clientData/>
  </xdr:twoCellAnchor>
  <xdr:twoCellAnchor editAs="oneCell">
    <xdr:from>
      <xdr:col>18</xdr:col>
      <xdr:colOff>552450</xdr:colOff>
      <xdr:row>25</xdr:row>
      <xdr:rowOff>95251</xdr:rowOff>
    </xdr:from>
    <xdr:to>
      <xdr:col>24</xdr:col>
      <xdr:colOff>314797</xdr:colOff>
      <xdr:row>50</xdr:row>
      <xdr:rowOff>85725</xdr:rowOff>
    </xdr:to>
    <xdr:pic>
      <xdr:nvPicPr>
        <xdr:cNvPr id="9" name="รูปภาพ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0921" t="17897" r="25479" b="7262"/>
        <a:stretch/>
      </xdr:blipFill>
      <xdr:spPr>
        <a:xfrm>
          <a:off x="12677775" y="4619626"/>
          <a:ext cx="3877147" cy="485774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58</xdr:row>
      <xdr:rowOff>114299</xdr:rowOff>
    </xdr:from>
    <xdr:to>
      <xdr:col>6</xdr:col>
      <xdr:colOff>609600</xdr:colOff>
      <xdr:row>80</xdr:row>
      <xdr:rowOff>3338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20400" t="17526" r="27242" b="9278"/>
        <a:stretch>
          <a:fillRect/>
        </a:stretch>
      </xdr:blipFill>
      <xdr:spPr bwMode="auto">
        <a:xfrm>
          <a:off x="171450" y="11010899"/>
          <a:ext cx="4924425" cy="38704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57150</xdr:colOff>
      <xdr:row>58</xdr:row>
      <xdr:rowOff>57149</xdr:rowOff>
    </xdr:from>
    <xdr:to>
      <xdr:col>14</xdr:col>
      <xdr:colOff>638175</xdr:colOff>
      <xdr:row>71</xdr:row>
      <xdr:rowOff>145335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19274" t="24579" r="33333" b="26216"/>
        <a:stretch>
          <a:fillRect/>
        </a:stretch>
      </xdr:blipFill>
      <xdr:spPr bwMode="auto">
        <a:xfrm>
          <a:off x="5229225" y="10953749"/>
          <a:ext cx="4791075" cy="24408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104775</xdr:colOff>
      <xdr:row>80</xdr:row>
      <xdr:rowOff>19050</xdr:rowOff>
    </xdr:from>
    <xdr:to>
      <xdr:col>7</xdr:col>
      <xdr:colOff>11548</xdr:colOff>
      <xdr:row>91</xdr:row>
      <xdr:rowOff>147637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10229" t="33539" r="39448" b="26749"/>
        <a:stretch>
          <a:fillRect/>
        </a:stretch>
      </xdr:blipFill>
      <xdr:spPr bwMode="auto">
        <a:xfrm>
          <a:off x="104775" y="14897100"/>
          <a:ext cx="5078848" cy="2143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656617</xdr:colOff>
      <xdr:row>58</xdr:row>
      <xdr:rowOff>28575</xdr:rowOff>
    </xdr:from>
    <xdr:to>
      <xdr:col>18</xdr:col>
      <xdr:colOff>628650</xdr:colOff>
      <xdr:row>72</xdr:row>
      <xdr:rowOff>28575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38253" t="26272" r="28905" b="16408"/>
        <a:stretch>
          <a:fillRect/>
        </a:stretch>
      </xdr:blipFill>
      <xdr:spPr bwMode="auto">
        <a:xfrm>
          <a:off x="10038742" y="10925175"/>
          <a:ext cx="2715233" cy="2533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590550</xdr:colOff>
      <xdr:row>58</xdr:row>
      <xdr:rowOff>0</xdr:rowOff>
    </xdr:from>
    <xdr:to>
      <xdr:col>24</xdr:col>
      <xdr:colOff>290561</xdr:colOff>
      <xdr:row>84</xdr:row>
      <xdr:rowOff>133350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43427" t="13301" r="22452" b="9721"/>
        <a:stretch>
          <a:fillRect/>
        </a:stretch>
      </xdr:blipFill>
      <xdr:spPr bwMode="auto">
        <a:xfrm>
          <a:off x="12715875" y="10896600"/>
          <a:ext cx="3814811" cy="483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23811</xdr:colOff>
      <xdr:row>72</xdr:row>
      <xdr:rowOff>47624</xdr:rowOff>
    </xdr:from>
    <xdr:to>
      <xdr:col>10</xdr:col>
      <xdr:colOff>642937</xdr:colOff>
      <xdr:row>86</xdr:row>
      <xdr:rowOff>107156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42246" t="23213" r="29466" b="15089"/>
        <a:stretch>
          <a:fillRect/>
        </a:stretch>
      </xdr:blipFill>
      <xdr:spPr bwMode="auto">
        <a:xfrm>
          <a:off x="5310186" y="13323093"/>
          <a:ext cx="2000251" cy="25598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190500</xdr:colOff>
      <xdr:row>72</xdr:row>
      <xdr:rowOff>107157</xdr:rowOff>
    </xdr:from>
    <xdr:to>
      <xdr:col>16</xdr:col>
      <xdr:colOff>654254</xdr:colOff>
      <xdr:row>85</xdr:row>
      <xdr:rowOff>59531</xdr:rowOff>
    </xdr:to>
    <xdr:pic>
      <xdr:nvPicPr>
        <xdr:cNvPr id="19" name="รูปภาพ 18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9738" t="14719" r="41487" b="12742"/>
        <a:stretch/>
      </xdr:blipFill>
      <xdr:spPr>
        <a:xfrm>
          <a:off x="9620250" y="13382626"/>
          <a:ext cx="1844879" cy="22740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11206</xdr:colOff>
      <xdr:row>2</xdr:row>
      <xdr:rowOff>44824</xdr:rowOff>
    </xdr:from>
    <xdr:to>
      <xdr:col>17</xdr:col>
      <xdr:colOff>246530</xdr:colOff>
      <xdr:row>16</xdr:row>
      <xdr:rowOff>168088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0564" t="22574" r="35534" b="26352"/>
        <a:stretch>
          <a:fillRect/>
        </a:stretch>
      </xdr:blipFill>
      <xdr:spPr bwMode="auto">
        <a:xfrm>
          <a:off x="5266765" y="403412"/>
          <a:ext cx="6387353" cy="2667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</xdr:colOff>
      <xdr:row>22</xdr:row>
      <xdr:rowOff>161925</xdr:rowOff>
    </xdr:from>
    <xdr:to>
      <xdr:col>17</xdr:col>
      <xdr:colOff>19051</xdr:colOff>
      <xdr:row>25</xdr:row>
      <xdr:rowOff>95250</xdr:rowOff>
    </xdr:to>
    <xdr:pic>
      <xdr:nvPicPr>
        <xdr:cNvPr id="3" name="รูปภาพ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89" t="54321" r="53482" b="39825"/>
        <a:stretch/>
      </xdr:blipFill>
      <xdr:spPr>
        <a:xfrm>
          <a:off x="5267326" y="4181475"/>
          <a:ext cx="6191250" cy="4953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25</xdr:row>
      <xdr:rowOff>142875</xdr:rowOff>
    </xdr:from>
    <xdr:to>
      <xdr:col>10</xdr:col>
      <xdr:colOff>19050</xdr:colOff>
      <xdr:row>28</xdr:row>
      <xdr:rowOff>38100</xdr:rowOff>
    </xdr:to>
    <xdr:pic>
      <xdr:nvPicPr>
        <xdr:cNvPr id="4" name="รูปภาพ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85" t="59838" r="81788" b="32281"/>
        <a:stretch/>
      </xdr:blipFill>
      <xdr:spPr>
        <a:xfrm>
          <a:off x="5276850" y="4724400"/>
          <a:ext cx="1381125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31</xdr:row>
      <xdr:rowOff>19050</xdr:rowOff>
    </xdr:from>
    <xdr:to>
      <xdr:col>13</xdr:col>
      <xdr:colOff>19050</xdr:colOff>
      <xdr:row>51</xdr:row>
      <xdr:rowOff>137812</xdr:rowOff>
    </xdr:to>
    <xdr:pic>
      <xdr:nvPicPr>
        <xdr:cNvPr id="5" name="รูปภาพ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862" t="15884" r="37280" b="12206"/>
        <a:stretch/>
      </xdr:blipFill>
      <xdr:spPr>
        <a:xfrm>
          <a:off x="5362575" y="6029325"/>
          <a:ext cx="3352800" cy="3738262"/>
        </a:xfrm>
        <a:prstGeom prst="rect">
          <a:avLst/>
        </a:prstGeom>
      </xdr:spPr>
    </xdr:pic>
    <xdr:clientData/>
  </xdr:twoCellAnchor>
  <xdr:twoCellAnchor editAs="oneCell">
    <xdr:from>
      <xdr:col>14</xdr:col>
      <xdr:colOff>10116</xdr:colOff>
      <xdr:row>37</xdr:row>
      <xdr:rowOff>123824</xdr:rowOff>
    </xdr:from>
    <xdr:to>
      <xdr:col>15</xdr:col>
      <xdr:colOff>676275</xdr:colOff>
      <xdr:row>46</xdr:row>
      <xdr:rowOff>171450</xdr:rowOff>
    </xdr:to>
    <xdr:pic>
      <xdr:nvPicPr>
        <xdr:cNvPr id="6" name="รูปภาพ 5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9738" t="14719" r="41487" b="12742"/>
        <a:stretch/>
      </xdr:blipFill>
      <xdr:spPr>
        <a:xfrm>
          <a:off x="9392241" y="7219949"/>
          <a:ext cx="1351959" cy="1676401"/>
        </a:xfrm>
        <a:prstGeom prst="rect">
          <a:avLst/>
        </a:prstGeom>
      </xdr:spPr>
    </xdr:pic>
    <xdr:clientData/>
  </xdr:twoCellAnchor>
  <xdr:oneCellAnchor>
    <xdr:from>
      <xdr:col>1</xdr:col>
      <xdr:colOff>428626</xdr:colOff>
      <xdr:row>28</xdr:row>
      <xdr:rowOff>66674</xdr:rowOff>
    </xdr:from>
    <xdr:ext cx="2705099" cy="2962275"/>
    <xdr:pic>
      <xdr:nvPicPr>
        <xdr:cNvPr id="7" name="รูปภาพ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805" t="16328" r="36442" b="14510"/>
        <a:stretch/>
      </xdr:blipFill>
      <xdr:spPr>
        <a:xfrm>
          <a:off x="1114426" y="5534024"/>
          <a:ext cx="2705099" cy="2962275"/>
        </a:xfrm>
        <a:prstGeom prst="rect">
          <a:avLst/>
        </a:prstGeom>
      </xdr:spPr>
    </xdr:pic>
    <xdr:clientData/>
  </xdr:oneCellAnchor>
  <xdr:twoCellAnchor editAs="oneCell">
    <xdr:from>
      <xdr:col>17</xdr:col>
      <xdr:colOff>276226</xdr:colOff>
      <xdr:row>2</xdr:row>
      <xdr:rowOff>19051</xdr:rowOff>
    </xdr:from>
    <xdr:to>
      <xdr:col>25</xdr:col>
      <xdr:colOff>0</xdr:colOff>
      <xdr:row>22</xdr:row>
      <xdr:rowOff>92081</xdr:rowOff>
    </xdr:to>
    <xdr:pic>
      <xdr:nvPicPr>
        <xdr:cNvPr id="8" name="รูปภาพ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990" t="18981" r="31383" b="11482"/>
        <a:stretch/>
      </xdr:blipFill>
      <xdr:spPr>
        <a:xfrm>
          <a:off x="11715751" y="381001"/>
          <a:ext cx="5210174" cy="3730630"/>
        </a:xfrm>
        <a:prstGeom prst="rect">
          <a:avLst/>
        </a:prstGeom>
      </xdr:spPr>
    </xdr:pic>
    <xdr:clientData/>
  </xdr:twoCellAnchor>
  <xdr:twoCellAnchor editAs="oneCell">
    <xdr:from>
      <xdr:col>18</xdr:col>
      <xdr:colOff>552450</xdr:colOff>
      <xdr:row>25</xdr:row>
      <xdr:rowOff>95251</xdr:rowOff>
    </xdr:from>
    <xdr:to>
      <xdr:col>24</xdr:col>
      <xdr:colOff>314797</xdr:colOff>
      <xdr:row>50</xdr:row>
      <xdr:rowOff>85725</xdr:rowOff>
    </xdr:to>
    <xdr:pic>
      <xdr:nvPicPr>
        <xdr:cNvPr id="9" name="รูปภาพ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0921" t="17897" r="25479" b="7262"/>
        <a:stretch/>
      </xdr:blipFill>
      <xdr:spPr>
        <a:xfrm>
          <a:off x="12677775" y="4676776"/>
          <a:ext cx="3877147" cy="485774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58</xdr:row>
      <xdr:rowOff>114299</xdr:rowOff>
    </xdr:from>
    <xdr:to>
      <xdr:col>6</xdr:col>
      <xdr:colOff>609600</xdr:colOff>
      <xdr:row>80</xdr:row>
      <xdr:rowOff>3338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20400" t="17526" r="27242" b="9278"/>
        <a:stretch>
          <a:fillRect/>
        </a:stretch>
      </xdr:blipFill>
      <xdr:spPr bwMode="auto">
        <a:xfrm>
          <a:off x="171450" y="11010899"/>
          <a:ext cx="4924425" cy="38704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57150</xdr:colOff>
      <xdr:row>58</xdr:row>
      <xdr:rowOff>57149</xdr:rowOff>
    </xdr:from>
    <xdr:to>
      <xdr:col>14</xdr:col>
      <xdr:colOff>638175</xdr:colOff>
      <xdr:row>71</xdr:row>
      <xdr:rowOff>145335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19274" t="24579" r="33333" b="26216"/>
        <a:stretch>
          <a:fillRect/>
        </a:stretch>
      </xdr:blipFill>
      <xdr:spPr bwMode="auto">
        <a:xfrm>
          <a:off x="5229225" y="10953749"/>
          <a:ext cx="4791075" cy="24408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104775</xdr:colOff>
      <xdr:row>80</xdr:row>
      <xdr:rowOff>19050</xdr:rowOff>
    </xdr:from>
    <xdr:to>
      <xdr:col>7</xdr:col>
      <xdr:colOff>11548</xdr:colOff>
      <xdr:row>91</xdr:row>
      <xdr:rowOff>147637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10229" t="33539" r="39448" b="26749"/>
        <a:stretch>
          <a:fillRect/>
        </a:stretch>
      </xdr:blipFill>
      <xdr:spPr bwMode="auto">
        <a:xfrm>
          <a:off x="104775" y="14897100"/>
          <a:ext cx="5078848" cy="21383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656617</xdr:colOff>
      <xdr:row>58</xdr:row>
      <xdr:rowOff>28575</xdr:rowOff>
    </xdr:from>
    <xdr:to>
      <xdr:col>18</xdr:col>
      <xdr:colOff>628650</xdr:colOff>
      <xdr:row>72</xdr:row>
      <xdr:rowOff>28575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38253" t="26272" r="28905" b="16408"/>
        <a:stretch>
          <a:fillRect/>
        </a:stretch>
      </xdr:blipFill>
      <xdr:spPr bwMode="auto">
        <a:xfrm>
          <a:off x="10038742" y="10925175"/>
          <a:ext cx="2715233" cy="2533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590550</xdr:colOff>
      <xdr:row>58</xdr:row>
      <xdr:rowOff>0</xdr:rowOff>
    </xdr:from>
    <xdr:to>
      <xdr:col>24</xdr:col>
      <xdr:colOff>290561</xdr:colOff>
      <xdr:row>84</xdr:row>
      <xdr:rowOff>133350</xdr:rowOff>
    </xdr:to>
    <xdr:pic>
      <xdr:nvPicPr>
        <xdr:cNvPr id="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43427" t="13301" r="22452" b="9721"/>
        <a:stretch>
          <a:fillRect/>
        </a:stretch>
      </xdr:blipFill>
      <xdr:spPr bwMode="auto">
        <a:xfrm>
          <a:off x="12715875" y="10896600"/>
          <a:ext cx="3814811" cy="483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23811</xdr:colOff>
      <xdr:row>72</xdr:row>
      <xdr:rowOff>47624</xdr:rowOff>
    </xdr:from>
    <xdr:to>
      <xdr:col>10</xdr:col>
      <xdr:colOff>642937</xdr:colOff>
      <xdr:row>86</xdr:row>
      <xdr:rowOff>107156</xdr:rowOff>
    </xdr:to>
    <xdr:pic>
      <xdr:nvPicPr>
        <xdr:cNvPr id="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42246" t="23213" r="29466" b="15089"/>
        <a:stretch>
          <a:fillRect/>
        </a:stretch>
      </xdr:blipFill>
      <xdr:spPr bwMode="auto">
        <a:xfrm>
          <a:off x="5291136" y="13477874"/>
          <a:ext cx="1990726" cy="2593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190500</xdr:colOff>
      <xdr:row>72</xdr:row>
      <xdr:rowOff>107157</xdr:rowOff>
    </xdr:from>
    <xdr:to>
      <xdr:col>16</xdr:col>
      <xdr:colOff>654254</xdr:colOff>
      <xdr:row>85</xdr:row>
      <xdr:rowOff>59531</xdr:rowOff>
    </xdr:to>
    <xdr:pic>
      <xdr:nvPicPr>
        <xdr:cNvPr id="16" name="รูปภาพ 15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9738" t="14719" r="41487" b="12742"/>
        <a:stretch/>
      </xdr:blipFill>
      <xdr:spPr>
        <a:xfrm>
          <a:off x="9572625" y="13537407"/>
          <a:ext cx="1835354" cy="2305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631031</xdr:colOff>
      <xdr:row>85</xdr:row>
      <xdr:rowOff>-1</xdr:rowOff>
    </xdr:from>
    <xdr:to>
      <xdr:col>24</xdr:col>
      <xdr:colOff>71437</xdr:colOff>
      <xdr:row>114</xdr:row>
      <xdr:rowOff>145169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37277" t="17094" r="40303" b="24177"/>
        <a:stretch>
          <a:fillRect/>
        </a:stretch>
      </xdr:blipFill>
      <xdr:spPr bwMode="auto">
        <a:xfrm>
          <a:off x="12823031" y="15597187"/>
          <a:ext cx="3690937" cy="5336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178593</xdr:colOff>
      <xdr:row>85</xdr:row>
      <xdr:rowOff>59531</xdr:rowOff>
    </xdr:from>
    <xdr:to>
      <xdr:col>6</xdr:col>
      <xdr:colOff>583405</xdr:colOff>
      <xdr:row>107</xdr:row>
      <xdr:rowOff>57573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5421" t="18006" r="45822" b="19437"/>
        <a:stretch>
          <a:fillRect/>
        </a:stretch>
      </xdr:blipFill>
      <xdr:spPr bwMode="auto">
        <a:xfrm>
          <a:off x="178593" y="15656719"/>
          <a:ext cx="4905375" cy="3927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285750</xdr:colOff>
      <xdr:row>2</xdr:row>
      <xdr:rowOff>23811</xdr:rowOff>
    </xdr:from>
    <xdr:to>
      <xdr:col>24</xdr:col>
      <xdr:colOff>595313</xdr:colOff>
      <xdr:row>22</xdr:row>
      <xdr:rowOff>23811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15723" t="18148" r="35220" b="12579"/>
        <a:stretch>
          <a:fillRect/>
        </a:stretch>
      </xdr:blipFill>
      <xdr:spPr bwMode="auto">
        <a:xfrm>
          <a:off x="11787188" y="380999"/>
          <a:ext cx="5250656" cy="361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547687</xdr:colOff>
      <xdr:row>25</xdr:row>
      <xdr:rowOff>107156</xdr:rowOff>
    </xdr:from>
    <xdr:to>
      <xdr:col>24</xdr:col>
      <xdr:colOff>176317</xdr:colOff>
      <xdr:row>51</xdr:row>
      <xdr:rowOff>142875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50281" t="14563" r="20141" b="15943"/>
        <a:stretch>
          <a:fillRect/>
        </a:stretch>
      </xdr:blipFill>
      <xdr:spPr bwMode="auto">
        <a:xfrm>
          <a:off x="12739687" y="4643437"/>
          <a:ext cx="3879161" cy="50244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59531</xdr:colOff>
      <xdr:row>2</xdr:row>
      <xdr:rowOff>23813</xdr:rowOff>
    </xdr:from>
    <xdr:to>
      <xdr:col>17</xdr:col>
      <xdr:colOff>59531</xdr:colOff>
      <xdr:row>18</xdr:row>
      <xdr:rowOff>11906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3942" t="21179" r="28010" b="23045"/>
        <a:stretch>
          <a:fillRect/>
        </a:stretch>
      </xdr:blipFill>
      <xdr:spPr bwMode="auto">
        <a:xfrm>
          <a:off x="5345906" y="381001"/>
          <a:ext cx="6215063" cy="28932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</xdr:colOff>
      <xdr:row>22</xdr:row>
      <xdr:rowOff>161925</xdr:rowOff>
    </xdr:from>
    <xdr:to>
      <xdr:col>17</xdr:col>
      <xdr:colOff>19051</xdr:colOff>
      <xdr:row>25</xdr:row>
      <xdr:rowOff>95250</xdr:rowOff>
    </xdr:to>
    <xdr:pic>
      <xdr:nvPicPr>
        <xdr:cNvPr id="3" name="รูปภาพ 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289" t="54321" r="53482" b="39825"/>
        <a:stretch/>
      </xdr:blipFill>
      <xdr:spPr>
        <a:xfrm>
          <a:off x="5267326" y="4181475"/>
          <a:ext cx="6191250" cy="4953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25</xdr:row>
      <xdr:rowOff>142875</xdr:rowOff>
    </xdr:from>
    <xdr:to>
      <xdr:col>10</xdr:col>
      <xdr:colOff>19050</xdr:colOff>
      <xdr:row>28</xdr:row>
      <xdr:rowOff>38100</xdr:rowOff>
    </xdr:to>
    <xdr:pic>
      <xdr:nvPicPr>
        <xdr:cNvPr id="4" name="รูปภาพ 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285" t="59838" r="81788" b="32281"/>
        <a:stretch/>
      </xdr:blipFill>
      <xdr:spPr>
        <a:xfrm>
          <a:off x="5276850" y="4724400"/>
          <a:ext cx="1381125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31</xdr:row>
      <xdr:rowOff>19050</xdr:rowOff>
    </xdr:from>
    <xdr:to>
      <xdr:col>13</xdr:col>
      <xdr:colOff>19050</xdr:colOff>
      <xdr:row>51</xdr:row>
      <xdr:rowOff>137812</xdr:rowOff>
    </xdr:to>
    <xdr:pic>
      <xdr:nvPicPr>
        <xdr:cNvPr id="5" name="รูปภาพ 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862" t="15884" r="37280" b="12206"/>
        <a:stretch/>
      </xdr:blipFill>
      <xdr:spPr>
        <a:xfrm>
          <a:off x="5362575" y="6029325"/>
          <a:ext cx="3352800" cy="3738262"/>
        </a:xfrm>
        <a:prstGeom prst="rect">
          <a:avLst/>
        </a:prstGeom>
      </xdr:spPr>
    </xdr:pic>
    <xdr:clientData/>
  </xdr:twoCellAnchor>
  <xdr:twoCellAnchor editAs="oneCell">
    <xdr:from>
      <xdr:col>14</xdr:col>
      <xdr:colOff>10116</xdr:colOff>
      <xdr:row>37</xdr:row>
      <xdr:rowOff>123824</xdr:rowOff>
    </xdr:from>
    <xdr:to>
      <xdr:col>15</xdr:col>
      <xdr:colOff>676275</xdr:colOff>
      <xdr:row>46</xdr:row>
      <xdr:rowOff>171450</xdr:rowOff>
    </xdr:to>
    <xdr:pic>
      <xdr:nvPicPr>
        <xdr:cNvPr id="6" name="รูปภาพ 5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19738" t="14719" r="41487" b="12742"/>
        <a:stretch/>
      </xdr:blipFill>
      <xdr:spPr>
        <a:xfrm>
          <a:off x="9392241" y="7219949"/>
          <a:ext cx="1351959" cy="1676401"/>
        </a:xfrm>
        <a:prstGeom prst="rect">
          <a:avLst/>
        </a:prstGeom>
      </xdr:spPr>
    </xdr:pic>
    <xdr:clientData/>
  </xdr:twoCellAnchor>
  <xdr:oneCellAnchor>
    <xdr:from>
      <xdr:col>1</xdr:col>
      <xdr:colOff>428626</xdr:colOff>
      <xdr:row>28</xdr:row>
      <xdr:rowOff>66674</xdr:rowOff>
    </xdr:from>
    <xdr:ext cx="2705099" cy="2962275"/>
    <xdr:pic>
      <xdr:nvPicPr>
        <xdr:cNvPr id="7" name="รูปภาพ 6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3805" t="16328" r="36442" b="14510"/>
        <a:stretch/>
      </xdr:blipFill>
      <xdr:spPr>
        <a:xfrm>
          <a:off x="1114426" y="5534024"/>
          <a:ext cx="2705099" cy="2962275"/>
        </a:xfrm>
        <a:prstGeom prst="rect">
          <a:avLst/>
        </a:prstGeom>
      </xdr:spPr>
    </xdr:pic>
    <xdr:clientData/>
  </xdr:oneCellAnchor>
  <xdr:twoCellAnchor editAs="oneCell">
    <xdr:from>
      <xdr:col>7</xdr:col>
      <xdr:colOff>57150</xdr:colOff>
      <xdr:row>85</xdr:row>
      <xdr:rowOff>57149</xdr:rowOff>
    </xdr:from>
    <xdr:to>
      <xdr:col>14</xdr:col>
      <xdr:colOff>638175</xdr:colOff>
      <xdr:row>98</xdr:row>
      <xdr:rowOff>145336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19274" t="24579" r="33333" b="26216"/>
        <a:stretch>
          <a:fillRect/>
        </a:stretch>
      </xdr:blipFill>
      <xdr:spPr bwMode="auto">
        <a:xfrm>
          <a:off x="5229225" y="10953749"/>
          <a:ext cx="4791075" cy="24408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104774</xdr:colOff>
      <xdr:row>111</xdr:row>
      <xdr:rowOff>35719</xdr:rowOff>
    </xdr:from>
    <xdr:to>
      <xdr:col>7</xdr:col>
      <xdr:colOff>11547</xdr:colOff>
      <xdr:row>121</xdr:row>
      <xdr:rowOff>11901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10229" t="49486" r="39448" b="26749"/>
        <a:stretch>
          <a:fillRect/>
        </a:stretch>
      </xdr:blipFill>
      <xdr:spPr bwMode="auto">
        <a:xfrm>
          <a:off x="104774" y="20276344"/>
          <a:ext cx="5097898" cy="17859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656617</xdr:colOff>
      <xdr:row>85</xdr:row>
      <xdr:rowOff>28575</xdr:rowOff>
    </xdr:from>
    <xdr:to>
      <xdr:col>18</xdr:col>
      <xdr:colOff>628650</xdr:colOff>
      <xdr:row>99</xdr:row>
      <xdr:rowOff>28576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38253" t="26272" r="28905" b="16408"/>
        <a:stretch>
          <a:fillRect/>
        </a:stretch>
      </xdr:blipFill>
      <xdr:spPr bwMode="auto">
        <a:xfrm>
          <a:off x="10038742" y="10925175"/>
          <a:ext cx="2715233" cy="2533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23811</xdr:colOff>
      <xdr:row>99</xdr:row>
      <xdr:rowOff>47624</xdr:rowOff>
    </xdr:from>
    <xdr:to>
      <xdr:col>10</xdr:col>
      <xdr:colOff>642937</xdr:colOff>
      <xdr:row>113</xdr:row>
      <xdr:rowOff>107155</xdr:rowOff>
    </xdr:to>
    <xdr:pic>
      <xdr:nvPicPr>
        <xdr:cNvPr id="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42246" t="23213" r="29466" b="15089"/>
        <a:stretch>
          <a:fillRect/>
        </a:stretch>
      </xdr:blipFill>
      <xdr:spPr bwMode="auto">
        <a:xfrm>
          <a:off x="5291136" y="13477874"/>
          <a:ext cx="1990726" cy="2593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190500</xdr:colOff>
      <xdr:row>99</xdr:row>
      <xdr:rowOff>107157</xdr:rowOff>
    </xdr:from>
    <xdr:to>
      <xdr:col>16</xdr:col>
      <xdr:colOff>654254</xdr:colOff>
      <xdr:row>112</xdr:row>
      <xdr:rowOff>59531</xdr:rowOff>
    </xdr:to>
    <xdr:pic>
      <xdr:nvPicPr>
        <xdr:cNvPr id="16" name="รูปภาพ 15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19738" t="14719" r="41487" b="12742"/>
        <a:stretch/>
      </xdr:blipFill>
      <xdr:spPr>
        <a:xfrm>
          <a:off x="9572625" y="13537407"/>
          <a:ext cx="1835354" cy="2305049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119060</xdr:colOff>
      <xdr:row>62</xdr:row>
      <xdr:rowOff>83345</xdr:rowOff>
    </xdr:from>
    <xdr:to>
      <xdr:col>13</xdr:col>
      <xdr:colOff>631031</xdr:colOff>
      <xdr:row>81</xdr:row>
      <xdr:rowOff>59531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l="35918" t="27960" r="31169" b="19999"/>
        <a:stretch>
          <a:fillRect/>
        </a:stretch>
      </xdr:blipFill>
      <xdr:spPr bwMode="auto">
        <a:xfrm>
          <a:off x="6095998" y="11572876"/>
          <a:ext cx="3274221" cy="33694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83343</xdr:colOff>
      <xdr:row>64</xdr:row>
      <xdr:rowOff>97576</xdr:rowOff>
    </xdr:from>
    <xdr:to>
      <xdr:col>8</xdr:col>
      <xdr:colOff>166688</xdr:colOff>
      <xdr:row>83</xdr:row>
      <xdr:rowOff>127223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23467" t="15781" r="16427" b="14832"/>
        <a:stretch>
          <a:fillRect/>
        </a:stretch>
      </xdr:blipFill>
      <xdr:spPr bwMode="auto">
        <a:xfrm>
          <a:off x="83343" y="11944295"/>
          <a:ext cx="5369720" cy="34229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19</xdr:col>
      <xdr:colOff>381000</xdr:colOff>
      <xdr:row>116</xdr:row>
      <xdr:rowOff>17464</xdr:rowOff>
    </xdr:from>
    <xdr:to>
      <xdr:col>23</xdr:col>
      <xdr:colOff>502276</xdr:colOff>
      <xdr:row>127</xdr:row>
      <xdr:rowOff>11907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48077" t="60718" r="35671" b="17459"/>
        <a:stretch>
          <a:fillRect/>
        </a:stretch>
      </xdr:blipFill>
      <xdr:spPr bwMode="auto">
        <a:xfrm>
          <a:off x="13263563" y="21162964"/>
          <a:ext cx="2990682" cy="19708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95250</xdr:colOff>
      <xdr:row>140</xdr:row>
      <xdr:rowOff>95249</xdr:rowOff>
    </xdr:from>
    <xdr:to>
      <xdr:col>11</xdr:col>
      <xdr:colOff>654844</xdr:colOff>
      <xdr:row>159</xdr:row>
      <xdr:rowOff>83343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34701" t="18841" r="36790" b="13877"/>
        <a:stretch>
          <a:fillRect/>
        </a:stretch>
      </xdr:blipFill>
      <xdr:spPr bwMode="auto">
        <a:xfrm>
          <a:off x="5381625" y="25407937"/>
          <a:ext cx="2631282" cy="342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333373</xdr:colOff>
      <xdr:row>159</xdr:row>
      <xdr:rowOff>154781</xdr:rowOff>
    </xdr:from>
    <xdr:to>
      <xdr:col>13</xdr:col>
      <xdr:colOff>535779</xdr:colOff>
      <xdr:row>167</xdr:row>
      <xdr:rowOff>196849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11213" t="41719" r="2661" b="32544"/>
        <a:stretch>
          <a:fillRect/>
        </a:stretch>
      </xdr:blipFill>
      <xdr:spPr bwMode="auto">
        <a:xfrm>
          <a:off x="333373" y="28908375"/>
          <a:ext cx="8941594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595314</xdr:colOff>
      <xdr:row>169</xdr:row>
      <xdr:rowOff>47624</xdr:rowOff>
    </xdr:from>
    <xdr:to>
      <xdr:col>8</xdr:col>
      <xdr:colOff>329752</xdr:colOff>
      <xdr:row>183</xdr:row>
      <xdr:rowOff>47624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l="21732" t="24694" r="22253" b="24251"/>
        <a:stretch>
          <a:fillRect/>
        </a:stretch>
      </xdr:blipFill>
      <xdr:spPr bwMode="auto">
        <a:xfrm>
          <a:off x="595314" y="30610968"/>
          <a:ext cx="5020813" cy="2524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83344</xdr:colOff>
      <xdr:row>186</xdr:row>
      <xdr:rowOff>83346</xdr:rowOff>
    </xdr:from>
    <xdr:to>
      <xdr:col>4</xdr:col>
      <xdr:colOff>39486</xdr:colOff>
      <xdr:row>207</xdr:row>
      <xdr:rowOff>173832</xdr:rowOff>
    </xdr:to>
    <xdr:pic>
      <xdr:nvPicPr>
        <xdr:cNvPr id="23" name="รูปภาพ 22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35008" t="15066" r="35875" b="14006"/>
        <a:stretch/>
      </xdr:blipFill>
      <xdr:spPr>
        <a:xfrm>
          <a:off x="292894" y="31268196"/>
          <a:ext cx="2823167" cy="39290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2</xdr:row>
      <xdr:rowOff>23812</xdr:rowOff>
    </xdr:from>
    <xdr:to>
      <xdr:col>18</xdr:col>
      <xdr:colOff>83343</xdr:colOff>
      <xdr:row>17</xdr:row>
      <xdr:rowOff>136254</xdr:rowOff>
    </xdr:to>
    <xdr:pic>
      <xdr:nvPicPr>
        <xdr:cNvPr id="23" name="รูปภาพ 2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910" t="22156" r="29064" b="22524"/>
        <a:stretch/>
      </xdr:blipFill>
      <xdr:spPr>
        <a:xfrm>
          <a:off x="5334001" y="381000"/>
          <a:ext cx="6250780" cy="2838973"/>
        </a:xfrm>
        <a:prstGeom prst="rect">
          <a:avLst/>
        </a:prstGeom>
      </xdr:spPr>
    </xdr:pic>
    <xdr:clientData/>
  </xdr:twoCellAnchor>
  <xdr:twoCellAnchor editAs="oneCell">
    <xdr:from>
      <xdr:col>19</xdr:col>
      <xdr:colOff>631031</xdr:colOff>
      <xdr:row>85</xdr:row>
      <xdr:rowOff>-1</xdr:rowOff>
    </xdr:from>
    <xdr:to>
      <xdr:col>25</xdr:col>
      <xdr:colOff>71437</xdr:colOff>
      <xdr:row>114</xdr:row>
      <xdr:rowOff>145169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37277" t="17094" r="40303" b="24177"/>
        <a:stretch>
          <a:fillRect/>
        </a:stretch>
      </xdr:blipFill>
      <xdr:spPr bwMode="auto">
        <a:xfrm>
          <a:off x="12756356" y="15782924"/>
          <a:ext cx="3669506" cy="5402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178593</xdr:colOff>
      <xdr:row>85</xdr:row>
      <xdr:rowOff>59531</xdr:rowOff>
    </xdr:from>
    <xdr:to>
      <xdr:col>7</xdr:col>
      <xdr:colOff>583405</xdr:colOff>
      <xdr:row>107</xdr:row>
      <xdr:rowOff>57573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15421" t="18006" r="45822" b="19437"/>
        <a:stretch>
          <a:fillRect/>
        </a:stretch>
      </xdr:blipFill>
      <xdr:spPr bwMode="auto">
        <a:xfrm>
          <a:off x="178593" y="15842456"/>
          <a:ext cx="4891087" cy="39794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285750</xdr:colOff>
      <xdr:row>2</xdr:row>
      <xdr:rowOff>23811</xdr:rowOff>
    </xdr:from>
    <xdr:to>
      <xdr:col>25</xdr:col>
      <xdr:colOff>595313</xdr:colOff>
      <xdr:row>22</xdr:row>
      <xdr:rowOff>11905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5723" t="18148" r="35220" b="12579"/>
        <a:stretch>
          <a:fillRect/>
        </a:stretch>
      </xdr:blipFill>
      <xdr:spPr bwMode="auto">
        <a:xfrm>
          <a:off x="11725275" y="385761"/>
          <a:ext cx="5224463" cy="365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19</xdr:col>
      <xdr:colOff>547687</xdr:colOff>
      <xdr:row>25</xdr:row>
      <xdr:rowOff>107156</xdr:rowOff>
    </xdr:from>
    <xdr:to>
      <xdr:col>25</xdr:col>
      <xdr:colOff>176317</xdr:colOff>
      <xdr:row>51</xdr:row>
      <xdr:rowOff>142876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50281" t="14563" r="20141" b="15943"/>
        <a:stretch>
          <a:fillRect/>
        </a:stretch>
      </xdr:blipFill>
      <xdr:spPr bwMode="auto">
        <a:xfrm>
          <a:off x="12673012" y="4688681"/>
          <a:ext cx="3857730" cy="50839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</xdr:colOff>
      <xdr:row>22</xdr:row>
      <xdr:rowOff>161925</xdr:rowOff>
    </xdr:from>
    <xdr:to>
      <xdr:col>18</xdr:col>
      <xdr:colOff>19051</xdr:colOff>
      <xdr:row>25</xdr:row>
      <xdr:rowOff>95249</xdr:rowOff>
    </xdr:to>
    <xdr:pic>
      <xdr:nvPicPr>
        <xdr:cNvPr id="7" name="รูปภาพ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289" t="54321" r="53482" b="39825"/>
        <a:stretch/>
      </xdr:blipFill>
      <xdr:spPr>
        <a:xfrm>
          <a:off x="5267326" y="4181475"/>
          <a:ext cx="619125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25</xdr:row>
      <xdr:rowOff>142875</xdr:rowOff>
    </xdr:from>
    <xdr:to>
      <xdr:col>11</xdr:col>
      <xdr:colOff>19050</xdr:colOff>
      <xdr:row>28</xdr:row>
      <xdr:rowOff>38101</xdr:rowOff>
    </xdr:to>
    <xdr:pic>
      <xdr:nvPicPr>
        <xdr:cNvPr id="8" name="รูปภาพ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285" t="59838" r="81788" b="32281"/>
        <a:stretch/>
      </xdr:blipFill>
      <xdr:spPr>
        <a:xfrm>
          <a:off x="5276850" y="4724400"/>
          <a:ext cx="1381125" cy="7810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31</xdr:row>
      <xdr:rowOff>19050</xdr:rowOff>
    </xdr:from>
    <xdr:to>
      <xdr:col>14</xdr:col>
      <xdr:colOff>19050</xdr:colOff>
      <xdr:row>51</xdr:row>
      <xdr:rowOff>137812</xdr:rowOff>
    </xdr:to>
    <xdr:pic>
      <xdr:nvPicPr>
        <xdr:cNvPr id="9" name="รูปภาพ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862" t="15884" r="37280" b="12206"/>
        <a:stretch/>
      </xdr:blipFill>
      <xdr:spPr>
        <a:xfrm>
          <a:off x="5362575" y="6029325"/>
          <a:ext cx="3352800" cy="3738262"/>
        </a:xfrm>
        <a:prstGeom prst="rect">
          <a:avLst/>
        </a:prstGeom>
      </xdr:spPr>
    </xdr:pic>
    <xdr:clientData/>
  </xdr:twoCellAnchor>
  <xdr:twoCellAnchor editAs="oneCell">
    <xdr:from>
      <xdr:col>15</xdr:col>
      <xdr:colOff>10116</xdr:colOff>
      <xdr:row>37</xdr:row>
      <xdr:rowOff>123824</xdr:rowOff>
    </xdr:from>
    <xdr:to>
      <xdr:col>16</xdr:col>
      <xdr:colOff>676275</xdr:colOff>
      <xdr:row>46</xdr:row>
      <xdr:rowOff>171449</xdr:rowOff>
    </xdr:to>
    <xdr:pic>
      <xdr:nvPicPr>
        <xdr:cNvPr id="10" name="รูปภาพ 9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19738" t="14719" r="41487" b="12742"/>
        <a:stretch/>
      </xdr:blipFill>
      <xdr:spPr>
        <a:xfrm>
          <a:off x="9392241" y="7219949"/>
          <a:ext cx="1351959" cy="1676401"/>
        </a:xfrm>
        <a:prstGeom prst="rect">
          <a:avLst/>
        </a:prstGeom>
      </xdr:spPr>
    </xdr:pic>
    <xdr:clientData/>
  </xdr:twoCellAnchor>
  <xdr:oneCellAnchor>
    <xdr:from>
      <xdr:col>2</xdr:col>
      <xdr:colOff>428626</xdr:colOff>
      <xdr:row>28</xdr:row>
      <xdr:rowOff>66674</xdr:rowOff>
    </xdr:from>
    <xdr:ext cx="2705099" cy="2962275"/>
    <xdr:pic>
      <xdr:nvPicPr>
        <xdr:cNvPr id="11" name="รูปภาพ 1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3805" t="16328" r="36442" b="14510"/>
        <a:stretch/>
      </xdr:blipFill>
      <xdr:spPr>
        <a:xfrm>
          <a:off x="1114426" y="5534024"/>
          <a:ext cx="2705099" cy="2962275"/>
        </a:xfrm>
        <a:prstGeom prst="rect">
          <a:avLst/>
        </a:prstGeom>
      </xdr:spPr>
    </xdr:pic>
    <xdr:clientData/>
  </xdr:oneCellAnchor>
  <xdr:twoCellAnchor editAs="oneCell">
    <xdr:from>
      <xdr:col>8</xdr:col>
      <xdr:colOff>57150</xdr:colOff>
      <xdr:row>85</xdr:row>
      <xdr:rowOff>57149</xdr:rowOff>
    </xdr:from>
    <xdr:to>
      <xdr:col>15</xdr:col>
      <xdr:colOff>638175</xdr:colOff>
      <xdr:row>98</xdr:row>
      <xdr:rowOff>145335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19274" t="24579" r="33333" b="26216"/>
        <a:stretch>
          <a:fillRect/>
        </a:stretch>
      </xdr:blipFill>
      <xdr:spPr bwMode="auto">
        <a:xfrm>
          <a:off x="5229225" y="15840074"/>
          <a:ext cx="4791075" cy="24408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104774</xdr:colOff>
      <xdr:row>111</xdr:row>
      <xdr:rowOff>35719</xdr:rowOff>
    </xdr:from>
    <xdr:to>
      <xdr:col>8</xdr:col>
      <xdr:colOff>11547</xdr:colOff>
      <xdr:row>121</xdr:row>
      <xdr:rowOff>11901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10229" t="49486" r="39448" b="26749"/>
        <a:stretch>
          <a:fillRect/>
        </a:stretch>
      </xdr:blipFill>
      <xdr:spPr bwMode="auto">
        <a:xfrm>
          <a:off x="104774" y="20523994"/>
          <a:ext cx="5078848" cy="18049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656617</xdr:colOff>
      <xdr:row>85</xdr:row>
      <xdr:rowOff>28575</xdr:rowOff>
    </xdr:from>
    <xdr:to>
      <xdr:col>19</xdr:col>
      <xdr:colOff>628650</xdr:colOff>
      <xdr:row>99</xdr:row>
      <xdr:rowOff>28576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38253" t="26272" r="28905" b="16408"/>
        <a:stretch>
          <a:fillRect/>
        </a:stretch>
      </xdr:blipFill>
      <xdr:spPr bwMode="auto">
        <a:xfrm>
          <a:off x="10038742" y="15811500"/>
          <a:ext cx="2715233" cy="25336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23811</xdr:colOff>
      <xdr:row>99</xdr:row>
      <xdr:rowOff>47624</xdr:rowOff>
    </xdr:from>
    <xdr:to>
      <xdr:col>11</xdr:col>
      <xdr:colOff>642937</xdr:colOff>
      <xdr:row>113</xdr:row>
      <xdr:rowOff>107155</xdr:rowOff>
    </xdr:to>
    <xdr:pic>
      <xdr:nvPicPr>
        <xdr:cNvPr id="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 l="42246" t="23213" r="29466" b="15089"/>
        <a:stretch>
          <a:fillRect/>
        </a:stretch>
      </xdr:blipFill>
      <xdr:spPr bwMode="auto">
        <a:xfrm>
          <a:off x="5291136" y="18364199"/>
          <a:ext cx="1990726" cy="25931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190500</xdr:colOff>
      <xdr:row>99</xdr:row>
      <xdr:rowOff>107157</xdr:rowOff>
    </xdr:from>
    <xdr:to>
      <xdr:col>17</xdr:col>
      <xdr:colOff>654254</xdr:colOff>
      <xdr:row>112</xdr:row>
      <xdr:rowOff>59531</xdr:rowOff>
    </xdr:to>
    <xdr:pic>
      <xdr:nvPicPr>
        <xdr:cNvPr id="16" name="รูปภาพ 15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19738" t="14719" r="41487" b="12742"/>
        <a:stretch/>
      </xdr:blipFill>
      <xdr:spPr>
        <a:xfrm>
          <a:off x="9572625" y="18423732"/>
          <a:ext cx="1835354" cy="2305049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119060</xdr:colOff>
      <xdr:row>62</xdr:row>
      <xdr:rowOff>83345</xdr:rowOff>
    </xdr:from>
    <xdr:to>
      <xdr:col>14</xdr:col>
      <xdr:colOff>631031</xdr:colOff>
      <xdr:row>81</xdr:row>
      <xdr:rowOff>59532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l="35918" t="27960" r="31169" b="19999"/>
        <a:stretch>
          <a:fillRect/>
        </a:stretch>
      </xdr:blipFill>
      <xdr:spPr bwMode="auto">
        <a:xfrm>
          <a:off x="6072185" y="11703845"/>
          <a:ext cx="3255171" cy="34147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83343</xdr:colOff>
      <xdr:row>64</xdr:row>
      <xdr:rowOff>97576</xdr:rowOff>
    </xdr:from>
    <xdr:to>
      <xdr:col>9</xdr:col>
      <xdr:colOff>166688</xdr:colOff>
      <xdr:row>83</xdr:row>
      <xdr:rowOff>127223</xdr:rowOff>
    </xdr:to>
    <xdr:pic>
      <xdr:nvPicPr>
        <xdr:cNvPr id="1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23467" t="15781" r="16427" b="14832"/>
        <a:stretch>
          <a:fillRect/>
        </a:stretch>
      </xdr:blipFill>
      <xdr:spPr bwMode="auto">
        <a:xfrm>
          <a:off x="83343" y="12080026"/>
          <a:ext cx="5350670" cy="34681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381000</xdr:colOff>
      <xdr:row>116</xdr:row>
      <xdr:rowOff>17464</xdr:rowOff>
    </xdr:from>
    <xdr:to>
      <xdr:col>24</xdr:col>
      <xdr:colOff>502276</xdr:colOff>
      <xdr:row>127</xdr:row>
      <xdr:rowOff>11907</xdr:rowOff>
    </xdr:to>
    <xdr:pic>
      <xdr:nvPicPr>
        <xdr:cNvPr id="1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48077" t="60718" r="35671" b="17459"/>
        <a:stretch>
          <a:fillRect/>
        </a:stretch>
      </xdr:blipFill>
      <xdr:spPr bwMode="auto">
        <a:xfrm>
          <a:off x="13192125" y="21420139"/>
          <a:ext cx="2978776" cy="19946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95250</xdr:colOff>
      <xdr:row>141</xdr:row>
      <xdr:rowOff>95249</xdr:rowOff>
    </xdr:from>
    <xdr:to>
      <xdr:col>12</xdr:col>
      <xdr:colOff>654844</xdr:colOff>
      <xdr:row>160</xdr:row>
      <xdr:rowOff>83343</xdr:rowOff>
    </xdr:to>
    <xdr:pic>
      <xdr:nvPicPr>
        <xdr:cNvPr id="2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34701" t="18841" r="36790" b="13877"/>
        <a:stretch>
          <a:fillRect/>
        </a:stretch>
      </xdr:blipFill>
      <xdr:spPr bwMode="auto">
        <a:xfrm>
          <a:off x="5362575" y="25898474"/>
          <a:ext cx="2616994" cy="34647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122464</xdr:colOff>
      <xdr:row>160</xdr:row>
      <xdr:rowOff>154781</xdr:rowOff>
    </xdr:from>
    <xdr:to>
      <xdr:col>13</xdr:col>
      <xdr:colOff>81643</xdr:colOff>
      <xdr:row>169</xdr:row>
      <xdr:rowOff>0</xdr:rowOff>
    </xdr:to>
    <xdr:pic>
      <xdr:nvPicPr>
        <xdr:cNvPr id="2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15771" t="41719" r="13677" b="32544"/>
        <a:stretch>
          <a:fillRect/>
        </a:stretch>
      </xdr:blipFill>
      <xdr:spPr bwMode="auto">
        <a:xfrm>
          <a:off x="802821" y="29110781"/>
          <a:ext cx="7266215" cy="14644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83344</xdr:colOff>
      <xdr:row>169</xdr:row>
      <xdr:rowOff>83346</xdr:rowOff>
    </xdr:from>
    <xdr:to>
      <xdr:col>4</xdr:col>
      <xdr:colOff>725286</xdr:colOff>
      <xdr:row>191</xdr:row>
      <xdr:rowOff>11907</xdr:rowOff>
    </xdr:to>
    <xdr:pic>
      <xdr:nvPicPr>
        <xdr:cNvPr id="25" name="รูปภาพ 24"/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35008" t="15066" r="35875" b="14006"/>
        <a:stretch/>
      </xdr:blipFill>
      <xdr:spPr>
        <a:xfrm>
          <a:off x="83344" y="30658596"/>
          <a:ext cx="2832692" cy="38814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1;&#3619;&#3632;&#3617;&#3634;&#3603;&#3619;&#3634;&#3588;&#3634;&#3626;&#3632;&#3614;&#3634;&#3609;%2019+958.8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เมนูหลัก"/>
      <sheetName val="แนะนำโปรแกรม"/>
      <sheetName val="วิธีใช้โปรแกรม"/>
      <sheetName val="กรอกข้อมูลสะพาน"/>
      <sheetName val="ต้นทุนงานคอนกรีต"/>
      <sheetName val="ปร4"/>
      <sheetName val="ปร5"/>
      <sheetName val="ค่างานต้นทุน"/>
      <sheetName val="ราคาวัสดุ จ.ตาก ธค.54"/>
      <sheetName val="ข้อมูลสะพาน"/>
      <sheetName val="ข้อมูลคำนวณ"/>
      <sheetName val="ตารางค่าขนส่ง"/>
      <sheetName val="cell-link"/>
      <sheetName val="ต้นทุนงานทาง"/>
      <sheetName val="Plank-Gir;10 "/>
      <sheetName val="พื้นtopping;10.0 "/>
      <sheetName val="เสา,ราวสะพานคสล."/>
      <sheetName val="S2"/>
      <sheetName val="S3"/>
      <sheetName val="FactorF"/>
      <sheetName val="กรม"/>
      <sheetName val="Sheet1"/>
    </sheetNames>
    <sheetDataSet>
      <sheetData sheetId="0"/>
      <sheetData sheetId="1"/>
      <sheetData sheetId="2"/>
      <sheetData sheetId="3">
        <row r="4">
          <cell r="D4" t="str">
            <v>สะพานข้ามคลอง</v>
          </cell>
        </row>
      </sheetData>
      <sheetData sheetId="4">
        <row r="10">
          <cell r="K10">
            <v>27863.46</v>
          </cell>
        </row>
      </sheetData>
      <sheetData sheetId="5"/>
      <sheetData sheetId="6">
        <row r="11">
          <cell r="E11">
            <v>1.24668</v>
          </cell>
        </row>
      </sheetData>
      <sheetData sheetId="7">
        <row r="31">
          <cell r="K31">
            <v>14997</v>
          </cell>
        </row>
      </sheetData>
      <sheetData sheetId="8"/>
      <sheetData sheetId="9">
        <row r="6">
          <cell r="G6" t="str">
            <v>ตอกเสาเข็ม</v>
          </cell>
        </row>
      </sheetData>
      <sheetData sheetId="10">
        <row r="3">
          <cell r="A3" t="str">
            <v xml:space="preserve"> 0.40 x 0.40 x 10 เมตร</v>
          </cell>
        </row>
      </sheetData>
      <sheetData sheetId="11"/>
      <sheetData sheetId="12"/>
      <sheetData sheetId="13">
        <row r="107">
          <cell r="J107">
            <v>37.619999999999997</v>
          </cell>
        </row>
      </sheetData>
      <sheetData sheetId="14"/>
      <sheetData sheetId="15"/>
      <sheetData sheetId="16"/>
      <sheetData sheetId="17"/>
      <sheetData sheetId="18"/>
      <sheetData sheetId="19">
        <row r="12">
          <cell r="E12">
            <v>1.3328904399999999</v>
          </cell>
        </row>
      </sheetData>
      <sheetData sheetId="20"/>
      <sheetData sheetId="2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I22"/>
  <sheetViews>
    <sheetView tabSelected="1" workbookViewId="0">
      <selection activeCell="E8" sqref="E8"/>
    </sheetView>
  </sheetViews>
  <sheetFormatPr defaultRowHeight="14.25"/>
  <cols>
    <col min="5" max="9" width="9" style="85"/>
  </cols>
  <sheetData>
    <row r="1" spans="1:9">
      <c r="A1" s="181" t="s">
        <v>51</v>
      </c>
      <c r="B1" s="182"/>
      <c r="C1" s="182"/>
      <c r="D1" s="182"/>
      <c r="E1" s="182"/>
      <c r="F1" s="182"/>
      <c r="G1" s="182"/>
      <c r="H1" s="182"/>
      <c r="I1" s="183"/>
    </row>
    <row r="2" spans="1:9">
      <c r="A2" s="130" t="s">
        <v>132</v>
      </c>
      <c r="B2" s="174">
        <v>226.55</v>
      </c>
    </row>
    <row r="3" spans="1:9">
      <c r="A3" s="181" t="s">
        <v>52</v>
      </c>
      <c r="B3" s="182"/>
      <c r="C3" s="182"/>
      <c r="D3" s="182"/>
      <c r="E3" s="182"/>
      <c r="F3" s="182"/>
      <c r="G3" s="182"/>
      <c r="H3" s="182"/>
      <c r="I3" s="183"/>
    </row>
    <row r="5" spans="1:9">
      <c r="E5" s="133"/>
      <c r="F5" s="133"/>
      <c r="G5" s="133"/>
      <c r="H5" s="133"/>
      <c r="I5" s="133"/>
    </row>
    <row r="6" spans="1:9">
      <c r="A6" t="s">
        <v>118</v>
      </c>
      <c r="E6" s="131">
        <v>9</v>
      </c>
      <c r="F6" s="133" t="s">
        <v>6</v>
      </c>
    </row>
    <row r="7" spans="1:9">
      <c r="A7" t="s">
        <v>105</v>
      </c>
      <c r="E7" s="131">
        <v>12</v>
      </c>
      <c r="F7" s="85" t="s">
        <v>6</v>
      </c>
    </row>
    <row r="8" spans="1:9">
      <c r="A8" t="s">
        <v>106</v>
      </c>
      <c r="E8" s="131">
        <v>20</v>
      </c>
      <c r="F8" s="85" t="s">
        <v>24</v>
      </c>
    </row>
    <row r="9" spans="1:9">
      <c r="A9" t="s">
        <v>107</v>
      </c>
      <c r="E9" s="131">
        <v>2</v>
      </c>
      <c r="F9" s="85" t="s">
        <v>56</v>
      </c>
      <c r="G9" s="85" t="s">
        <v>69</v>
      </c>
      <c r="H9" s="131">
        <v>7</v>
      </c>
      <c r="I9" s="85" t="s">
        <v>6</v>
      </c>
    </row>
    <row r="10" spans="1:9">
      <c r="A10" t="s">
        <v>108</v>
      </c>
      <c r="E10" s="131">
        <v>2</v>
      </c>
      <c r="F10" s="85" t="s">
        <v>56</v>
      </c>
      <c r="G10" s="85" t="s">
        <v>69</v>
      </c>
      <c r="H10" s="131">
        <v>7</v>
      </c>
      <c r="I10" s="85" t="s">
        <v>6</v>
      </c>
    </row>
    <row r="11" spans="1:9">
      <c r="A11" t="s">
        <v>109</v>
      </c>
      <c r="E11" s="131">
        <f>(E9+E10)-1</f>
        <v>3</v>
      </c>
      <c r="F11" s="85" t="s">
        <v>92</v>
      </c>
    </row>
    <row r="13" spans="1:9">
      <c r="A13" t="s">
        <v>110</v>
      </c>
      <c r="E13" s="131">
        <v>90</v>
      </c>
      <c r="F13" s="85" t="s">
        <v>111</v>
      </c>
    </row>
    <row r="16" spans="1:9">
      <c r="A16" s="184" t="s">
        <v>112</v>
      </c>
      <c r="B16" s="184"/>
      <c r="C16" s="184"/>
      <c r="D16" s="185"/>
      <c r="E16" s="129"/>
    </row>
    <row r="18" spans="2:5">
      <c r="B18" t="s">
        <v>113</v>
      </c>
    </row>
    <row r="19" spans="2:5">
      <c r="B19" t="s">
        <v>114</v>
      </c>
      <c r="C19" t="s">
        <v>115</v>
      </c>
      <c r="E19" s="103" t="s">
        <v>116</v>
      </c>
    </row>
    <row r="20" spans="2:5">
      <c r="B20" t="s">
        <v>117</v>
      </c>
    </row>
    <row r="21" spans="2:5">
      <c r="B21" t="s">
        <v>120</v>
      </c>
    </row>
    <row r="22" spans="2:5">
      <c r="B22" t="s">
        <v>119</v>
      </c>
    </row>
  </sheetData>
  <sheetProtection password="EB11" sheet="1" objects="1" scenarios="1"/>
  <mergeCells count="3">
    <mergeCell ref="A1:I1"/>
    <mergeCell ref="A3:I3"/>
    <mergeCell ref="A16:D1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W110"/>
  <sheetViews>
    <sheetView view="pageBreakPreview" zoomScale="60" zoomScaleNormal="85" workbookViewId="0">
      <selection activeCell="AC24" sqref="AC24"/>
    </sheetView>
  </sheetViews>
  <sheetFormatPr defaultRowHeight="14.25"/>
  <cols>
    <col min="3" max="5" width="10.625" customWidth="1"/>
    <col min="8" max="8" width="1.25" customWidth="1"/>
  </cols>
  <sheetData>
    <row r="1" spans="1:9">
      <c r="A1" s="40" t="s">
        <v>43</v>
      </c>
      <c r="I1" t="s">
        <v>7</v>
      </c>
    </row>
    <row r="2" spans="1:9">
      <c r="A2" s="41" t="s">
        <v>44</v>
      </c>
      <c r="I2" t="s">
        <v>8</v>
      </c>
    </row>
    <row r="3" spans="1:9">
      <c r="A3" t="s">
        <v>28</v>
      </c>
    </row>
    <row r="4" spans="1:9">
      <c r="A4" t="s">
        <v>29</v>
      </c>
    </row>
    <row r="5" spans="1:9">
      <c r="A5" t="s">
        <v>30</v>
      </c>
    </row>
    <row r="7" spans="1:9">
      <c r="A7" s="189" t="s">
        <v>31</v>
      </c>
      <c r="B7" s="190"/>
      <c r="C7" s="10" t="s">
        <v>26</v>
      </c>
      <c r="D7" s="189" t="s">
        <v>27</v>
      </c>
      <c r="E7" s="190"/>
      <c r="F7" s="10" t="s">
        <v>34</v>
      </c>
      <c r="G7" s="87" t="s">
        <v>35</v>
      </c>
    </row>
    <row r="8" spans="1:9">
      <c r="A8" s="191" t="s">
        <v>6</v>
      </c>
      <c r="B8" s="192"/>
      <c r="C8" s="11"/>
      <c r="D8" s="90" t="s">
        <v>32</v>
      </c>
      <c r="E8" s="90" t="s">
        <v>33</v>
      </c>
      <c r="F8" s="11"/>
      <c r="G8" s="9"/>
    </row>
    <row r="9" spans="1:9">
      <c r="A9" s="193" t="s">
        <v>36</v>
      </c>
      <c r="B9" s="193"/>
      <c r="C9" s="90">
        <v>1.8</v>
      </c>
      <c r="D9" s="2">
        <v>1.6</v>
      </c>
      <c r="E9" s="2">
        <v>0.7</v>
      </c>
      <c r="F9" s="2">
        <v>0.9</v>
      </c>
      <c r="G9" s="8">
        <v>6</v>
      </c>
    </row>
    <row r="10" spans="1:9">
      <c r="A10" s="193" t="s">
        <v>37</v>
      </c>
      <c r="B10" s="193"/>
      <c r="C10" s="90">
        <v>1.5</v>
      </c>
      <c r="D10" s="2">
        <v>1.6</v>
      </c>
      <c r="E10" s="2">
        <v>0.7</v>
      </c>
      <c r="F10" s="2">
        <v>0</v>
      </c>
      <c r="G10" s="8">
        <v>7</v>
      </c>
    </row>
    <row r="11" spans="1:9">
      <c r="A11" s="193" t="s">
        <v>38</v>
      </c>
      <c r="B11" s="193"/>
      <c r="C11" s="90">
        <v>1.3</v>
      </c>
      <c r="D11" s="2">
        <v>1.55</v>
      </c>
      <c r="E11" s="2">
        <v>0.65</v>
      </c>
      <c r="F11" s="2">
        <v>0.65</v>
      </c>
      <c r="G11" s="8">
        <v>8</v>
      </c>
    </row>
    <row r="12" spans="1:9">
      <c r="A12" s="193">
        <v>15</v>
      </c>
      <c r="B12" s="193"/>
      <c r="C12" s="90">
        <v>1.125</v>
      </c>
      <c r="D12" s="2">
        <v>1.6</v>
      </c>
      <c r="E12" s="2">
        <v>0.7</v>
      </c>
      <c r="F12" s="2">
        <v>0</v>
      </c>
      <c r="G12" s="8">
        <v>9</v>
      </c>
    </row>
    <row r="13" spans="1:9">
      <c r="A13" s="7"/>
      <c r="B13" s="7"/>
    </row>
    <row r="14" spans="1:9" ht="15" thickBot="1">
      <c r="A14" s="7"/>
      <c r="B14" s="7" t="s">
        <v>42</v>
      </c>
      <c r="D14" s="19"/>
    </row>
    <row r="15" spans="1:9" ht="15" thickBot="1">
      <c r="A15" s="7"/>
      <c r="B15" s="194" t="s">
        <v>23</v>
      </c>
      <c r="C15" s="195"/>
      <c r="D15" s="195"/>
      <c r="E15" s="196"/>
    </row>
    <row r="16" spans="1:9" ht="15" thickBot="1">
      <c r="B16" s="35" t="s">
        <v>1</v>
      </c>
      <c r="C16" s="36"/>
      <c r="D16" s="146">
        <f>ข้อมูลสะพาน!E7</f>
        <v>12</v>
      </c>
      <c r="E16" s="92" t="s">
        <v>6</v>
      </c>
    </row>
    <row r="17" spans="2:23" ht="15" thickBot="1">
      <c r="B17" s="33" t="s">
        <v>25</v>
      </c>
      <c r="C17" s="34"/>
      <c r="D17" s="146">
        <f>ข้อมูลสะพาน!E8</f>
        <v>20</v>
      </c>
      <c r="E17" s="96" t="s">
        <v>24</v>
      </c>
    </row>
    <row r="18" spans="2:23">
      <c r="E18" s="85"/>
    </row>
    <row r="19" spans="2:23">
      <c r="B19" s="85" t="s">
        <v>26</v>
      </c>
      <c r="D19" s="30">
        <f>IF(D16=5,C9,IF(D16=6,C9,IF(D16=7,C9,IF(D16=8,C9,IF(D16=9,C9,IF(D16=10,C9,IF(D16=11,C10,IF(D16=12,C10,IF(D16=13,C11,IF(D16=14,C11,IF(D16=15,C12)))))))))))</f>
        <v>1.5</v>
      </c>
      <c r="E19" s="85" t="s">
        <v>6</v>
      </c>
      <c r="J19" s="85"/>
      <c r="K19" s="85"/>
      <c r="L19" s="85"/>
      <c r="M19" s="85"/>
      <c r="N19" s="85"/>
      <c r="O19" s="85"/>
      <c r="P19" s="85"/>
    </row>
    <row r="20" spans="2:23">
      <c r="B20" s="85" t="s">
        <v>27</v>
      </c>
      <c r="C20" s="85" t="s">
        <v>32</v>
      </c>
      <c r="D20" s="12">
        <f>IF(D16=5,D9,IF(D16=6,D9,IF(D16=7,D9,IF(D16=8,D9,IF(D16=9,D9,IF(D16=10,D9,IF(D16=11,D10,IF(D16=12,D10,IF(D16=13,D11,IF(D16=14,D11,IF(D16=15,D12)))))))))))</f>
        <v>1.6</v>
      </c>
      <c r="E20" s="85" t="s">
        <v>6</v>
      </c>
      <c r="I20" t="s">
        <v>10</v>
      </c>
      <c r="J20" s="29">
        <f>D20*K30</f>
        <v>1.7027200000000002</v>
      </c>
      <c r="K20" s="93">
        <f>D19*K30</f>
        <v>1.5963000000000001</v>
      </c>
      <c r="L20" s="93">
        <f>D19*K30</f>
        <v>1.5963000000000001</v>
      </c>
      <c r="M20" s="93">
        <f>D19*K30</f>
        <v>1.5963000000000001</v>
      </c>
      <c r="N20" s="93">
        <f>D19*K30</f>
        <v>1.5963000000000001</v>
      </c>
      <c r="O20" s="93">
        <f>D19*K30</f>
        <v>1.5963000000000001</v>
      </c>
      <c r="P20" s="93">
        <f>D20*K30</f>
        <v>1.7027200000000002</v>
      </c>
      <c r="Q20" s="85" t="s">
        <v>6</v>
      </c>
      <c r="W20" s="6"/>
    </row>
    <row r="21" spans="2:23">
      <c r="B21" s="85"/>
      <c r="C21" s="3" t="s">
        <v>33</v>
      </c>
      <c r="D21" s="12">
        <f>IF(D16=5,E9,IF(D16=6,E9,IF(D16=7,E9,IF(D16=8,E9,IF(D16=9,E9,IF(D16=10,E9,IF(D16=11,E10,IF(D16=12,E10,IF(D16=13,E11,IF(D16=14,E11,IF(D16=15,E12)))))))))))</f>
        <v>0.7</v>
      </c>
      <c r="E21" s="85" t="s">
        <v>6</v>
      </c>
      <c r="I21" t="s">
        <v>11</v>
      </c>
      <c r="J21" s="197">
        <f>J20+(M20*D25)+P20</f>
        <v>12.983239999999999</v>
      </c>
      <c r="K21" s="197"/>
      <c r="L21" s="197"/>
      <c r="M21" s="197"/>
      <c r="N21" s="197"/>
      <c r="O21" s="197"/>
      <c r="P21" s="197"/>
      <c r="Q21" s="85" t="s">
        <v>6</v>
      </c>
    </row>
    <row r="22" spans="2:23">
      <c r="B22" s="85"/>
      <c r="E22" s="85"/>
      <c r="I22" t="s">
        <v>12</v>
      </c>
      <c r="J22" s="197">
        <f>12.2*K30</f>
        <v>12.98324</v>
      </c>
      <c r="K22" s="197"/>
      <c r="L22" s="197"/>
      <c r="M22" s="197"/>
      <c r="N22" s="197"/>
      <c r="O22" s="197"/>
      <c r="P22" s="197"/>
      <c r="Q22" s="85" t="s">
        <v>6</v>
      </c>
      <c r="T22" s="23"/>
      <c r="U22" s="23"/>
      <c r="V22" s="23"/>
    </row>
    <row r="23" spans="2:23" ht="15" thickBot="1">
      <c r="B23" s="85" t="s">
        <v>34</v>
      </c>
      <c r="D23" s="85">
        <f>IF(D16=5,F9,IF(D16=6,F9,IF(D16=7,F9,IF(D16=8,F9,IF(D16=9,F9,IF(D16=10,F9,IF(D16=11,F10,IF(D16=12,F10,IF(D16=13,F11,IF(D16=14,F11,IF(D16=15,F12)))))))))))</f>
        <v>0</v>
      </c>
      <c r="E23" s="85" t="s">
        <v>6</v>
      </c>
      <c r="T23" s="13"/>
      <c r="U23" s="13"/>
      <c r="V23" s="13"/>
    </row>
    <row r="24" spans="2:23" ht="15" thickBot="1">
      <c r="B24" s="85" t="s">
        <v>35</v>
      </c>
      <c r="C24" s="37" t="s">
        <v>39</v>
      </c>
      <c r="D24" s="38">
        <f>IF(D16=5,G9,IF(D16=6,G9,IF(D16=7,G9,IF(D16=8,G9,IF(D16=9,G9,IF(D16=10,G9,IF(D16=11,G10,IF(D16=12,G10,IF(D16=13,G11,IF(D16=14,G11,IF(D16=15,G12)))))))))))</f>
        <v>7</v>
      </c>
      <c r="E24" s="39" t="s">
        <v>3</v>
      </c>
      <c r="T24" s="13"/>
      <c r="U24" s="13"/>
      <c r="V24" s="20"/>
    </row>
    <row r="25" spans="2:23">
      <c r="C25" s="85" t="s">
        <v>2</v>
      </c>
      <c r="D25" s="85">
        <f>D24-1</f>
        <v>6</v>
      </c>
      <c r="E25" s="85" t="s">
        <v>40</v>
      </c>
      <c r="T25" s="13"/>
      <c r="U25" s="21"/>
      <c r="V25" s="20"/>
    </row>
    <row r="26" spans="2:23" ht="12" customHeight="1" thickBot="1">
      <c r="T26" s="13"/>
      <c r="U26" s="22"/>
      <c r="V26" s="20"/>
    </row>
    <row r="27" spans="2:23" ht="29.25" customHeight="1" thickBot="1">
      <c r="B27" s="198" t="s">
        <v>48</v>
      </c>
      <c r="C27" s="199"/>
      <c r="D27" s="26">
        <f>P37+P53+D53</f>
        <v>15.114512600000001</v>
      </c>
      <c r="E27" s="94" t="s">
        <v>5</v>
      </c>
      <c r="K27" s="4">
        <v>0</v>
      </c>
      <c r="L27" s="4">
        <v>5</v>
      </c>
      <c r="M27" s="4">
        <v>10</v>
      </c>
      <c r="N27" s="4">
        <v>15</v>
      </c>
      <c r="O27" s="4">
        <v>20</v>
      </c>
      <c r="P27" s="4">
        <v>25</v>
      </c>
      <c r="Q27" s="4">
        <v>30</v>
      </c>
      <c r="T27" s="13"/>
      <c r="U27" s="13"/>
      <c r="V27" s="20"/>
    </row>
    <row r="28" spans="2:23" ht="28.5" customHeight="1">
      <c r="K28" s="5">
        <v>1</v>
      </c>
      <c r="L28" s="5">
        <v>1.0038</v>
      </c>
      <c r="M28" s="5">
        <v>1.0154000000000001</v>
      </c>
      <c r="N28" s="5">
        <v>1.0353000000000001</v>
      </c>
      <c r="O28" s="5">
        <v>1.0642</v>
      </c>
      <c r="P28" s="5">
        <v>1.1033999999999999</v>
      </c>
      <c r="Q28" s="5">
        <v>1.1547000000000001</v>
      </c>
    </row>
    <row r="30" spans="2:23">
      <c r="I30" s="126" t="s">
        <v>9</v>
      </c>
      <c r="J30" s="125">
        <f>D17</f>
        <v>20</v>
      </c>
      <c r="K30" s="123">
        <f>IF(J30=0,K28,IF(J30=5,L28,IF(J30=10,M28,IF(J30=15,N28,IF(J30=20,O28,IF(J30=25,P28,IF(J30=30,Q28)))))))</f>
        <v>1.0642</v>
      </c>
      <c r="L30" s="125" t="s">
        <v>6</v>
      </c>
    </row>
    <row r="31" spans="2:23">
      <c r="N31" t="s">
        <v>16</v>
      </c>
    </row>
    <row r="33" spans="2:17">
      <c r="O33" s="186" t="s">
        <v>15</v>
      </c>
      <c r="P33" s="186"/>
      <c r="Q33" s="186"/>
    </row>
    <row r="34" spans="2:17">
      <c r="O34" s="14"/>
      <c r="P34" s="14"/>
      <c r="Q34" s="14"/>
    </row>
    <row r="35" spans="2:17">
      <c r="O35" s="14" t="s">
        <v>13</v>
      </c>
      <c r="P35" s="31">
        <f>L53</f>
        <v>0.91500000000000004</v>
      </c>
      <c r="Q35" s="15" t="s">
        <v>4</v>
      </c>
    </row>
    <row r="36" spans="2:17">
      <c r="O36" s="14" t="s">
        <v>0</v>
      </c>
      <c r="P36" s="16">
        <f>J21</f>
        <v>12.983239999999999</v>
      </c>
      <c r="Q36" s="15" t="s">
        <v>6</v>
      </c>
    </row>
    <row r="37" spans="2:17">
      <c r="O37" s="14" t="s">
        <v>14</v>
      </c>
      <c r="P37" s="25">
        <f>P35*P36</f>
        <v>11.8796646</v>
      </c>
      <c r="Q37" s="15" t="s">
        <v>5</v>
      </c>
    </row>
    <row r="38" spans="2:17">
      <c r="Q38" s="6"/>
    </row>
    <row r="39" spans="2:17">
      <c r="Q39" s="6"/>
    </row>
    <row r="40" spans="2:17">
      <c r="Q40" s="6"/>
    </row>
    <row r="41" spans="2:17">
      <c r="Q41" s="6"/>
    </row>
    <row r="42" spans="2:17">
      <c r="Q42" s="85" t="s">
        <v>22</v>
      </c>
    </row>
    <row r="43" spans="2:17">
      <c r="Q43" s="86">
        <v>0.4</v>
      </c>
    </row>
    <row r="44" spans="2:17">
      <c r="Q44" s="6"/>
    </row>
    <row r="45" spans="2:17">
      <c r="Q45" s="6"/>
    </row>
    <row r="46" spans="2:17">
      <c r="B46" t="s">
        <v>17</v>
      </c>
      <c r="E46" s="31">
        <f>(0.2*2.2)+(2.04*1.8)+(0.5*0.16*1.8)</f>
        <v>4.2560000000000002</v>
      </c>
      <c r="F46" s="6" t="s">
        <v>4</v>
      </c>
      <c r="Q46" s="6"/>
    </row>
    <row r="47" spans="2:17">
      <c r="Q47" s="6"/>
    </row>
    <row r="48" spans="2:17">
      <c r="C48" s="186" t="s">
        <v>18</v>
      </c>
      <c r="D48" s="186"/>
      <c r="E48" s="186"/>
      <c r="O48" s="187" t="s">
        <v>21</v>
      </c>
      <c r="P48" s="187"/>
      <c r="Q48" s="6"/>
    </row>
    <row r="49" spans="1:17">
      <c r="C49" s="14"/>
      <c r="D49" s="14"/>
      <c r="E49" s="14"/>
      <c r="O49" s="188">
        <v>0.4</v>
      </c>
      <c r="P49" s="188"/>
      <c r="Q49" s="1"/>
    </row>
    <row r="50" spans="1:17">
      <c r="C50" s="14" t="s">
        <v>13</v>
      </c>
      <c r="D50" s="31">
        <v>4.2560000000000002</v>
      </c>
      <c r="E50" s="15" t="s">
        <v>4</v>
      </c>
      <c r="O50" s="186" t="s">
        <v>20</v>
      </c>
      <c r="P50" s="186"/>
      <c r="Q50" s="186"/>
    </row>
    <row r="51" spans="1:17">
      <c r="C51" s="14" t="s">
        <v>19</v>
      </c>
      <c r="D51" s="16">
        <v>0.2</v>
      </c>
      <c r="E51" s="15" t="s">
        <v>6</v>
      </c>
      <c r="O51" s="14" t="s">
        <v>13</v>
      </c>
      <c r="P51" s="18">
        <f>O49*Q43</f>
        <v>0.16000000000000003</v>
      </c>
      <c r="Q51" s="15" t="s">
        <v>4</v>
      </c>
    </row>
    <row r="52" spans="1:17">
      <c r="C52" s="14" t="s">
        <v>14</v>
      </c>
      <c r="D52" s="17">
        <f>D50*D51</f>
        <v>0.85120000000000007</v>
      </c>
      <c r="E52" s="15" t="s">
        <v>5</v>
      </c>
      <c r="O52" s="14" t="s">
        <v>0</v>
      </c>
      <c r="P52" s="16">
        <f>D25*M20</f>
        <v>9.5777999999999999</v>
      </c>
      <c r="Q52" s="15" t="s">
        <v>6</v>
      </c>
    </row>
    <row r="53" spans="1:17">
      <c r="C53" s="14" t="s">
        <v>41</v>
      </c>
      <c r="D53" s="24">
        <f>D52*2</f>
        <v>1.7024000000000001</v>
      </c>
      <c r="E53" s="15" t="s">
        <v>5</v>
      </c>
      <c r="I53" t="s">
        <v>16</v>
      </c>
      <c r="L53" s="63">
        <f>(0.2*L55)+(0.75*0.3)+(1.05*0.2)+(0.2*0.75)+(0.2*0.94)+(0.5*0.3*0.2)</f>
        <v>0.91500000000000004</v>
      </c>
      <c r="M53" s="85" t="s">
        <v>4</v>
      </c>
      <c r="O53" s="14" t="s">
        <v>14</v>
      </c>
      <c r="P53" s="25">
        <f>P51*P52</f>
        <v>1.5324480000000003</v>
      </c>
      <c r="Q53" s="15" t="s">
        <v>5</v>
      </c>
    </row>
    <row r="54" spans="1:17">
      <c r="M54" s="85"/>
      <c r="Q54" s="6"/>
    </row>
    <row r="55" spans="1:17">
      <c r="K55" t="s">
        <v>46</v>
      </c>
      <c r="L55" s="32">
        <v>0.56000000000000005</v>
      </c>
      <c r="M55" s="85" t="s">
        <v>6</v>
      </c>
    </row>
    <row r="58" spans="1:17">
      <c r="A58" s="41" t="s">
        <v>45</v>
      </c>
    </row>
    <row r="74" spans="12:18">
      <c r="L74" s="186" t="s">
        <v>15</v>
      </c>
      <c r="M74" s="186"/>
      <c r="N74" s="186"/>
    </row>
    <row r="75" spans="12:18">
      <c r="L75" s="14"/>
      <c r="M75" s="14"/>
      <c r="N75" s="14"/>
    </row>
    <row r="76" spans="12:18">
      <c r="L76" s="27" t="s">
        <v>46</v>
      </c>
      <c r="M76" s="132">
        <v>0</v>
      </c>
      <c r="N76" s="27" t="s">
        <v>6</v>
      </c>
    </row>
    <row r="77" spans="12:18">
      <c r="L77" s="14"/>
      <c r="M77" s="14"/>
      <c r="N77" s="14"/>
      <c r="R77" s="85" t="s">
        <v>22</v>
      </c>
    </row>
    <row r="78" spans="12:18">
      <c r="L78" s="14" t="s">
        <v>13</v>
      </c>
      <c r="M78" s="42">
        <f>(0.7*0.6)+(0.3*M76)</f>
        <v>0.42</v>
      </c>
      <c r="N78" s="15" t="s">
        <v>4</v>
      </c>
      <c r="R78" s="86">
        <v>0.4</v>
      </c>
    </row>
    <row r="79" spans="12:18">
      <c r="L79" s="14" t="s">
        <v>0</v>
      </c>
      <c r="M79" s="16">
        <f>J21</f>
        <v>12.983239999999999</v>
      </c>
      <c r="N79" s="15" t="s">
        <v>6</v>
      </c>
    </row>
    <row r="80" spans="12:18">
      <c r="L80" s="14" t="s">
        <v>14</v>
      </c>
      <c r="M80" s="25">
        <f>M78*M79</f>
        <v>5.4529607999999996</v>
      </c>
      <c r="N80" s="15" t="s">
        <v>5</v>
      </c>
    </row>
    <row r="82" spans="9:18">
      <c r="L82" s="211" t="s">
        <v>49</v>
      </c>
      <c r="M82" s="212"/>
      <c r="N82" s="213"/>
    </row>
    <row r="83" spans="9:18">
      <c r="L83" s="214" t="s">
        <v>50</v>
      </c>
      <c r="M83" s="215"/>
      <c r="N83" s="216"/>
    </row>
    <row r="84" spans="9:18">
      <c r="L84" s="13"/>
      <c r="M84" s="13"/>
      <c r="N84" s="13"/>
    </row>
    <row r="87" spans="9:18" ht="15" thickBot="1">
      <c r="P87" s="187" t="s">
        <v>21</v>
      </c>
      <c r="Q87" s="187"/>
      <c r="R87" s="6"/>
    </row>
    <row r="88" spans="9:18">
      <c r="I88" s="200" t="s">
        <v>47</v>
      </c>
      <c r="J88" s="201"/>
      <c r="K88" s="201"/>
      <c r="L88" s="204">
        <f>M80+Q92</f>
        <v>7.5302791999999998</v>
      </c>
      <c r="M88" s="205"/>
      <c r="N88" s="205" t="s">
        <v>5</v>
      </c>
      <c r="P88" s="188">
        <v>0.4</v>
      </c>
      <c r="Q88" s="188"/>
      <c r="R88" s="1"/>
    </row>
    <row r="89" spans="9:18" ht="14.25" customHeight="1" thickBot="1">
      <c r="I89" s="202"/>
      <c r="J89" s="203"/>
      <c r="K89" s="203"/>
      <c r="L89" s="206"/>
      <c r="M89" s="207"/>
      <c r="N89" s="207"/>
      <c r="P89" s="186" t="s">
        <v>20</v>
      </c>
      <c r="Q89" s="186"/>
      <c r="R89" s="186"/>
    </row>
    <row r="90" spans="9:18" ht="14.25" customHeight="1">
      <c r="I90" s="200" t="s">
        <v>39</v>
      </c>
      <c r="J90" s="201"/>
      <c r="K90" s="201"/>
      <c r="L90" s="208">
        <f>D24</f>
        <v>7</v>
      </c>
      <c r="M90" s="205"/>
      <c r="N90" s="209" t="s">
        <v>3</v>
      </c>
      <c r="P90" s="14" t="s">
        <v>13</v>
      </c>
      <c r="Q90" s="18">
        <f>P88*R78</f>
        <v>0.16000000000000003</v>
      </c>
      <c r="R90" s="15" t="s">
        <v>4</v>
      </c>
    </row>
    <row r="91" spans="9:18" ht="15" customHeight="1" thickBot="1">
      <c r="I91" s="202"/>
      <c r="J91" s="203"/>
      <c r="K91" s="203"/>
      <c r="L91" s="206"/>
      <c r="M91" s="207"/>
      <c r="N91" s="210"/>
      <c r="P91" s="14" t="s">
        <v>0</v>
      </c>
      <c r="Q91" s="16">
        <f>J21</f>
        <v>12.983239999999999</v>
      </c>
      <c r="R91" s="15" t="s">
        <v>6</v>
      </c>
    </row>
    <row r="92" spans="9:18">
      <c r="I92" s="13"/>
      <c r="J92" s="43"/>
      <c r="K92" s="20"/>
      <c r="P92" s="14" t="s">
        <v>14</v>
      </c>
      <c r="Q92" s="25">
        <f>Q90*Q91</f>
        <v>2.0773184000000002</v>
      </c>
      <c r="R92" s="15" t="s">
        <v>5</v>
      </c>
    </row>
    <row r="94" spans="9:18">
      <c r="I94" s="220" t="s">
        <v>121</v>
      </c>
      <c r="J94" s="221"/>
      <c r="K94" s="221"/>
      <c r="L94" s="221"/>
      <c r="M94" s="221"/>
      <c r="N94" s="221"/>
      <c r="O94" s="229">
        <f>ROUND(M79*2,0)</f>
        <v>26</v>
      </c>
      <c r="P94" s="230"/>
      <c r="Q94" s="139" t="s">
        <v>122</v>
      </c>
    </row>
    <row r="95" spans="9:18">
      <c r="I95" s="140" t="s">
        <v>123</v>
      </c>
      <c r="J95" s="141"/>
      <c r="K95" s="141"/>
      <c r="L95" s="142">
        <f>ข้อมูลสะพาน!E11</f>
        <v>3</v>
      </c>
      <c r="M95" s="142" t="s">
        <v>92</v>
      </c>
      <c r="N95" s="143"/>
      <c r="O95" s="231">
        <f>O94*L95</f>
        <v>78</v>
      </c>
      <c r="P95" s="232"/>
      <c r="Q95" s="144" t="s">
        <v>6</v>
      </c>
    </row>
    <row r="97" spans="2:18">
      <c r="I97" s="140" t="s">
        <v>125</v>
      </c>
      <c r="J97" s="141"/>
      <c r="K97" s="141"/>
      <c r="L97" s="141"/>
      <c r="M97" s="147">
        <f>แบบฐานแผ่ไม่มีทางเท้า!P150</f>
        <v>11.98</v>
      </c>
      <c r="N97" s="144" t="s">
        <v>6</v>
      </c>
      <c r="O97" s="231">
        <f>2*L95</f>
        <v>6</v>
      </c>
      <c r="P97" s="232"/>
      <c r="Q97" s="144" t="s">
        <v>126</v>
      </c>
    </row>
    <row r="98" spans="2:18">
      <c r="B98" t="s">
        <v>51</v>
      </c>
      <c r="I98" s="140" t="s">
        <v>127</v>
      </c>
      <c r="J98" s="141"/>
      <c r="K98" s="141"/>
      <c r="L98" s="141"/>
      <c r="M98" s="147">
        <f>M97</f>
        <v>11.98</v>
      </c>
      <c r="N98" s="144" t="s">
        <v>6</v>
      </c>
      <c r="O98" s="231">
        <f>(ข้อมูลสะพาน!E6-1)*แบบมีเข็มไม่มีทางเท้า!L95</f>
        <v>24</v>
      </c>
      <c r="P98" s="232"/>
      <c r="Q98" s="144" t="s">
        <v>126</v>
      </c>
    </row>
    <row r="99" spans="2:18">
      <c r="B99" s="6" t="str">
        <f>ข้อมูลสะพาน!A2</f>
        <v xml:space="preserve">กม.  48+  </v>
      </c>
      <c r="C99" s="44">
        <f>ข้อมูลสะพาน!B2</f>
        <v>226.55</v>
      </c>
    </row>
    <row r="100" spans="2:18">
      <c r="B100" t="s">
        <v>52</v>
      </c>
    </row>
    <row r="101" spans="2:18" ht="15" thickBot="1">
      <c r="B101" t="s">
        <v>131</v>
      </c>
      <c r="D101" s="138">
        <f>ข้อมูลสะพาน!E7*ข้อมูลสะพาน!E11</f>
        <v>36</v>
      </c>
      <c r="E101" s="138" t="s">
        <v>6</v>
      </c>
      <c r="N101" s="85" t="s">
        <v>59</v>
      </c>
      <c r="P101" s="85" t="s">
        <v>58</v>
      </c>
    </row>
    <row r="102" spans="2:18" ht="15" thickBot="1">
      <c r="B102" s="35" t="s">
        <v>53</v>
      </c>
      <c r="C102" s="53">
        <f>ข้อมูลสะพาน!E9</f>
        <v>2</v>
      </c>
      <c r="D102" s="91" t="s">
        <v>56</v>
      </c>
      <c r="E102" s="225" t="s">
        <v>55</v>
      </c>
      <c r="F102" s="226"/>
      <c r="G102" s="217">
        <f>C102*D27</f>
        <v>30.229025200000002</v>
      </c>
      <c r="H102" s="218"/>
      <c r="I102" s="219"/>
      <c r="J102" s="49" t="s">
        <v>5</v>
      </c>
      <c r="K102" s="49" t="s">
        <v>39</v>
      </c>
      <c r="L102" s="36">
        <f>C102*D24</f>
        <v>14</v>
      </c>
      <c r="M102" s="49" t="s">
        <v>3</v>
      </c>
      <c r="N102" s="145">
        <f>ข้อมูลสะพาน!H9</f>
        <v>7</v>
      </c>
      <c r="O102" s="53" t="s">
        <v>6</v>
      </c>
      <c r="P102" s="52">
        <f>(0.4*0.4*N102)*L102</f>
        <v>15.680000000000001</v>
      </c>
      <c r="Q102" s="49" t="s">
        <v>5</v>
      </c>
    </row>
    <row r="103" spans="2:18" ht="15" thickBot="1">
      <c r="B103" s="35" t="s">
        <v>54</v>
      </c>
      <c r="C103" s="53">
        <f>ข้อมูลสะพาน!E10</f>
        <v>2</v>
      </c>
      <c r="D103" s="91" t="s">
        <v>56</v>
      </c>
      <c r="E103" s="225" t="s">
        <v>55</v>
      </c>
      <c r="F103" s="226"/>
      <c r="G103" s="217">
        <f>C103*L88</f>
        <v>15.0605584</v>
      </c>
      <c r="H103" s="218"/>
      <c r="I103" s="219"/>
      <c r="J103" s="49" t="s">
        <v>5</v>
      </c>
      <c r="K103" s="49" t="s">
        <v>39</v>
      </c>
      <c r="L103" s="36">
        <f>C103*L90</f>
        <v>14</v>
      </c>
      <c r="M103" s="49" t="s">
        <v>3</v>
      </c>
      <c r="N103" s="145">
        <f>ข้อมูลสะพาน!H10</f>
        <v>7</v>
      </c>
      <c r="O103" s="53" t="s">
        <v>6</v>
      </c>
      <c r="P103" s="52">
        <f>(0.4*0.4*N103)*L103</f>
        <v>15.680000000000001</v>
      </c>
      <c r="Q103" s="49" t="s">
        <v>5</v>
      </c>
    </row>
    <row r="104" spans="2:18" ht="15" thickBot="1">
      <c r="B104" s="35" t="s">
        <v>91</v>
      </c>
      <c r="C104" s="53">
        <f>ข้อมูลสะพาน!E11</f>
        <v>3</v>
      </c>
      <c r="D104" s="91" t="s">
        <v>92</v>
      </c>
      <c r="E104" s="225" t="s">
        <v>55</v>
      </c>
      <c r="F104" s="226"/>
      <c r="G104" s="217">
        <f>แบบฐานแผ่มีทางเท้า!G131</f>
        <v>112.20759979780225</v>
      </c>
      <c r="H104" s="218"/>
      <c r="I104" s="219"/>
      <c r="J104" s="49" t="s">
        <v>5</v>
      </c>
      <c r="K104" s="49"/>
      <c r="L104" s="36"/>
      <c r="M104" s="49"/>
      <c r="N104" s="76"/>
      <c r="O104" s="53"/>
      <c r="P104" s="52"/>
      <c r="Q104" s="49"/>
    </row>
    <row r="105" spans="2:18" ht="15" thickBot="1">
      <c r="B105" s="47" t="s">
        <v>57</v>
      </c>
      <c r="C105" s="48"/>
      <c r="D105" s="48"/>
      <c r="E105" s="227"/>
      <c r="F105" s="228"/>
      <c r="G105" s="222">
        <f>SUM(G102:I104)</f>
        <v>157.49718339780225</v>
      </c>
      <c r="H105" s="223"/>
      <c r="I105" s="224"/>
      <c r="J105" s="50" t="s">
        <v>5</v>
      </c>
      <c r="K105" s="50" t="s">
        <v>39</v>
      </c>
      <c r="L105" s="48">
        <f>SUM(L102:L103)</f>
        <v>28</v>
      </c>
      <c r="M105" s="50" t="s">
        <v>3</v>
      </c>
      <c r="N105" s="54"/>
      <c r="O105" s="51"/>
      <c r="P105" s="55">
        <f>SUM(P102:P103)</f>
        <v>31.360000000000003</v>
      </c>
      <c r="Q105" s="50" t="s">
        <v>5</v>
      </c>
      <c r="R105" s="45"/>
    </row>
    <row r="106" spans="2:18" ht="15" thickBot="1">
      <c r="P106" s="45">
        <f>G105+P105</f>
        <v>188.85718339780226</v>
      </c>
    </row>
    <row r="107" spans="2:18">
      <c r="B107" s="160" t="s">
        <v>101</v>
      </c>
      <c r="C107" s="161"/>
      <c r="D107" s="166">
        <f>G105*ข้อมูลสะพาน!E13</f>
        <v>14174.746505802203</v>
      </c>
      <c r="E107" s="157" t="s">
        <v>102</v>
      </c>
    </row>
    <row r="108" spans="2:18" ht="15" thickBot="1">
      <c r="B108" s="162" t="s">
        <v>124</v>
      </c>
      <c r="C108" s="163"/>
      <c r="D108" s="128">
        <f>O95</f>
        <v>78</v>
      </c>
      <c r="E108" s="158" t="str">
        <f>Q95</f>
        <v>ม.</v>
      </c>
    </row>
    <row r="109" spans="2:18">
      <c r="B109" s="162" t="s">
        <v>129</v>
      </c>
      <c r="C109" s="163"/>
      <c r="D109" s="128">
        <f>แบบมีเข็มไม่มีทางเท้า!D110</f>
        <v>6</v>
      </c>
      <c r="E109" s="158" t="str">
        <f>แบบมีเข็มไม่มีทางเท้า!E110</f>
        <v>ท่อน</v>
      </c>
      <c r="F109" s="150" t="s">
        <v>130</v>
      </c>
      <c r="G109" s="151">
        <f>M97</f>
        <v>11.98</v>
      </c>
      <c r="H109" s="152"/>
      <c r="I109" s="153" t="s">
        <v>6</v>
      </c>
    </row>
    <row r="110" spans="2:18" ht="15" thickBot="1">
      <c r="B110" s="164" t="s">
        <v>128</v>
      </c>
      <c r="C110" s="165"/>
      <c r="D110" s="167">
        <f>แบบมีเข็มไม่มีทางเท้า!D111</f>
        <v>24</v>
      </c>
      <c r="E110" s="159" t="str">
        <f>E109</f>
        <v>ท่อน</v>
      </c>
      <c r="F110" s="154" t="s">
        <v>130</v>
      </c>
      <c r="G110" s="155">
        <f>M98</f>
        <v>11.98</v>
      </c>
      <c r="H110" s="98"/>
      <c r="I110" s="99" t="s">
        <v>6</v>
      </c>
    </row>
  </sheetData>
  <sheetProtection password="EB11" sheet="1" objects="1" scenarios="1" formatCells="0"/>
  <mergeCells count="41">
    <mergeCell ref="O94:P94"/>
    <mergeCell ref="O95:P95"/>
    <mergeCell ref="O97:P97"/>
    <mergeCell ref="O98:P98"/>
    <mergeCell ref="G103:I103"/>
    <mergeCell ref="G105:I105"/>
    <mergeCell ref="E102:F102"/>
    <mergeCell ref="E103:F103"/>
    <mergeCell ref="E105:F105"/>
    <mergeCell ref="E104:F104"/>
    <mergeCell ref="G104:I104"/>
    <mergeCell ref="L90:M91"/>
    <mergeCell ref="N90:N91"/>
    <mergeCell ref="L82:N82"/>
    <mergeCell ref="L83:N83"/>
    <mergeCell ref="G102:I102"/>
    <mergeCell ref="I90:K91"/>
    <mergeCell ref="I94:N94"/>
    <mergeCell ref="L74:N74"/>
    <mergeCell ref="P87:Q87"/>
    <mergeCell ref="P88:Q88"/>
    <mergeCell ref="P89:R89"/>
    <mergeCell ref="I88:K89"/>
    <mergeCell ref="L88:M89"/>
    <mergeCell ref="N88:N89"/>
    <mergeCell ref="O50:Q50"/>
    <mergeCell ref="O48:P48"/>
    <mergeCell ref="O49:P49"/>
    <mergeCell ref="D7:E7"/>
    <mergeCell ref="A7:B7"/>
    <mergeCell ref="A8:B8"/>
    <mergeCell ref="A10:B10"/>
    <mergeCell ref="A11:B11"/>
    <mergeCell ref="A12:B12"/>
    <mergeCell ref="A9:B9"/>
    <mergeCell ref="B15:E15"/>
    <mergeCell ref="C48:E48"/>
    <mergeCell ref="J21:P21"/>
    <mergeCell ref="J22:P22"/>
    <mergeCell ref="O33:Q33"/>
    <mergeCell ref="B27:C27"/>
  </mergeCells>
  <pageMargins left="0.7" right="0.7" top="0.75" bottom="0.75" header="0.3" footer="0.3"/>
  <pageSetup scale="53" orientation="portrait" r:id="rId1"/>
  <rowBreaks count="1" manualBreakCount="1">
    <brk id="56" max="1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W111"/>
  <sheetViews>
    <sheetView view="pageBreakPreview" zoomScale="60" workbookViewId="0">
      <selection activeCell="AC61" sqref="AC61"/>
    </sheetView>
  </sheetViews>
  <sheetFormatPr defaultRowHeight="14.25"/>
  <cols>
    <col min="3" max="5" width="10.625" customWidth="1"/>
    <col min="8" max="8" width="1.25" customWidth="1"/>
  </cols>
  <sheetData>
    <row r="1" spans="1:9">
      <c r="A1" s="40" t="s">
        <v>43</v>
      </c>
      <c r="I1" t="s">
        <v>7</v>
      </c>
    </row>
    <row r="2" spans="1:9">
      <c r="A2" s="41" t="s">
        <v>44</v>
      </c>
      <c r="I2" t="s">
        <v>8</v>
      </c>
    </row>
    <row r="3" spans="1:9">
      <c r="A3" t="s">
        <v>28</v>
      </c>
    </row>
    <row r="4" spans="1:9">
      <c r="A4" t="s">
        <v>29</v>
      </c>
    </row>
    <row r="5" spans="1:9">
      <c r="A5" t="s">
        <v>30</v>
      </c>
    </row>
    <row r="7" spans="1:9">
      <c r="A7" s="189" t="s">
        <v>31</v>
      </c>
      <c r="B7" s="190"/>
      <c r="C7" s="10" t="s">
        <v>26</v>
      </c>
      <c r="D7" s="189" t="s">
        <v>27</v>
      </c>
      <c r="E7" s="190"/>
      <c r="F7" s="10" t="s">
        <v>34</v>
      </c>
      <c r="G7" s="87" t="s">
        <v>35</v>
      </c>
    </row>
    <row r="8" spans="1:9">
      <c r="A8" s="191" t="s">
        <v>6</v>
      </c>
      <c r="B8" s="192"/>
      <c r="C8" s="11"/>
      <c r="D8" s="90" t="s">
        <v>32</v>
      </c>
      <c r="E8" s="90" t="s">
        <v>33</v>
      </c>
      <c r="F8" s="11"/>
      <c r="G8" s="9"/>
    </row>
    <row r="9" spans="1:9">
      <c r="A9" s="193" t="s">
        <v>36</v>
      </c>
      <c r="B9" s="193"/>
      <c r="C9" s="90">
        <v>1.8</v>
      </c>
      <c r="D9" s="2">
        <v>1.6</v>
      </c>
      <c r="E9" s="2">
        <v>0.7</v>
      </c>
      <c r="F9" s="2">
        <v>0.9</v>
      </c>
      <c r="G9" s="8">
        <v>6</v>
      </c>
    </row>
    <row r="10" spans="1:9">
      <c r="A10" s="193" t="s">
        <v>37</v>
      </c>
      <c r="B10" s="193"/>
      <c r="C10" s="90">
        <v>1.5</v>
      </c>
      <c r="D10" s="2">
        <v>1.6</v>
      </c>
      <c r="E10" s="2">
        <v>0.7</v>
      </c>
      <c r="F10" s="2">
        <v>0</v>
      </c>
      <c r="G10" s="8">
        <v>7</v>
      </c>
    </row>
    <row r="11" spans="1:9">
      <c r="A11" s="193" t="s">
        <v>38</v>
      </c>
      <c r="B11" s="193"/>
      <c r="C11" s="90">
        <v>1.3</v>
      </c>
      <c r="D11" s="2">
        <v>1.55</v>
      </c>
      <c r="E11" s="2">
        <v>0.65</v>
      </c>
      <c r="F11" s="2">
        <v>0.65</v>
      </c>
      <c r="G11" s="8">
        <v>8</v>
      </c>
    </row>
    <row r="12" spans="1:9">
      <c r="A12" s="193">
        <v>15</v>
      </c>
      <c r="B12" s="193"/>
      <c r="C12" s="90">
        <v>1.125</v>
      </c>
      <c r="D12" s="2">
        <v>1.6</v>
      </c>
      <c r="E12" s="2">
        <v>0.7</v>
      </c>
      <c r="F12" s="2">
        <v>0</v>
      </c>
      <c r="G12" s="8">
        <v>9</v>
      </c>
    </row>
    <row r="13" spans="1:9">
      <c r="A13" s="7"/>
      <c r="B13" s="7"/>
    </row>
    <row r="14" spans="1:9" ht="15" thickBot="1">
      <c r="A14" s="7"/>
      <c r="B14" s="7" t="s">
        <v>42</v>
      </c>
      <c r="D14" s="19"/>
    </row>
    <row r="15" spans="1:9" ht="15" thickBot="1">
      <c r="A15" s="7"/>
      <c r="B15" s="194" t="s">
        <v>23</v>
      </c>
      <c r="C15" s="195"/>
      <c r="D15" s="195"/>
      <c r="E15" s="196"/>
    </row>
    <row r="16" spans="1:9" ht="15" thickBot="1">
      <c r="B16" s="35" t="s">
        <v>1</v>
      </c>
      <c r="C16" s="36"/>
      <c r="D16" s="146">
        <f>ข้อมูลสะพาน!E7</f>
        <v>12</v>
      </c>
      <c r="E16" s="92" t="s">
        <v>6</v>
      </c>
    </row>
    <row r="17" spans="2:23" ht="15" thickBot="1">
      <c r="B17" s="33" t="s">
        <v>25</v>
      </c>
      <c r="C17" s="34"/>
      <c r="D17" s="146">
        <f>ข้อมูลสะพาน!E8</f>
        <v>20</v>
      </c>
      <c r="E17" s="96" t="s">
        <v>24</v>
      </c>
    </row>
    <row r="18" spans="2:23">
      <c r="E18" s="85"/>
    </row>
    <row r="19" spans="2:23">
      <c r="B19" s="85" t="s">
        <v>26</v>
      </c>
      <c r="D19" s="30">
        <f>IF(D16=5,C9,IF(D16=6,C9,IF(D16=7,C9,IF(D16=8,C9,IF(D16=9,C9,IF(D16=10,C9,IF(D16=11,C10,IF(D16=12,C10,IF(D16=13,C11,IF(D16=14,C11,IF(D16=15,C12)))))))))))</f>
        <v>1.5</v>
      </c>
      <c r="E19" s="85" t="s">
        <v>6</v>
      </c>
      <c r="J19" s="85"/>
      <c r="K19" s="85"/>
      <c r="L19" s="85"/>
      <c r="M19" s="85"/>
      <c r="N19" s="85"/>
      <c r="O19" s="85"/>
      <c r="P19" s="85"/>
    </row>
    <row r="20" spans="2:23">
      <c r="B20" s="85" t="s">
        <v>27</v>
      </c>
      <c r="C20" s="85" t="s">
        <v>32</v>
      </c>
      <c r="D20" s="12">
        <f>IF(D16=5,D9,IF(D16=6,D9,IF(D16=7,D9,IF(D16=8,D9,IF(D16=9,D9,IF(D16=10,D9,IF(D16=11,D10,IF(D16=12,D10,IF(D16=13,D11,IF(D16=14,D11,IF(D16=15,D12)))))))))))</f>
        <v>1.6</v>
      </c>
      <c r="E20" s="85" t="s">
        <v>6</v>
      </c>
      <c r="I20" t="s">
        <v>10</v>
      </c>
      <c r="J20" s="29">
        <f>D21*K30</f>
        <v>0.74493999999999994</v>
      </c>
      <c r="K20" s="93">
        <f>D19*K30</f>
        <v>1.5963000000000001</v>
      </c>
      <c r="L20" s="93">
        <f>D19*K30</f>
        <v>1.5963000000000001</v>
      </c>
      <c r="M20" s="93">
        <f>D19*K30</f>
        <v>1.5963000000000001</v>
      </c>
      <c r="N20" s="93">
        <f>D19*K30</f>
        <v>1.5963000000000001</v>
      </c>
      <c r="O20" s="93">
        <f>D19*K30</f>
        <v>1.5963000000000001</v>
      </c>
      <c r="P20" s="93">
        <f>D21*K30</f>
        <v>0.74493999999999994</v>
      </c>
      <c r="Q20" s="85" t="s">
        <v>6</v>
      </c>
      <c r="W20" s="6"/>
    </row>
    <row r="21" spans="2:23">
      <c r="B21" s="85"/>
      <c r="C21" s="3" t="s">
        <v>33</v>
      </c>
      <c r="D21" s="12">
        <f>IF(D16=5,E9,IF(D16=6,E9,IF(D16=7,E9,IF(D16=8,E9,IF(D16=9,E9,IF(D16=10,E9,IF(D16=11,E10,IF(D16=12,E10,IF(D16=13,E11,IF(D16=14,E11,IF(D16=15,E12)))))))))))</f>
        <v>0.7</v>
      </c>
      <c r="E21" s="85" t="s">
        <v>6</v>
      </c>
      <c r="I21" t="s">
        <v>11</v>
      </c>
      <c r="J21" s="197">
        <f>J20+(M20*D25)+P20</f>
        <v>11.067679999999999</v>
      </c>
      <c r="K21" s="197"/>
      <c r="L21" s="197"/>
      <c r="M21" s="197"/>
      <c r="N21" s="197"/>
      <c r="O21" s="197"/>
      <c r="P21" s="197"/>
      <c r="Q21" s="85" t="s">
        <v>6</v>
      </c>
    </row>
    <row r="22" spans="2:23">
      <c r="B22" s="85"/>
      <c r="E22" s="85"/>
      <c r="I22" t="s">
        <v>12</v>
      </c>
      <c r="J22" s="197">
        <f>10.4*K30</f>
        <v>11.067680000000001</v>
      </c>
      <c r="K22" s="197"/>
      <c r="L22" s="197"/>
      <c r="M22" s="197"/>
      <c r="N22" s="197"/>
      <c r="O22" s="197"/>
      <c r="P22" s="197"/>
      <c r="Q22" s="85" t="s">
        <v>6</v>
      </c>
      <c r="T22" s="23"/>
      <c r="U22" s="23"/>
      <c r="V22" s="23"/>
    </row>
    <row r="23" spans="2:23" ht="15" thickBot="1">
      <c r="B23" s="85" t="s">
        <v>34</v>
      </c>
      <c r="D23" s="85">
        <f>IF(D16=5,F9,IF(D16=6,F9,IF(D16=7,F9,IF(D16=8,F9,IF(D16=9,F9,IF(D16=10,F9,IF(D16=11,F10,IF(D16=12,F10,IF(D16=13,F11,IF(D16=14,F11,IF(D16=15,F12)))))))))))</f>
        <v>0</v>
      </c>
      <c r="E23" s="85" t="s">
        <v>6</v>
      </c>
      <c r="T23" s="13"/>
      <c r="U23" s="13"/>
      <c r="V23" s="13"/>
    </row>
    <row r="24" spans="2:23" ht="15" thickBot="1">
      <c r="B24" s="85" t="s">
        <v>35</v>
      </c>
      <c r="C24" s="37" t="s">
        <v>39</v>
      </c>
      <c r="D24" s="38">
        <f>IF(D16=5,G9,IF(D16=6,G9,IF(D16=7,G9,IF(D16=8,G9,IF(D16=9,G9,IF(D16=10,G9,IF(D16=11,G10,IF(D16=12,G10,IF(D16=13,G11,IF(D16=14,G11,IF(D16=15,G12)))))))))))</f>
        <v>7</v>
      </c>
      <c r="E24" s="39" t="s">
        <v>3</v>
      </c>
      <c r="T24" s="13"/>
      <c r="U24" s="13"/>
      <c r="V24" s="20"/>
    </row>
    <row r="25" spans="2:23">
      <c r="C25" s="85" t="s">
        <v>2</v>
      </c>
      <c r="D25" s="85">
        <f>D24-1</f>
        <v>6</v>
      </c>
      <c r="E25" s="85" t="s">
        <v>40</v>
      </c>
      <c r="T25" s="13"/>
      <c r="U25" s="21"/>
      <c r="V25" s="20"/>
    </row>
    <row r="26" spans="2:23" ht="12" customHeight="1" thickBot="1">
      <c r="T26" s="13"/>
      <c r="U26" s="22"/>
      <c r="V26" s="20"/>
    </row>
    <row r="27" spans="2:23" ht="29.25" customHeight="1" thickBot="1">
      <c r="B27" s="198" t="s">
        <v>48</v>
      </c>
      <c r="C27" s="199"/>
      <c r="D27" s="26">
        <f>P37+P53+D53</f>
        <v>13.3617752</v>
      </c>
      <c r="E27" s="94" t="s">
        <v>5</v>
      </c>
      <c r="K27" s="4">
        <v>0</v>
      </c>
      <c r="L27" s="4">
        <v>5</v>
      </c>
      <c r="M27" s="4">
        <v>10</v>
      </c>
      <c r="N27" s="4">
        <v>15</v>
      </c>
      <c r="O27" s="4">
        <v>20</v>
      </c>
      <c r="P27" s="4">
        <v>25</v>
      </c>
      <c r="Q27" s="4">
        <v>30</v>
      </c>
      <c r="T27" s="13"/>
      <c r="U27" s="13"/>
      <c r="V27" s="20"/>
    </row>
    <row r="28" spans="2:23" ht="28.5" customHeight="1">
      <c r="K28" s="5">
        <v>1</v>
      </c>
      <c r="L28" s="5">
        <v>1.0038</v>
      </c>
      <c r="M28" s="5">
        <v>1.0154000000000001</v>
      </c>
      <c r="N28" s="5">
        <v>1.0353000000000001</v>
      </c>
      <c r="O28" s="5">
        <v>1.0642</v>
      </c>
      <c r="P28" s="5">
        <v>1.1033999999999999</v>
      </c>
      <c r="Q28" s="5">
        <v>1.1547000000000001</v>
      </c>
    </row>
    <row r="30" spans="2:23">
      <c r="I30" s="126" t="s">
        <v>9</v>
      </c>
      <c r="J30" s="125">
        <f>D17</f>
        <v>20</v>
      </c>
      <c r="K30" s="123">
        <f>IF(J30=0,K28,IF(J30=5,L28,IF(J30=10,M28,IF(J30=15,N28,IF(J30=20,O28,IF(J30=25,P28,IF(J30=30,Q28)))))))</f>
        <v>1.0642</v>
      </c>
      <c r="L30" s="125" t="s">
        <v>6</v>
      </c>
    </row>
    <row r="31" spans="2:23">
      <c r="N31" t="s">
        <v>16</v>
      </c>
    </row>
    <row r="33" spans="2:17">
      <c r="O33" s="186" t="s">
        <v>15</v>
      </c>
      <c r="P33" s="186"/>
      <c r="Q33" s="186"/>
    </row>
    <row r="34" spans="2:17">
      <c r="O34" s="14"/>
      <c r="P34" s="14"/>
      <c r="Q34" s="14"/>
    </row>
    <row r="35" spans="2:17">
      <c r="O35" s="14" t="s">
        <v>13</v>
      </c>
      <c r="P35" s="31">
        <f>L53</f>
        <v>0.91500000000000004</v>
      </c>
      <c r="Q35" s="15" t="s">
        <v>4</v>
      </c>
    </row>
    <row r="36" spans="2:17">
      <c r="O36" s="14" t="s">
        <v>0</v>
      </c>
      <c r="P36" s="16">
        <f>J21</f>
        <v>11.067679999999999</v>
      </c>
      <c r="Q36" s="15" t="s">
        <v>6</v>
      </c>
    </row>
    <row r="37" spans="2:17">
      <c r="O37" s="14" t="s">
        <v>14</v>
      </c>
      <c r="P37" s="25">
        <f>P35*P36</f>
        <v>10.126927199999999</v>
      </c>
      <c r="Q37" s="15" t="s">
        <v>5</v>
      </c>
    </row>
    <row r="38" spans="2:17">
      <c r="Q38" s="6"/>
    </row>
    <row r="39" spans="2:17">
      <c r="Q39" s="6"/>
    </row>
    <row r="40" spans="2:17">
      <c r="Q40" s="6"/>
    </row>
    <row r="41" spans="2:17">
      <c r="Q41" s="6"/>
    </row>
    <row r="42" spans="2:17">
      <c r="Q42" s="85" t="s">
        <v>22</v>
      </c>
    </row>
    <row r="43" spans="2:17">
      <c r="Q43" s="86">
        <v>0.4</v>
      </c>
    </row>
    <row r="44" spans="2:17">
      <c r="Q44" s="6"/>
    </row>
    <row r="45" spans="2:17">
      <c r="Q45" s="6"/>
    </row>
    <row r="46" spans="2:17">
      <c r="B46" t="s">
        <v>17</v>
      </c>
      <c r="E46" s="31">
        <f>(0.2*2.2)+(2.04*1.8)+(0.5*0.16*1.8)</f>
        <v>4.2560000000000002</v>
      </c>
      <c r="F46" s="6" t="s">
        <v>4</v>
      </c>
      <c r="Q46" s="6"/>
    </row>
    <row r="47" spans="2:17">
      <c r="Q47" s="6"/>
    </row>
    <row r="48" spans="2:17">
      <c r="C48" s="186" t="s">
        <v>18</v>
      </c>
      <c r="D48" s="186"/>
      <c r="E48" s="186"/>
      <c r="O48" s="187" t="s">
        <v>21</v>
      </c>
      <c r="P48" s="187"/>
      <c r="Q48" s="6"/>
    </row>
    <row r="49" spans="1:17">
      <c r="C49" s="14"/>
      <c r="D49" s="14"/>
      <c r="E49" s="14"/>
      <c r="O49" s="188">
        <v>0.4</v>
      </c>
      <c r="P49" s="188"/>
      <c r="Q49" s="1"/>
    </row>
    <row r="50" spans="1:17">
      <c r="C50" s="14" t="s">
        <v>13</v>
      </c>
      <c r="D50" s="31">
        <v>4.2560000000000002</v>
      </c>
      <c r="E50" s="15" t="s">
        <v>4</v>
      </c>
      <c r="O50" s="186" t="s">
        <v>20</v>
      </c>
      <c r="P50" s="186"/>
      <c r="Q50" s="186"/>
    </row>
    <row r="51" spans="1:17">
      <c r="C51" s="14" t="s">
        <v>19</v>
      </c>
      <c r="D51" s="16">
        <v>0.2</v>
      </c>
      <c r="E51" s="15" t="s">
        <v>6</v>
      </c>
      <c r="O51" s="14" t="s">
        <v>13</v>
      </c>
      <c r="P51" s="18">
        <f>O49*Q43</f>
        <v>0.16000000000000003</v>
      </c>
      <c r="Q51" s="15" t="s">
        <v>4</v>
      </c>
    </row>
    <row r="52" spans="1:17">
      <c r="C52" s="14" t="s">
        <v>14</v>
      </c>
      <c r="D52" s="17">
        <f>D50*D51</f>
        <v>0.85120000000000007</v>
      </c>
      <c r="E52" s="15" t="s">
        <v>5</v>
      </c>
      <c r="O52" s="14" t="s">
        <v>0</v>
      </c>
      <c r="P52" s="16">
        <f>D25*M20</f>
        <v>9.5777999999999999</v>
      </c>
      <c r="Q52" s="15" t="s">
        <v>6</v>
      </c>
    </row>
    <row r="53" spans="1:17">
      <c r="C53" s="14" t="s">
        <v>41</v>
      </c>
      <c r="D53" s="24">
        <f>D52*2</f>
        <v>1.7024000000000001</v>
      </c>
      <c r="E53" s="15" t="s">
        <v>5</v>
      </c>
      <c r="I53" t="s">
        <v>16</v>
      </c>
      <c r="L53" s="63">
        <f>(0.2*L55)+(0.75*0.3)+(1.05*0.2)+(0.2*0.75)+(0.2*0.94)+(0.5*0.3*0.2)</f>
        <v>0.91500000000000004</v>
      </c>
      <c r="M53" s="85" t="s">
        <v>4</v>
      </c>
      <c r="O53" s="14" t="s">
        <v>14</v>
      </c>
      <c r="P53" s="25">
        <f>P51*P52</f>
        <v>1.5324480000000003</v>
      </c>
      <c r="Q53" s="15" t="s">
        <v>5</v>
      </c>
    </row>
    <row r="54" spans="1:17">
      <c r="M54" s="85"/>
      <c r="Q54" s="6"/>
    </row>
    <row r="55" spans="1:17">
      <c r="K55" t="s">
        <v>46</v>
      </c>
      <c r="L55" s="32">
        <v>0.56000000000000005</v>
      </c>
      <c r="M55" s="85" t="s">
        <v>6</v>
      </c>
    </row>
    <row r="58" spans="1:17">
      <c r="A58" s="41" t="s">
        <v>45</v>
      </c>
    </row>
    <row r="74" spans="12:18">
      <c r="L74" s="186" t="s">
        <v>15</v>
      </c>
      <c r="M74" s="186"/>
      <c r="N74" s="186"/>
    </row>
    <row r="75" spans="12:18">
      <c r="L75" s="14"/>
      <c r="M75" s="14"/>
      <c r="N75" s="14"/>
    </row>
    <row r="76" spans="12:18">
      <c r="L76" s="27" t="s">
        <v>46</v>
      </c>
      <c r="M76" s="132">
        <v>0</v>
      </c>
      <c r="N76" s="27" t="s">
        <v>6</v>
      </c>
    </row>
    <row r="77" spans="12:18">
      <c r="L77" s="14"/>
      <c r="M77" s="14"/>
      <c r="N77" s="14"/>
      <c r="R77" s="85" t="s">
        <v>22</v>
      </c>
    </row>
    <row r="78" spans="12:18">
      <c r="L78" s="14" t="s">
        <v>13</v>
      </c>
      <c r="M78" s="42">
        <f>(0.7*0.6)+(0.3*M76)</f>
        <v>0.42</v>
      </c>
      <c r="N78" s="15" t="s">
        <v>4</v>
      </c>
      <c r="R78" s="86">
        <v>0.4</v>
      </c>
    </row>
    <row r="79" spans="12:18">
      <c r="L79" s="14" t="s">
        <v>0</v>
      </c>
      <c r="M79" s="16">
        <f>J21</f>
        <v>11.067679999999999</v>
      </c>
      <c r="N79" s="15" t="s">
        <v>6</v>
      </c>
    </row>
    <row r="80" spans="12:18">
      <c r="L80" s="14" t="s">
        <v>14</v>
      </c>
      <c r="M80" s="25">
        <f>M78*M79</f>
        <v>4.6484255999999995</v>
      </c>
      <c r="N80" s="15" t="s">
        <v>5</v>
      </c>
    </row>
    <row r="82" spans="9:18">
      <c r="L82" s="211" t="s">
        <v>49</v>
      </c>
      <c r="M82" s="212"/>
      <c r="N82" s="213"/>
    </row>
    <row r="83" spans="9:18">
      <c r="L83" s="214" t="s">
        <v>50</v>
      </c>
      <c r="M83" s="215"/>
      <c r="N83" s="216"/>
    </row>
    <row r="84" spans="9:18">
      <c r="L84" s="13"/>
      <c r="M84" s="13"/>
      <c r="N84" s="13"/>
    </row>
    <row r="87" spans="9:18" ht="15" thickBot="1">
      <c r="P87" s="187" t="s">
        <v>21</v>
      </c>
      <c r="Q87" s="187"/>
      <c r="R87" s="6"/>
    </row>
    <row r="88" spans="9:18">
      <c r="I88" s="200" t="s">
        <v>47</v>
      </c>
      <c r="J88" s="201"/>
      <c r="K88" s="201"/>
      <c r="L88" s="204">
        <f>M80+Q92</f>
        <v>6.4192543999999998</v>
      </c>
      <c r="M88" s="205"/>
      <c r="N88" s="205" t="s">
        <v>5</v>
      </c>
      <c r="P88" s="188">
        <v>0.4</v>
      </c>
      <c r="Q88" s="188"/>
      <c r="R88" s="1"/>
    </row>
    <row r="89" spans="9:18" ht="14.25" customHeight="1" thickBot="1">
      <c r="I89" s="202"/>
      <c r="J89" s="203"/>
      <c r="K89" s="203"/>
      <c r="L89" s="206"/>
      <c r="M89" s="207"/>
      <c r="N89" s="207"/>
      <c r="P89" s="186" t="s">
        <v>20</v>
      </c>
      <c r="Q89" s="186"/>
      <c r="R89" s="186"/>
    </row>
    <row r="90" spans="9:18" ht="14.25" customHeight="1">
      <c r="I90" s="200" t="s">
        <v>39</v>
      </c>
      <c r="J90" s="201"/>
      <c r="K90" s="201"/>
      <c r="L90" s="208">
        <f>D24</f>
        <v>7</v>
      </c>
      <c r="M90" s="205"/>
      <c r="N90" s="209" t="s">
        <v>3</v>
      </c>
      <c r="P90" s="14" t="s">
        <v>13</v>
      </c>
      <c r="Q90" s="18">
        <f>P88*R78</f>
        <v>0.16000000000000003</v>
      </c>
      <c r="R90" s="15" t="s">
        <v>4</v>
      </c>
    </row>
    <row r="91" spans="9:18" ht="15" customHeight="1" thickBot="1">
      <c r="I91" s="202"/>
      <c r="J91" s="203"/>
      <c r="K91" s="203"/>
      <c r="L91" s="206"/>
      <c r="M91" s="207"/>
      <c r="N91" s="210"/>
      <c r="P91" s="14" t="s">
        <v>0</v>
      </c>
      <c r="Q91" s="16">
        <f>J21</f>
        <v>11.067679999999999</v>
      </c>
      <c r="R91" s="15" t="s">
        <v>6</v>
      </c>
    </row>
    <row r="92" spans="9:18">
      <c r="I92" s="13"/>
      <c r="J92" s="43"/>
      <c r="K92" s="20"/>
      <c r="P92" s="14" t="s">
        <v>14</v>
      </c>
      <c r="Q92" s="25">
        <f>Q90*Q91</f>
        <v>1.7708288000000003</v>
      </c>
      <c r="R92" s="15" t="s">
        <v>5</v>
      </c>
    </row>
    <row r="94" spans="9:18">
      <c r="I94" s="220" t="s">
        <v>121</v>
      </c>
      <c r="J94" s="221"/>
      <c r="K94" s="221"/>
      <c r="L94" s="221"/>
      <c r="M94" s="221"/>
      <c r="N94" s="221"/>
      <c r="O94" s="229">
        <f>ROUND(M79*2,0)</f>
        <v>22</v>
      </c>
      <c r="P94" s="230"/>
      <c r="Q94" s="139" t="s">
        <v>122</v>
      </c>
    </row>
    <row r="95" spans="9:18">
      <c r="I95" s="140" t="s">
        <v>123</v>
      </c>
      <c r="J95" s="141"/>
      <c r="K95" s="141"/>
      <c r="L95" s="142">
        <f>ข้อมูลสะพาน!E11</f>
        <v>3</v>
      </c>
      <c r="M95" s="142" t="s">
        <v>92</v>
      </c>
      <c r="N95" s="143"/>
      <c r="O95" s="231">
        <f>O94*L95</f>
        <v>66</v>
      </c>
      <c r="P95" s="232"/>
      <c r="Q95" s="144" t="s">
        <v>6</v>
      </c>
    </row>
    <row r="97" spans="2:18">
      <c r="I97" s="140" t="s">
        <v>125</v>
      </c>
      <c r="J97" s="141"/>
      <c r="K97" s="141"/>
      <c r="L97" s="141"/>
      <c r="M97" s="147">
        <f>แบบฐานแผ่ไม่มีทางเท้า!P150</f>
        <v>11.98</v>
      </c>
      <c r="N97" s="144" t="s">
        <v>6</v>
      </c>
      <c r="O97" s="231">
        <f>2*L95</f>
        <v>6</v>
      </c>
      <c r="P97" s="232"/>
      <c r="Q97" s="144" t="s">
        <v>126</v>
      </c>
    </row>
    <row r="98" spans="2:18">
      <c r="B98" t="str">
        <f>ข้อมูลสะพาน!A1</f>
        <v xml:space="preserve">โครงการเขื่อนทดน้ำผาจุก สะพานรถยนต์ </v>
      </c>
      <c r="I98" s="140" t="s">
        <v>127</v>
      </c>
      <c r="J98" s="141"/>
      <c r="K98" s="141"/>
      <c r="L98" s="141"/>
      <c r="M98" s="147">
        <f>M97</f>
        <v>11.98</v>
      </c>
      <c r="N98" s="144" t="s">
        <v>6</v>
      </c>
      <c r="O98" s="231">
        <f>(ข้อมูลสะพาน!E6-1)*แบบมีเข็มไม่มีทางเท้า!L95</f>
        <v>24</v>
      </c>
      <c r="P98" s="232"/>
      <c r="Q98" s="144" t="s">
        <v>126</v>
      </c>
    </row>
    <row r="99" spans="2:18">
      <c r="B99" s="6" t="str">
        <f>ข้อมูลสะพาน!A2</f>
        <v xml:space="preserve">กม.  48+  </v>
      </c>
      <c r="C99" s="44">
        <f>ข้อมูลสะพาน!B2</f>
        <v>226.55</v>
      </c>
    </row>
    <row r="100" spans="2:18">
      <c r="B100" t="str">
        <f>ข้อมูลสะพาน!A3</f>
        <v>คลองส่งน้ำสายใหญ่ฝั่งซ้าย (LMC)</v>
      </c>
    </row>
    <row r="101" spans="2:18" ht="15" thickBot="1">
      <c r="B101" t="s">
        <v>131</v>
      </c>
      <c r="D101" s="138">
        <f>ข้อมูลสะพาน!E7*ข้อมูลสะพาน!E11</f>
        <v>36</v>
      </c>
      <c r="E101" s="138" t="s">
        <v>6</v>
      </c>
      <c r="N101" s="85" t="s">
        <v>59</v>
      </c>
      <c r="P101" s="85" t="s">
        <v>58</v>
      </c>
    </row>
    <row r="102" spans="2:18" ht="15" thickBot="1">
      <c r="B102" s="35" t="s">
        <v>53</v>
      </c>
      <c r="C102" s="53">
        <f>ข้อมูลสะพาน!E9</f>
        <v>2</v>
      </c>
      <c r="D102" s="91" t="s">
        <v>56</v>
      </c>
      <c r="E102" s="225" t="s">
        <v>55</v>
      </c>
      <c r="F102" s="226"/>
      <c r="G102" s="217">
        <f>C102*D27</f>
        <v>26.723550400000001</v>
      </c>
      <c r="H102" s="218"/>
      <c r="I102" s="219"/>
      <c r="J102" s="49" t="s">
        <v>5</v>
      </c>
      <c r="K102" s="49" t="s">
        <v>39</v>
      </c>
      <c r="L102" s="36">
        <f>C102*D24</f>
        <v>14</v>
      </c>
      <c r="M102" s="49" t="s">
        <v>3</v>
      </c>
      <c r="N102" s="145">
        <f>ข้อมูลสะพาน!H9</f>
        <v>7</v>
      </c>
      <c r="O102" s="53" t="s">
        <v>6</v>
      </c>
      <c r="P102" s="52">
        <f>(0.4*0.4*N102)*L102</f>
        <v>15.680000000000001</v>
      </c>
      <c r="Q102" s="49" t="s">
        <v>5</v>
      </c>
    </row>
    <row r="103" spans="2:18" ht="15" thickBot="1">
      <c r="B103" s="35" t="s">
        <v>54</v>
      </c>
      <c r="C103" s="53">
        <f>ข้อมูลสะพาน!E10</f>
        <v>2</v>
      </c>
      <c r="D103" s="91" t="s">
        <v>56</v>
      </c>
      <c r="E103" s="225" t="s">
        <v>55</v>
      </c>
      <c r="F103" s="226"/>
      <c r="G103" s="217">
        <f>C103*L88</f>
        <v>12.8385088</v>
      </c>
      <c r="H103" s="218"/>
      <c r="I103" s="219"/>
      <c r="J103" s="49" t="s">
        <v>5</v>
      </c>
      <c r="K103" s="49" t="s">
        <v>39</v>
      </c>
      <c r="L103" s="36">
        <f>C103*L90</f>
        <v>14</v>
      </c>
      <c r="M103" s="49" t="s">
        <v>3</v>
      </c>
      <c r="N103" s="145">
        <f>ข้อมูลสะพาน!H10</f>
        <v>7</v>
      </c>
      <c r="O103" s="53" t="s">
        <v>6</v>
      </c>
      <c r="P103" s="52">
        <f>(0.4*0.4*N103)*L103</f>
        <v>15.680000000000001</v>
      </c>
      <c r="Q103" s="49" t="s">
        <v>5</v>
      </c>
    </row>
    <row r="104" spans="2:18" ht="15" thickBot="1">
      <c r="B104" s="35" t="s">
        <v>91</v>
      </c>
      <c r="C104" s="53">
        <f>ข้อมูลสะพาน!E11</f>
        <v>3</v>
      </c>
      <c r="D104" s="91" t="s">
        <v>92</v>
      </c>
      <c r="E104" s="225" t="s">
        <v>55</v>
      </c>
      <c r="F104" s="226"/>
      <c r="G104" s="217">
        <f>แบบฐานแผ่ไม่มีทางเท้า!H131</f>
        <v>90.045450197802253</v>
      </c>
      <c r="H104" s="218"/>
      <c r="I104" s="219"/>
      <c r="J104" s="49" t="s">
        <v>5</v>
      </c>
      <c r="K104" s="49"/>
      <c r="L104" s="36"/>
      <c r="M104" s="49"/>
      <c r="N104" s="76"/>
      <c r="O104" s="53"/>
      <c r="P104" s="52"/>
      <c r="Q104" s="49"/>
    </row>
    <row r="105" spans="2:18" ht="15" thickBot="1">
      <c r="B105" s="35" t="s">
        <v>100</v>
      </c>
      <c r="C105" s="84"/>
      <c r="D105" s="91"/>
      <c r="E105" s="225" t="s">
        <v>55</v>
      </c>
      <c r="F105" s="226"/>
      <c r="G105" s="217">
        <f>แบบฐานแผ่ไม่มีทางเท้า!H132</f>
        <v>6.6479999999999997E-2</v>
      </c>
      <c r="H105" s="218"/>
      <c r="I105" s="219"/>
      <c r="J105" s="49" t="s">
        <v>5</v>
      </c>
      <c r="K105" s="49"/>
      <c r="L105" s="36"/>
      <c r="M105" s="49"/>
      <c r="N105" s="76"/>
      <c r="O105" s="53"/>
      <c r="P105" s="52"/>
      <c r="Q105" s="49"/>
    </row>
    <row r="106" spans="2:18" ht="15" thickBot="1">
      <c r="B106" s="47" t="s">
        <v>57</v>
      </c>
      <c r="C106" s="48"/>
      <c r="D106" s="48"/>
      <c r="E106" s="227"/>
      <c r="F106" s="228"/>
      <c r="G106" s="222">
        <f>SUM(G102:I105)</f>
        <v>129.67398939780227</v>
      </c>
      <c r="H106" s="223"/>
      <c r="I106" s="224"/>
      <c r="J106" s="50" t="s">
        <v>5</v>
      </c>
      <c r="K106" s="50" t="s">
        <v>39</v>
      </c>
      <c r="L106" s="48">
        <f>SUM(L102:L103)</f>
        <v>28</v>
      </c>
      <c r="M106" s="50" t="s">
        <v>3</v>
      </c>
      <c r="N106" s="54"/>
      <c r="O106" s="51"/>
      <c r="P106" s="55">
        <f>SUM(P102:P103)</f>
        <v>31.360000000000003</v>
      </c>
      <c r="Q106" s="50" t="s">
        <v>5</v>
      </c>
      <c r="R106" s="45"/>
    </row>
    <row r="107" spans="2:18" ht="15" thickBot="1">
      <c r="P107" s="45">
        <f>G106+P106</f>
        <v>161.03398939780229</v>
      </c>
    </row>
    <row r="108" spans="2:18">
      <c r="B108" s="160" t="s">
        <v>101</v>
      </c>
      <c r="C108" s="168"/>
      <c r="D108" s="166">
        <f>G106*ข้อมูลสะพาน!E13</f>
        <v>11670.659045802204</v>
      </c>
      <c r="E108" s="153" t="s">
        <v>102</v>
      </c>
    </row>
    <row r="109" spans="2:18" ht="15" thickBot="1">
      <c r="B109" s="162" t="s">
        <v>124</v>
      </c>
      <c r="C109" s="127"/>
      <c r="D109" s="128">
        <f>O95</f>
        <v>66</v>
      </c>
      <c r="E109" s="169" t="str">
        <f>Q95</f>
        <v>ม.</v>
      </c>
    </row>
    <row r="110" spans="2:18">
      <c r="B110" s="162" t="s">
        <v>129</v>
      </c>
      <c r="C110" s="127"/>
      <c r="D110" s="128">
        <f>O97</f>
        <v>6</v>
      </c>
      <c r="E110" s="169" t="str">
        <f>Q97</f>
        <v>ท่อน</v>
      </c>
      <c r="F110" s="150" t="s">
        <v>130</v>
      </c>
      <c r="G110" s="151">
        <f>M97</f>
        <v>11.98</v>
      </c>
      <c r="H110" s="152"/>
      <c r="I110" s="153" t="str">
        <f>N97</f>
        <v>ม.</v>
      </c>
    </row>
    <row r="111" spans="2:18" ht="15" thickBot="1">
      <c r="B111" s="164" t="s">
        <v>128</v>
      </c>
      <c r="C111" s="170"/>
      <c r="D111" s="167">
        <f>O98</f>
        <v>24</v>
      </c>
      <c r="E111" s="171" t="str">
        <f>Q98</f>
        <v>ท่อน</v>
      </c>
      <c r="F111" s="154" t="s">
        <v>130</v>
      </c>
      <c r="G111" s="155">
        <f>M98</f>
        <v>11.98</v>
      </c>
      <c r="H111" s="98"/>
      <c r="I111" s="99" t="str">
        <f>N98</f>
        <v>ม.</v>
      </c>
    </row>
  </sheetData>
  <sheetProtection password="EB11" sheet="1" objects="1" scenarios="1" formatCells="0"/>
  <mergeCells count="43">
    <mergeCell ref="N90:N91"/>
    <mergeCell ref="E106:F106"/>
    <mergeCell ref="G106:I106"/>
    <mergeCell ref="E105:F105"/>
    <mergeCell ref="G105:I105"/>
    <mergeCell ref="E103:F103"/>
    <mergeCell ref="G103:I103"/>
    <mergeCell ref="E104:F104"/>
    <mergeCell ref="G104:I104"/>
    <mergeCell ref="E102:F102"/>
    <mergeCell ref="G102:I102"/>
    <mergeCell ref="I94:N94"/>
    <mergeCell ref="L83:N83"/>
    <mergeCell ref="P87:Q87"/>
    <mergeCell ref="I88:K89"/>
    <mergeCell ref="L88:M89"/>
    <mergeCell ref="N88:N89"/>
    <mergeCell ref="P88:Q88"/>
    <mergeCell ref="P89:R89"/>
    <mergeCell ref="O95:P95"/>
    <mergeCell ref="O97:P97"/>
    <mergeCell ref="O98:P98"/>
    <mergeCell ref="O94:P94"/>
    <mergeCell ref="I90:K91"/>
    <mergeCell ref="L90:M91"/>
    <mergeCell ref="A11:B11"/>
    <mergeCell ref="A7:B7"/>
    <mergeCell ref="D7:E7"/>
    <mergeCell ref="A8:B8"/>
    <mergeCell ref="A9:B9"/>
    <mergeCell ref="A10:B10"/>
    <mergeCell ref="L82:N82"/>
    <mergeCell ref="A12:B12"/>
    <mergeCell ref="B15:E15"/>
    <mergeCell ref="J21:P21"/>
    <mergeCell ref="J22:P22"/>
    <mergeCell ref="B27:C27"/>
    <mergeCell ref="O33:Q33"/>
    <mergeCell ref="C48:E48"/>
    <mergeCell ref="O48:P48"/>
    <mergeCell ref="O49:P49"/>
    <mergeCell ref="O50:Q50"/>
    <mergeCell ref="L74:N74"/>
  </mergeCells>
  <pageMargins left="0.70866141732283472" right="0.70866141732283472" top="0.74803149606299213" bottom="0.74803149606299213" header="0.31496062992125984" footer="0.31496062992125984"/>
  <pageSetup scale="50" orientation="portrait" r:id="rId1"/>
  <rowBreaks count="1" manualBreakCount="1">
    <brk id="9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W207"/>
  <sheetViews>
    <sheetView workbookViewId="0">
      <selection activeCell="K136" sqref="K136"/>
    </sheetView>
  </sheetViews>
  <sheetFormatPr defaultRowHeight="14.25"/>
  <cols>
    <col min="3" max="5" width="10.625" customWidth="1"/>
    <col min="8" max="8" width="1.25" customWidth="1"/>
    <col min="20" max="20" width="10.5" bestFit="1" customWidth="1"/>
  </cols>
  <sheetData>
    <row r="1" spans="1:9">
      <c r="A1" s="40" t="s">
        <v>43</v>
      </c>
      <c r="I1" t="s">
        <v>7</v>
      </c>
    </row>
    <row r="2" spans="1:9">
      <c r="A2" s="41" t="s">
        <v>60</v>
      </c>
      <c r="I2" t="s">
        <v>8</v>
      </c>
    </row>
    <row r="3" spans="1:9">
      <c r="A3" t="s">
        <v>28</v>
      </c>
    </row>
    <row r="7" spans="1:9">
      <c r="A7" s="189" t="s">
        <v>31</v>
      </c>
      <c r="B7" s="190"/>
      <c r="C7" s="10" t="s">
        <v>26</v>
      </c>
      <c r="D7" s="189" t="s">
        <v>27</v>
      </c>
      <c r="E7" s="190"/>
      <c r="F7" s="10" t="s">
        <v>34</v>
      </c>
      <c r="G7" s="87" t="s">
        <v>35</v>
      </c>
    </row>
    <row r="8" spans="1:9">
      <c r="A8" s="191" t="s">
        <v>6</v>
      </c>
      <c r="B8" s="192"/>
      <c r="C8" s="11"/>
      <c r="D8" s="90" t="s">
        <v>32</v>
      </c>
      <c r="E8" s="90" t="s">
        <v>33</v>
      </c>
      <c r="F8" s="11"/>
      <c r="G8" s="9"/>
    </row>
    <row r="9" spans="1:9">
      <c r="A9" s="193" t="s">
        <v>36</v>
      </c>
      <c r="B9" s="193"/>
      <c r="C9" s="90">
        <v>1.8</v>
      </c>
      <c r="D9" s="2">
        <v>1.6</v>
      </c>
      <c r="E9" s="2">
        <v>0.7</v>
      </c>
      <c r="F9" s="2">
        <v>0.9</v>
      </c>
      <c r="G9" s="8">
        <v>6</v>
      </c>
    </row>
    <row r="10" spans="1:9">
      <c r="A10" s="193" t="s">
        <v>37</v>
      </c>
      <c r="B10" s="193"/>
      <c r="C10" s="90">
        <v>1.5</v>
      </c>
      <c r="D10" s="2">
        <v>1.6</v>
      </c>
      <c r="E10" s="2">
        <v>0.7</v>
      </c>
      <c r="F10" s="2">
        <v>0</v>
      </c>
      <c r="G10" s="8">
        <v>7</v>
      </c>
    </row>
    <row r="11" spans="1:9">
      <c r="A11" s="193" t="s">
        <v>38</v>
      </c>
      <c r="B11" s="193"/>
      <c r="C11" s="90">
        <v>1.3</v>
      </c>
      <c r="D11" s="2">
        <v>1.55</v>
      </c>
      <c r="E11" s="2">
        <v>0.65</v>
      </c>
      <c r="F11" s="2">
        <v>0.65</v>
      </c>
      <c r="G11" s="8">
        <v>8</v>
      </c>
    </row>
    <row r="12" spans="1:9">
      <c r="A12" s="193">
        <v>15</v>
      </c>
      <c r="B12" s="193"/>
      <c r="C12" s="90">
        <v>1.125</v>
      </c>
      <c r="D12" s="2">
        <v>1.6</v>
      </c>
      <c r="E12" s="2">
        <v>0.7</v>
      </c>
      <c r="F12" s="2">
        <v>0</v>
      </c>
      <c r="G12" s="8">
        <v>9</v>
      </c>
    </row>
    <row r="13" spans="1:9">
      <c r="A13" s="7"/>
      <c r="B13" s="7"/>
    </row>
    <row r="14" spans="1:9" ht="15" thickBot="1">
      <c r="A14" s="7"/>
      <c r="B14" s="7" t="s">
        <v>42</v>
      </c>
      <c r="D14" s="19"/>
    </row>
    <row r="15" spans="1:9" ht="15" thickBot="1">
      <c r="A15" s="7"/>
      <c r="B15" s="194" t="s">
        <v>23</v>
      </c>
      <c r="C15" s="195"/>
      <c r="D15" s="195"/>
      <c r="E15" s="196"/>
    </row>
    <row r="16" spans="1:9" ht="15" thickBot="1">
      <c r="B16" s="35" t="s">
        <v>1</v>
      </c>
      <c r="C16" s="36"/>
      <c r="D16" s="146">
        <f>ข้อมูลสะพาน!E7</f>
        <v>12</v>
      </c>
      <c r="E16" s="92" t="s">
        <v>6</v>
      </c>
    </row>
    <row r="17" spans="2:23" ht="15" thickBot="1">
      <c r="B17" s="33" t="s">
        <v>25</v>
      </c>
      <c r="C17" s="34"/>
      <c r="D17" s="146">
        <f>ข้อมูลสะพาน!E8</f>
        <v>20</v>
      </c>
      <c r="E17" s="96" t="s">
        <v>24</v>
      </c>
    </row>
    <row r="18" spans="2:23">
      <c r="E18" s="85"/>
    </row>
    <row r="19" spans="2:23">
      <c r="B19" s="85" t="s">
        <v>26</v>
      </c>
      <c r="D19" s="30">
        <f>IF(D16=5,C9,IF(D16=6,C9,IF(D16=7,C9,IF(D16=8,C9,IF(D16=9,C9,IF(D16=10,C9,IF(D16=11,C10,IF(D16=12,C10,IF(D16=13,C11,IF(D16=14,C11,IF(D16=15,C12)))))))))))</f>
        <v>1.5</v>
      </c>
      <c r="E19" s="85" t="s">
        <v>6</v>
      </c>
      <c r="J19" s="85"/>
      <c r="K19" s="85"/>
      <c r="L19" s="85"/>
      <c r="M19" s="85"/>
      <c r="N19" s="85"/>
      <c r="O19" s="85"/>
      <c r="P19" s="85"/>
    </row>
    <row r="20" spans="2:23">
      <c r="B20" s="85" t="s">
        <v>27</v>
      </c>
      <c r="C20" s="85" t="s">
        <v>32</v>
      </c>
      <c r="D20" s="12">
        <f>IF(D16=5,D9,IF(D16=6,D9,IF(D16=7,D9,IF(D16=8,D9,IF(D16=9,D9,IF(D16=10,D9,IF(D16=11,D10,IF(D16=12,D10,IF(D16=13,D11,IF(D16=14,D11,IF(D16=15,D12)))))))))))</f>
        <v>1.6</v>
      </c>
      <c r="E20" s="85" t="s">
        <v>6</v>
      </c>
      <c r="I20" s="109" t="s">
        <v>10</v>
      </c>
      <c r="J20" s="106">
        <f>D20*K30</f>
        <v>1.7027200000000002</v>
      </c>
      <c r="K20" s="112">
        <f>$D19*K30</f>
        <v>1.5963000000000001</v>
      </c>
      <c r="L20" s="107">
        <f>D19*K30</f>
        <v>1.5963000000000001</v>
      </c>
      <c r="M20" s="112">
        <f>D19*K30</f>
        <v>1.5963000000000001</v>
      </c>
      <c r="N20" s="107">
        <f>D19*K30</f>
        <v>1.5963000000000001</v>
      </c>
      <c r="O20" s="112">
        <f>D19*K30</f>
        <v>1.5963000000000001</v>
      </c>
      <c r="P20" s="107">
        <f>D20*K30</f>
        <v>1.7027200000000002</v>
      </c>
      <c r="Q20" s="90" t="s">
        <v>6</v>
      </c>
      <c r="W20" s="6"/>
    </row>
    <row r="21" spans="2:23">
      <c r="B21" s="85"/>
      <c r="C21" s="3" t="s">
        <v>33</v>
      </c>
      <c r="D21" s="12">
        <f>IF(D16=5,E9,IF(D16=6,E9,IF(D16=7,E9,IF(D16=8,E9,IF(D16=9,E9,IF(D16=10,E9,IF(D16=11,E10,IF(D16=12,E10,IF(D16=13,E11,IF(D16=14,E11,IF(D16=15,E12)))))))))))</f>
        <v>0.7</v>
      </c>
      <c r="E21" s="85" t="s">
        <v>6</v>
      </c>
      <c r="I21" s="109" t="s">
        <v>11</v>
      </c>
      <c r="J21" s="233">
        <f>J20+(M20*D25)+P20</f>
        <v>12.983239999999999</v>
      </c>
      <c r="K21" s="233"/>
      <c r="L21" s="233"/>
      <c r="M21" s="233"/>
      <c r="N21" s="233"/>
      <c r="O21" s="233"/>
      <c r="P21" s="233"/>
      <c r="Q21" s="90" t="s">
        <v>6</v>
      </c>
    </row>
    <row r="22" spans="2:23">
      <c r="B22" s="85"/>
      <c r="E22" s="85"/>
      <c r="I22" s="11" t="s">
        <v>12</v>
      </c>
      <c r="J22" s="234">
        <f>12.2*K30</f>
        <v>12.98324</v>
      </c>
      <c r="K22" s="234"/>
      <c r="L22" s="234"/>
      <c r="M22" s="234"/>
      <c r="N22" s="234"/>
      <c r="O22" s="234"/>
      <c r="P22" s="234"/>
      <c r="Q22" s="110" t="s">
        <v>6</v>
      </c>
      <c r="T22" s="23"/>
      <c r="U22" s="23"/>
      <c r="V22" s="23"/>
    </row>
    <row r="23" spans="2:23" ht="15" thickBot="1">
      <c r="B23" s="85" t="s">
        <v>34</v>
      </c>
      <c r="D23" s="85">
        <f>IF(D16=5,F9,IF(D16=6,F9,IF(D16=7,F9,IF(D16=8,F9,IF(D16=9,F9,IF(D16=10,F9,IF(D16=11,F10,IF(D16=12,F10,IF(D16=13,F11,IF(D16=14,F11,IF(D16=15,F12)))))))))))</f>
        <v>0</v>
      </c>
      <c r="E23" s="85" t="s">
        <v>6</v>
      </c>
      <c r="T23" s="13"/>
      <c r="U23" s="13"/>
      <c r="V23" s="13"/>
    </row>
    <row r="24" spans="2:23" ht="15" thickBot="1">
      <c r="B24" s="85" t="s">
        <v>35</v>
      </c>
      <c r="C24" s="37" t="s">
        <v>65</v>
      </c>
      <c r="D24" s="38">
        <f>IF(D16=5,G9,IF(D16=6,G9,IF(D16=7,G9,IF(D16=8,G9,IF(D16=9,G9,IF(D16=10,G9,IF(D16=11,G10,IF(D16=12,G10,IF(D16=13,G11,IF(D16=14,G11,IF(D16=15,G12)))))))))))</f>
        <v>7</v>
      </c>
      <c r="E24" s="39" t="s">
        <v>3</v>
      </c>
      <c r="T24" s="13"/>
      <c r="U24" s="13"/>
      <c r="V24" s="20"/>
    </row>
    <row r="25" spans="2:23">
      <c r="C25" s="85" t="s">
        <v>2</v>
      </c>
      <c r="D25" s="85">
        <f>D24-1</f>
        <v>6</v>
      </c>
      <c r="E25" s="85" t="s">
        <v>40</v>
      </c>
      <c r="T25" s="13"/>
      <c r="U25" s="21"/>
      <c r="V25" s="20"/>
    </row>
    <row r="26" spans="2:23" ht="12" customHeight="1" thickBot="1">
      <c r="T26" s="13"/>
      <c r="U26" s="22"/>
      <c r="V26" s="20"/>
    </row>
    <row r="27" spans="2:23" ht="29.25" customHeight="1" thickBot="1">
      <c r="B27" s="198" t="s">
        <v>48</v>
      </c>
      <c r="C27" s="199"/>
      <c r="D27" s="26">
        <f>P37+P53+D53+P66+P75</f>
        <v>44.003888599999996</v>
      </c>
      <c r="E27" s="94" t="s">
        <v>5</v>
      </c>
      <c r="K27" s="4">
        <v>0</v>
      </c>
      <c r="L27" s="4">
        <v>5</v>
      </c>
      <c r="M27" s="4">
        <v>10</v>
      </c>
      <c r="N27" s="4">
        <v>15</v>
      </c>
      <c r="O27" s="4">
        <v>20</v>
      </c>
      <c r="P27" s="4">
        <v>25</v>
      </c>
      <c r="Q27" s="4">
        <v>30</v>
      </c>
      <c r="T27" s="13"/>
      <c r="U27" s="13"/>
      <c r="V27" s="20"/>
    </row>
    <row r="28" spans="2:23" ht="28.5" customHeight="1">
      <c r="K28" s="5">
        <v>1</v>
      </c>
      <c r="L28" s="5">
        <v>1.0038</v>
      </c>
      <c r="M28" s="5">
        <v>1.0154000000000001</v>
      </c>
      <c r="N28" s="5">
        <v>1.0353000000000001</v>
      </c>
      <c r="O28" s="5">
        <v>1.0642</v>
      </c>
      <c r="P28" s="5">
        <v>1.1033999999999999</v>
      </c>
      <c r="Q28" s="5">
        <v>1.1547000000000001</v>
      </c>
    </row>
    <row r="30" spans="2:23">
      <c r="I30" s="126" t="s">
        <v>9</v>
      </c>
      <c r="J30" s="125">
        <f>D17</f>
        <v>20</v>
      </c>
      <c r="K30" s="123">
        <f>IF(J30=0,K28,IF(J30=5,L28,IF(J30=10,M28,IF(J30=15,N28,IF(J30=20,O28,IF(J30=25,P28,IF(J30=30,Q28)))))))</f>
        <v>1.0642</v>
      </c>
      <c r="L30" s="125" t="s">
        <v>6</v>
      </c>
    </row>
    <row r="31" spans="2:23">
      <c r="N31" t="s">
        <v>16</v>
      </c>
    </row>
    <row r="33" spans="2:17">
      <c r="O33" s="186" t="s">
        <v>15</v>
      </c>
      <c r="P33" s="186"/>
      <c r="Q33" s="186"/>
    </row>
    <row r="34" spans="2:17">
      <c r="O34" s="14"/>
      <c r="P34" s="14"/>
      <c r="Q34" s="14"/>
    </row>
    <row r="35" spans="2:17">
      <c r="O35" s="14" t="s">
        <v>13</v>
      </c>
      <c r="P35" s="31">
        <f>L53</f>
        <v>0.91500000000000004</v>
      </c>
      <c r="Q35" s="15" t="s">
        <v>4</v>
      </c>
    </row>
    <row r="36" spans="2:17">
      <c r="O36" s="14" t="s">
        <v>0</v>
      </c>
      <c r="P36" s="16">
        <f>J21</f>
        <v>12.983239999999999</v>
      </c>
      <c r="Q36" s="15" t="s">
        <v>6</v>
      </c>
    </row>
    <row r="37" spans="2:17">
      <c r="O37" s="14" t="s">
        <v>14</v>
      </c>
      <c r="P37" s="25">
        <f>P35*P36</f>
        <v>11.8796646</v>
      </c>
      <c r="Q37" s="15" t="s">
        <v>5</v>
      </c>
    </row>
    <row r="38" spans="2:17">
      <c r="Q38" s="6"/>
    </row>
    <row r="39" spans="2:17">
      <c r="Q39" s="6"/>
    </row>
    <row r="40" spans="2:17">
      <c r="Q40" s="6"/>
    </row>
    <row r="41" spans="2:17">
      <c r="Q41" s="6"/>
    </row>
    <row r="42" spans="2:17">
      <c r="Q42" s="85" t="s">
        <v>22</v>
      </c>
    </row>
    <row r="43" spans="2:17">
      <c r="Q43" s="86">
        <v>0.4</v>
      </c>
    </row>
    <row r="44" spans="2:17">
      <c r="Q44" s="6"/>
    </row>
    <row r="45" spans="2:17">
      <c r="Q45" s="6"/>
    </row>
    <row r="46" spans="2:17">
      <c r="B46" t="s">
        <v>17</v>
      </c>
      <c r="E46" s="31">
        <f>(0.2*2.2)+(2.04*1.8)+(0.5*0.16*1.8)</f>
        <v>4.2560000000000002</v>
      </c>
      <c r="F46" s="6" t="s">
        <v>4</v>
      </c>
      <c r="Q46" s="6"/>
    </row>
    <row r="47" spans="2:17">
      <c r="Q47" s="6"/>
    </row>
    <row r="48" spans="2:17">
      <c r="C48" s="186" t="s">
        <v>18</v>
      </c>
      <c r="D48" s="186"/>
      <c r="E48" s="186"/>
      <c r="O48" s="187" t="s">
        <v>21</v>
      </c>
      <c r="P48" s="187"/>
      <c r="Q48" s="6"/>
    </row>
    <row r="49" spans="1:20">
      <c r="C49" s="14"/>
      <c r="D49" s="14"/>
      <c r="E49" s="14"/>
      <c r="O49" s="188">
        <v>0.4</v>
      </c>
      <c r="P49" s="188"/>
      <c r="Q49" s="1"/>
    </row>
    <row r="50" spans="1:20">
      <c r="C50" s="14" t="s">
        <v>13</v>
      </c>
      <c r="D50" s="31">
        <v>4.2560000000000002</v>
      </c>
      <c r="E50" s="15" t="s">
        <v>4</v>
      </c>
      <c r="O50" s="186" t="s">
        <v>20</v>
      </c>
      <c r="P50" s="186"/>
      <c r="Q50" s="186"/>
    </row>
    <row r="51" spans="1:20">
      <c r="C51" s="14" t="s">
        <v>19</v>
      </c>
      <c r="D51" s="16">
        <v>0.2</v>
      </c>
      <c r="E51" s="15" t="s">
        <v>6</v>
      </c>
      <c r="O51" s="14" t="s">
        <v>13</v>
      </c>
      <c r="P51" s="18">
        <f>O49*Q43</f>
        <v>0.16000000000000003</v>
      </c>
      <c r="Q51" s="15" t="s">
        <v>4</v>
      </c>
    </row>
    <row r="52" spans="1:20">
      <c r="C52" s="14" t="s">
        <v>14</v>
      </c>
      <c r="D52" s="17">
        <f>D50*D51</f>
        <v>0.85120000000000007</v>
      </c>
      <c r="E52" s="15" t="s">
        <v>5</v>
      </c>
      <c r="O52" s="14" t="s">
        <v>0</v>
      </c>
      <c r="P52" s="16">
        <f>D25*M20</f>
        <v>9.5777999999999999</v>
      </c>
      <c r="Q52" s="15" t="s">
        <v>6</v>
      </c>
    </row>
    <row r="53" spans="1:20">
      <c r="C53" s="14" t="s">
        <v>41</v>
      </c>
      <c r="D53" s="24">
        <f>D52*2</f>
        <v>1.7024000000000001</v>
      </c>
      <c r="E53" s="15" t="s">
        <v>5</v>
      </c>
      <c r="I53" t="s">
        <v>16</v>
      </c>
      <c r="L53" s="63">
        <f>(0.2*L55)+(0.75*0.3)+(1.05*0.2)+(0.2*0.75)+(0.2*0.94)+(0.5*0.3*0.2)</f>
        <v>0.91500000000000004</v>
      </c>
      <c r="M53" s="85" t="s">
        <v>4</v>
      </c>
      <c r="O53" s="14" t="s">
        <v>14</v>
      </c>
      <c r="P53" s="25">
        <f>P51*P52</f>
        <v>1.5324480000000003</v>
      </c>
      <c r="Q53" s="15" t="s">
        <v>5</v>
      </c>
    </row>
    <row r="54" spans="1:20">
      <c r="M54" s="85"/>
      <c r="Q54" s="6"/>
    </row>
    <row r="55" spans="1:20">
      <c r="K55" t="s">
        <v>46</v>
      </c>
      <c r="L55" s="32">
        <v>0.56000000000000005</v>
      </c>
      <c r="M55" s="85" t="s">
        <v>6</v>
      </c>
      <c r="Q55" s="6"/>
    </row>
    <row r="56" spans="1:20">
      <c r="Q56" s="6"/>
    </row>
    <row r="57" spans="1:20">
      <c r="Q57" s="6"/>
    </row>
    <row r="58" spans="1:20">
      <c r="Q58" s="6"/>
    </row>
    <row r="59" spans="1:20">
      <c r="A59" s="189" t="s">
        <v>31</v>
      </c>
      <c r="B59" s="190"/>
      <c r="C59" s="10" t="s">
        <v>26</v>
      </c>
      <c r="D59" s="189" t="s">
        <v>27</v>
      </c>
      <c r="E59" s="190"/>
      <c r="F59" s="59" t="s">
        <v>62</v>
      </c>
      <c r="G59" s="87" t="s">
        <v>61</v>
      </c>
      <c r="I59" s="109" t="s">
        <v>10</v>
      </c>
      <c r="J59" s="106">
        <f>IF(D16=5,G61,IF(D16=6,G61,IF(D16=7,G61,IF(D16=8,G61,IF(D16=9,G61,IF(D16=10,G61,IF(D16=11,G62,IF(D16=12,G62,IF(D16=13,G63,IF(D16=14,G63,IF(D16=15,G64)))))))))))*K30</f>
        <v>0.95778000000000008</v>
      </c>
      <c r="K59" s="112">
        <f>D19*K30</f>
        <v>1.5963000000000001</v>
      </c>
      <c r="L59" s="107">
        <f>D19*K30</f>
        <v>1.5963000000000001</v>
      </c>
      <c r="M59" s="112">
        <f>D19*K30</f>
        <v>1.5963000000000001</v>
      </c>
      <c r="N59" s="107">
        <f>D19*K30</f>
        <v>1.5963000000000001</v>
      </c>
      <c r="O59" s="112">
        <f>D19*K30</f>
        <v>1.5963000000000001</v>
      </c>
      <c r="P59" s="107">
        <f>IF(D16=5,G61,IF(D16=6,G61,IF(D16=7,G61,IF(D16=8,G61,IF(D16=9,G61,IF(D16=10,G61,IF(D16=11,G62,IF(D16=12,G62,IF(D16=13,G63,IF(D16=14,G63,IF(D16=15,G64)))))))))))*K30</f>
        <v>0.95778000000000008</v>
      </c>
      <c r="Q59" s="90" t="s">
        <v>6</v>
      </c>
      <c r="T59" s="56"/>
    </row>
    <row r="60" spans="1:20">
      <c r="A60" s="191" t="s">
        <v>6</v>
      </c>
      <c r="B60" s="192"/>
      <c r="C60" s="11"/>
      <c r="D60" s="90" t="s">
        <v>32</v>
      </c>
      <c r="E60" s="90" t="s">
        <v>33</v>
      </c>
      <c r="F60" s="60"/>
      <c r="G60" s="9"/>
      <c r="I60" s="109" t="s">
        <v>11</v>
      </c>
      <c r="J60" s="233">
        <f>J59+(M59*D25)+P59</f>
        <v>11.493359999999999</v>
      </c>
      <c r="K60" s="233"/>
      <c r="L60" s="233"/>
      <c r="M60" s="233"/>
      <c r="N60" s="233"/>
      <c r="O60" s="233"/>
      <c r="P60" s="233"/>
      <c r="Q60" s="90" t="s">
        <v>6</v>
      </c>
    </row>
    <row r="61" spans="1:20">
      <c r="A61" s="193" t="s">
        <v>36</v>
      </c>
      <c r="B61" s="193"/>
      <c r="C61" s="90">
        <v>1.8</v>
      </c>
      <c r="D61" s="2">
        <v>1.6</v>
      </c>
      <c r="E61" s="2">
        <v>0.7</v>
      </c>
      <c r="F61" s="61">
        <v>2.2000000000000002</v>
      </c>
      <c r="G61" s="2">
        <v>0.9</v>
      </c>
      <c r="I61" s="11" t="s">
        <v>12</v>
      </c>
      <c r="J61" s="234">
        <f>10.8*K30</f>
        <v>11.493360000000001</v>
      </c>
      <c r="K61" s="234"/>
      <c r="L61" s="234"/>
      <c r="M61" s="234"/>
      <c r="N61" s="234"/>
      <c r="O61" s="234"/>
      <c r="P61" s="234"/>
      <c r="Q61" s="110" t="s">
        <v>6</v>
      </c>
    </row>
    <row r="62" spans="1:20">
      <c r="A62" s="193" t="s">
        <v>37</v>
      </c>
      <c r="B62" s="193"/>
      <c r="C62" s="90">
        <v>1.5</v>
      </c>
      <c r="D62" s="2">
        <v>1.6</v>
      </c>
      <c r="E62" s="2">
        <v>0.7</v>
      </c>
      <c r="F62" s="61">
        <v>2.4</v>
      </c>
      <c r="G62" s="2">
        <v>0.9</v>
      </c>
      <c r="Q62" s="6"/>
    </row>
    <row r="63" spans="1:20">
      <c r="A63" s="193" t="s">
        <v>38</v>
      </c>
      <c r="B63" s="193"/>
      <c r="C63" s="90">
        <v>1.3</v>
      </c>
      <c r="D63" s="2">
        <v>1.55</v>
      </c>
      <c r="E63" s="2">
        <v>0.65</v>
      </c>
      <c r="F63" s="61">
        <v>2.6</v>
      </c>
      <c r="G63" s="2">
        <v>0.85</v>
      </c>
      <c r="O63" s="186" t="s">
        <v>63</v>
      </c>
      <c r="P63" s="186"/>
      <c r="Q63" s="186"/>
    </row>
    <row r="64" spans="1:20">
      <c r="A64" s="193">
        <v>15</v>
      </c>
      <c r="B64" s="193"/>
      <c r="C64" s="90">
        <v>1.125</v>
      </c>
      <c r="D64" s="2">
        <v>1.6</v>
      </c>
      <c r="E64" s="2">
        <v>0.7</v>
      </c>
      <c r="F64" s="61">
        <v>2.7</v>
      </c>
      <c r="G64" s="2">
        <v>0.9</v>
      </c>
      <c r="O64" s="14" t="s">
        <v>13</v>
      </c>
      <c r="P64" s="18">
        <f>(0.3*0.4)+(0.5*((L83/2)-0.2)*0.2)+(0.5*((L83/2)-0.2)*0.2)+(L83*0.5)+(0.4*0.2)</f>
        <v>1.6</v>
      </c>
      <c r="Q64" s="15" t="s">
        <v>4</v>
      </c>
    </row>
    <row r="65" spans="15:17">
      <c r="O65" s="14" t="s">
        <v>0</v>
      </c>
      <c r="P65" s="16">
        <f>J60</f>
        <v>11.493359999999999</v>
      </c>
      <c r="Q65" s="15" t="s">
        <v>6</v>
      </c>
    </row>
    <row r="66" spans="15:17">
      <c r="O66" s="14" t="s">
        <v>14</v>
      </c>
      <c r="P66" s="25">
        <f>P64*P65</f>
        <v>18.389375999999999</v>
      </c>
      <c r="Q66" s="15" t="s">
        <v>5</v>
      </c>
    </row>
    <row r="67" spans="15:17">
      <c r="Q67" s="6"/>
    </row>
    <row r="68" spans="15:17">
      <c r="Q68" s="6"/>
    </row>
    <row r="69" spans="15:17">
      <c r="Q69" s="6"/>
    </row>
    <row r="70" spans="15:17">
      <c r="Q70" s="6"/>
    </row>
    <row r="71" spans="15:17">
      <c r="O71" s="186" t="s">
        <v>66</v>
      </c>
      <c r="P71" s="186"/>
      <c r="Q71" s="186"/>
    </row>
    <row r="72" spans="15:17">
      <c r="O72" s="14" t="s">
        <v>13</v>
      </c>
      <c r="P72" s="18">
        <f>0.4*0.4</f>
        <v>0.16000000000000003</v>
      </c>
      <c r="Q72" s="15" t="s">
        <v>4</v>
      </c>
    </row>
    <row r="73" spans="15:17">
      <c r="O73" s="14" t="s">
        <v>67</v>
      </c>
      <c r="P73" s="16">
        <v>1.5</v>
      </c>
      <c r="Q73" s="15" t="s">
        <v>6</v>
      </c>
    </row>
    <row r="74" spans="15:17">
      <c r="O74" s="14" t="s">
        <v>2</v>
      </c>
      <c r="P74" s="58">
        <f>D24</f>
        <v>7</v>
      </c>
      <c r="Q74" s="15" t="s">
        <v>3</v>
      </c>
    </row>
    <row r="75" spans="15:17">
      <c r="O75" s="14" t="s">
        <v>14</v>
      </c>
      <c r="P75" s="25">
        <f>P73*P74</f>
        <v>10.5</v>
      </c>
      <c r="Q75" s="15" t="s">
        <v>5</v>
      </c>
    </row>
    <row r="76" spans="15:17">
      <c r="Q76" s="6"/>
    </row>
    <row r="77" spans="15:17">
      <c r="Q77" s="6"/>
    </row>
    <row r="78" spans="15:17">
      <c r="O78" s="186" t="s">
        <v>103</v>
      </c>
      <c r="P78" s="186"/>
      <c r="Q78" s="186"/>
    </row>
    <row r="79" spans="15:17">
      <c r="O79" s="14" t="s">
        <v>13</v>
      </c>
      <c r="P79" s="18">
        <f>0.05*L83</f>
        <v>0.12</v>
      </c>
      <c r="Q79" s="15" t="s">
        <v>4</v>
      </c>
    </row>
    <row r="80" spans="15:17">
      <c r="O80" s="14" t="s">
        <v>0</v>
      </c>
      <c r="P80" s="16">
        <f>P65</f>
        <v>11.493359999999999</v>
      </c>
      <c r="Q80" s="15" t="s">
        <v>6</v>
      </c>
    </row>
    <row r="81" spans="1:17">
      <c r="O81" s="14" t="s">
        <v>14</v>
      </c>
      <c r="P81" s="25">
        <f>P79*P80</f>
        <v>1.3792031999999999</v>
      </c>
      <c r="Q81" s="15" t="s">
        <v>5</v>
      </c>
    </row>
    <row r="83" spans="1:17">
      <c r="K83" s="46" t="s">
        <v>64</v>
      </c>
      <c r="L83" s="62">
        <f>IF(D16=5,F61,IF(D16=6,F61,IF(D16=7,F61,IF(D16=8,F61,IF(D16=9,F61,IF(D16=10,F61,IF(D16=11,F62,IF(D16=12,F62,IF(D16=13,F63,IF(D16=14,F63,IF(D16=15,F64)))))))))))</f>
        <v>2.4</v>
      </c>
      <c r="M83" s="46" t="s">
        <v>6</v>
      </c>
    </row>
    <row r="85" spans="1:17">
      <c r="A85" s="41" t="s">
        <v>70</v>
      </c>
    </row>
    <row r="101" spans="12:18">
      <c r="L101" s="186" t="s">
        <v>15</v>
      </c>
      <c r="M101" s="186"/>
      <c r="N101" s="186"/>
    </row>
    <row r="102" spans="12:18">
      <c r="L102" s="14"/>
      <c r="M102" s="14"/>
      <c r="N102" s="14"/>
    </row>
    <row r="103" spans="12:18">
      <c r="L103" s="27" t="s">
        <v>46</v>
      </c>
      <c r="M103" s="132">
        <v>0</v>
      </c>
      <c r="N103" s="27" t="s">
        <v>6</v>
      </c>
    </row>
    <row r="104" spans="12:18">
      <c r="L104" s="14"/>
      <c r="M104" s="14"/>
      <c r="N104" s="14"/>
      <c r="R104" s="85" t="s">
        <v>22</v>
      </c>
    </row>
    <row r="105" spans="12:18">
      <c r="L105" s="14" t="s">
        <v>13</v>
      </c>
      <c r="M105" s="42">
        <f>(0.7*0.6)+(0.3*M103)</f>
        <v>0.42</v>
      </c>
      <c r="N105" s="15" t="s">
        <v>4</v>
      </c>
      <c r="R105" s="86">
        <v>0.4</v>
      </c>
    </row>
    <row r="106" spans="12:18">
      <c r="L106" s="14" t="s">
        <v>0</v>
      </c>
      <c r="M106" s="16">
        <f>J21</f>
        <v>12.983239999999999</v>
      </c>
      <c r="N106" s="15" t="s">
        <v>6</v>
      </c>
    </row>
    <row r="107" spans="12:18">
      <c r="L107" s="14" t="s">
        <v>14</v>
      </c>
      <c r="M107" s="25">
        <f>M105*M106</f>
        <v>5.4529607999999996</v>
      </c>
      <c r="N107" s="15" t="s">
        <v>5</v>
      </c>
    </row>
    <row r="109" spans="12:18">
      <c r="L109" s="211" t="s">
        <v>49</v>
      </c>
      <c r="M109" s="212"/>
      <c r="N109" s="213"/>
    </row>
    <row r="110" spans="12:18">
      <c r="L110" s="214" t="s">
        <v>50</v>
      </c>
      <c r="M110" s="215"/>
      <c r="N110" s="216"/>
    </row>
    <row r="111" spans="12:18">
      <c r="L111" s="13"/>
      <c r="M111" s="13"/>
      <c r="N111" s="13"/>
    </row>
    <row r="114" spans="2:18" ht="15" thickBot="1">
      <c r="P114" s="187" t="s">
        <v>21</v>
      </c>
      <c r="Q114" s="187"/>
      <c r="R114" s="6"/>
    </row>
    <row r="115" spans="2:18">
      <c r="I115" s="200" t="s">
        <v>47</v>
      </c>
      <c r="J115" s="201"/>
      <c r="K115" s="201"/>
      <c r="L115" s="204">
        <f>M107+Q119+P66+P75</f>
        <v>36.419655199999994</v>
      </c>
      <c r="M115" s="205"/>
      <c r="N115" s="205" t="s">
        <v>5</v>
      </c>
      <c r="P115" s="188">
        <v>0.4</v>
      </c>
      <c r="Q115" s="188"/>
      <c r="R115" s="1"/>
    </row>
    <row r="116" spans="2:18" ht="14.25" customHeight="1" thickBot="1">
      <c r="I116" s="202"/>
      <c r="J116" s="203"/>
      <c r="K116" s="203"/>
      <c r="L116" s="206"/>
      <c r="M116" s="207"/>
      <c r="N116" s="207"/>
      <c r="P116" s="186" t="s">
        <v>20</v>
      </c>
      <c r="Q116" s="186"/>
      <c r="R116" s="186"/>
    </row>
    <row r="117" spans="2:18" ht="14.25" customHeight="1">
      <c r="I117" s="200" t="s">
        <v>68</v>
      </c>
      <c r="J117" s="201"/>
      <c r="K117" s="201"/>
      <c r="L117" s="208">
        <f>D24</f>
        <v>7</v>
      </c>
      <c r="M117" s="205"/>
      <c r="N117" s="209" t="s">
        <v>3</v>
      </c>
      <c r="P117" s="14" t="s">
        <v>13</v>
      </c>
      <c r="Q117" s="18">
        <f>P115*R105</f>
        <v>0.16000000000000003</v>
      </c>
      <c r="R117" s="15" t="s">
        <v>4</v>
      </c>
    </row>
    <row r="118" spans="2:18" ht="15" customHeight="1" thickBot="1">
      <c r="I118" s="202"/>
      <c r="J118" s="203"/>
      <c r="K118" s="203"/>
      <c r="L118" s="206"/>
      <c r="M118" s="207"/>
      <c r="N118" s="210"/>
      <c r="P118" s="14" t="s">
        <v>0</v>
      </c>
      <c r="Q118" s="16">
        <f>J21</f>
        <v>12.983239999999999</v>
      </c>
      <c r="R118" s="15" t="s">
        <v>6</v>
      </c>
    </row>
    <row r="119" spans="2:18">
      <c r="I119" s="13"/>
      <c r="J119" s="43"/>
      <c r="K119" s="20"/>
      <c r="P119" s="14" t="s">
        <v>14</v>
      </c>
      <c r="Q119" s="25">
        <f>Q117*Q118</f>
        <v>2.0773184000000002</v>
      </c>
      <c r="R119" s="15" t="s">
        <v>5</v>
      </c>
    </row>
    <row r="125" spans="2:18">
      <c r="B125" t="str">
        <f>ข้อมูลสะพาน!A1</f>
        <v xml:space="preserve">โครงการเขื่อนทดน้ำผาจุก สะพานรถยนต์ </v>
      </c>
    </row>
    <row r="126" spans="2:18">
      <c r="B126" s="6" t="str">
        <f>ข้อมูลสะพาน!A2</f>
        <v xml:space="preserve">กม.  48+  </v>
      </c>
      <c r="C126" s="44">
        <f>ข้อมูลสะพาน!B2</f>
        <v>226.55</v>
      </c>
    </row>
    <row r="127" spans="2:18">
      <c r="B127" t="str">
        <f>ข้อมูลสะพาน!A3</f>
        <v>คลองส่งน้ำสายใหญ่ฝั่งซ้าย (LMC)</v>
      </c>
    </row>
    <row r="128" spans="2:18" ht="15" thickBot="1">
      <c r="B128" t="s">
        <v>131</v>
      </c>
      <c r="D128" s="138">
        <f>ข้อมูลสะพาน!E7*ข้อมูลสะพาน!E11</f>
        <v>36</v>
      </c>
      <c r="E128" s="138" t="s">
        <v>6</v>
      </c>
      <c r="N128" s="85" t="s">
        <v>69</v>
      </c>
      <c r="P128" s="85" t="s">
        <v>58</v>
      </c>
    </row>
    <row r="129" spans="1:18" ht="15" thickBot="1">
      <c r="B129" s="35" t="s">
        <v>53</v>
      </c>
      <c r="C129" s="53">
        <f>ข้อมูลสะพาน!E9</f>
        <v>2</v>
      </c>
      <c r="D129" s="91" t="s">
        <v>56</v>
      </c>
      <c r="E129" s="225" t="s">
        <v>55</v>
      </c>
      <c r="F129" s="226"/>
      <c r="G129" s="217">
        <f>C129*D27</f>
        <v>88.007777199999992</v>
      </c>
      <c r="H129" s="218"/>
      <c r="I129" s="219"/>
      <c r="J129" s="49" t="s">
        <v>5</v>
      </c>
      <c r="K129" s="49" t="s">
        <v>65</v>
      </c>
      <c r="L129" s="36">
        <f>C129*D24</f>
        <v>14</v>
      </c>
      <c r="M129" s="49" t="s">
        <v>3</v>
      </c>
      <c r="N129" s="145">
        <f>ข้อมูลสะพาน!H9</f>
        <v>7</v>
      </c>
      <c r="O129" s="53" t="s">
        <v>6</v>
      </c>
      <c r="P129" s="52">
        <f>(0.4*0.4*N129)*L129</f>
        <v>15.680000000000001</v>
      </c>
      <c r="Q129" s="49" t="s">
        <v>5</v>
      </c>
    </row>
    <row r="130" spans="1:18" ht="15" thickBot="1">
      <c r="B130" s="35" t="s">
        <v>54</v>
      </c>
      <c r="C130" s="53">
        <f>ข้อมูลสะพาน!E10</f>
        <v>2</v>
      </c>
      <c r="D130" s="91" t="s">
        <v>56</v>
      </c>
      <c r="E130" s="225" t="s">
        <v>55</v>
      </c>
      <c r="F130" s="226"/>
      <c r="G130" s="217">
        <f>C130*L115</f>
        <v>72.839310399999988</v>
      </c>
      <c r="H130" s="218"/>
      <c r="I130" s="219"/>
      <c r="J130" s="49" t="s">
        <v>5</v>
      </c>
      <c r="K130" s="49" t="s">
        <v>65</v>
      </c>
      <c r="L130" s="36">
        <f>C130*L117</f>
        <v>14</v>
      </c>
      <c r="M130" s="49" t="s">
        <v>3</v>
      </c>
      <c r="N130" s="145">
        <f>ข้อมูลสะพาน!H10</f>
        <v>7</v>
      </c>
      <c r="O130" s="53" t="s">
        <v>6</v>
      </c>
      <c r="P130" s="52">
        <f>(0.4*0.4*N130)*L130</f>
        <v>15.680000000000001</v>
      </c>
      <c r="Q130" s="49" t="s">
        <v>5</v>
      </c>
    </row>
    <row r="131" spans="1:18" ht="15" thickBot="1">
      <c r="B131" s="35" t="s">
        <v>91</v>
      </c>
      <c r="C131" s="53">
        <f>ข้อมูลสะพาน!E11</f>
        <v>3</v>
      </c>
      <c r="D131" s="91" t="s">
        <v>92</v>
      </c>
      <c r="E131" s="225" t="s">
        <v>55</v>
      </c>
      <c r="F131" s="226"/>
      <c r="G131" s="217">
        <f>C131*P177</f>
        <v>112.20759979780225</v>
      </c>
      <c r="H131" s="218"/>
      <c r="I131" s="219"/>
      <c r="J131" s="49" t="s">
        <v>5</v>
      </c>
      <c r="K131" s="49"/>
      <c r="L131" s="36"/>
      <c r="M131" s="49"/>
      <c r="N131" s="76"/>
      <c r="O131" s="53"/>
      <c r="P131" s="52"/>
      <c r="Q131" s="49"/>
    </row>
    <row r="132" spans="1:18" ht="15" thickBot="1">
      <c r="B132" s="47" t="s">
        <v>57</v>
      </c>
      <c r="C132" s="48"/>
      <c r="D132" s="48"/>
      <c r="E132" s="227"/>
      <c r="F132" s="228"/>
      <c r="G132" s="222">
        <f>SUM(G129:I131)</f>
        <v>273.05468739780224</v>
      </c>
      <c r="H132" s="223"/>
      <c r="I132" s="224"/>
      <c r="J132" s="50" t="s">
        <v>5</v>
      </c>
      <c r="K132" s="50" t="s">
        <v>65</v>
      </c>
      <c r="L132" s="48">
        <f>SUM(L129:L130)</f>
        <v>28</v>
      </c>
      <c r="M132" s="50" t="s">
        <v>3</v>
      </c>
      <c r="N132" s="54"/>
      <c r="O132" s="51"/>
      <c r="P132" s="55">
        <f>SUM(P129:P131)</f>
        <v>31.360000000000003</v>
      </c>
      <c r="Q132" s="50" t="s">
        <v>5</v>
      </c>
      <c r="R132" s="45"/>
    </row>
    <row r="133" spans="1:18" ht="15" thickBot="1">
      <c r="P133" s="45">
        <f>G132+P132</f>
        <v>304.41468739780225</v>
      </c>
    </row>
    <row r="134" spans="1:18" ht="15" thickBot="1">
      <c r="B134" s="47" t="s">
        <v>101</v>
      </c>
      <c r="C134" s="100"/>
      <c r="D134" s="101">
        <f>G132*ข้อมูลสะพาน!E13</f>
        <v>24574.9218658022</v>
      </c>
      <c r="E134" s="95" t="s">
        <v>102</v>
      </c>
      <c r="I134" s="13"/>
      <c r="J134" s="13"/>
      <c r="K134" s="97"/>
      <c r="P134" s="57"/>
    </row>
    <row r="135" spans="1:18" ht="15" thickBot="1">
      <c r="B135" s="54" t="s">
        <v>104</v>
      </c>
      <c r="C135" s="98"/>
      <c r="D135" s="102">
        <f>(C129+C130)*P81</f>
        <v>5.5168127999999994</v>
      </c>
      <c r="E135" s="99" t="s">
        <v>5</v>
      </c>
      <c r="I135" s="22"/>
      <c r="J135" s="13"/>
      <c r="K135" s="97"/>
      <c r="P135" s="57"/>
    </row>
    <row r="136" spans="1:18" ht="15" thickBot="1">
      <c r="B136" s="54" t="s">
        <v>124</v>
      </c>
      <c r="C136" s="98"/>
      <c r="D136" s="102">
        <f>P181</f>
        <v>78</v>
      </c>
      <c r="E136" s="99" t="str">
        <f>R181</f>
        <v>ม.</v>
      </c>
      <c r="I136" s="13"/>
      <c r="J136" s="13"/>
      <c r="K136" s="97"/>
      <c r="P136" s="57"/>
    </row>
    <row r="137" spans="1:18" ht="15" thickBot="1">
      <c r="B137" s="54" t="s">
        <v>129</v>
      </c>
      <c r="C137" s="98"/>
      <c r="D137" s="148">
        <f>P183</f>
        <v>6</v>
      </c>
      <c r="E137" s="149" t="str">
        <f>R183</f>
        <v>ท่อน</v>
      </c>
      <c r="F137" s="134" t="s">
        <v>130</v>
      </c>
      <c r="G137" s="156">
        <f>N183</f>
        <v>11.98</v>
      </c>
      <c r="H137" s="48"/>
      <c r="I137" s="135" t="str">
        <f>O183</f>
        <v>ม.</v>
      </c>
      <c r="P137" s="45"/>
    </row>
    <row r="138" spans="1:18" ht="15" thickBot="1">
      <c r="B138" s="54" t="s">
        <v>128</v>
      </c>
      <c r="C138" s="98"/>
      <c r="D138" s="148">
        <f>P184</f>
        <v>24</v>
      </c>
      <c r="E138" s="149" t="str">
        <f>R184</f>
        <v>ท่อน</v>
      </c>
      <c r="F138" s="154" t="s">
        <v>130</v>
      </c>
      <c r="G138" s="155">
        <f>N184</f>
        <v>11.98</v>
      </c>
      <c r="H138" s="98"/>
      <c r="I138" s="99" t="str">
        <f>O184</f>
        <v>ม.</v>
      </c>
    </row>
    <row r="142" spans="1:18">
      <c r="A142" s="41" t="s">
        <v>73</v>
      </c>
      <c r="M142" t="s">
        <v>85</v>
      </c>
    </row>
    <row r="143" spans="1:18" ht="15" thickBot="1"/>
    <row r="144" spans="1:18" ht="15" thickBot="1">
      <c r="B144" s="240" t="s">
        <v>74</v>
      </c>
      <c r="C144" s="237"/>
      <c r="D144" s="237"/>
      <c r="E144" s="237"/>
      <c r="F144" s="237"/>
      <c r="G144" s="238"/>
      <c r="N144" s="114" t="s">
        <v>81</v>
      </c>
      <c r="O144" s="90" t="s">
        <v>82</v>
      </c>
      <c r="P144" s="90" t="s">
        <v>83</v>
      </c>
      <c r="Q144" s="108" t="s">
        <v>84</v>
      </c>
    </row>
    <row r="145" spans="2:17">
      <c r="B145" s="240" t="s">
        <v>75</v>
      </c>
      <c r="C145" s="238"/>
      <c r="D145" s="237" t="s">
        <v>79</v>
      </c>
      <c r="E145" s="237"/>
      <c r="F145" s="237"/>
      <c r="G145" s="238"/>
      <c r="N145" s="118">
        <f>IF(D16=5,D148,IF(D16=6,D149,IF(D16=7,D150,IF(D16=8,D151,IF(D16=9,D152,IF(D16=10,D153,IF(D16=11,D154,IF(D16=12,D155,IF(D16=13,1,IF(D16=14,1,IF(D16=15,1)))))))))))</f>
        <v>0.45</v>
      </c>
      <c r="O145" s="120">
        <f>IF(D16=5,E148,IF(D16=6,E149,IF(D16=7,E150,IF(D16=8,E151,IF(D16=9,E152,IF(D16=10,E153,IF(D16=11,E154,IF(D16=12,E155,IF(D16=13,1,IF(D16=14,1,IF(D16=15,1)))))))))))</f>
        <v>0.315</v>
      </c>
      <c r="P145" s="120">
        <f>IF(D16=5,F148,IF(D16=6,F149,IF(D16=7,F150,IF(D16=8,F151,IF(D16=9,F152,IF(D16=10,F153,IF(D16=11,F154,IF(D16=12,F155,IF(D16=13,1,IF(D16=14,1,IF(D16=15,1)))))))))))</f>
        <v>5.5E-2</v>
      </c>
      <c r="Q145" s="119">
        <f>IF(D16=5,G148,IF(D16=6,G149,IF(D16=7,G150,IF(D16=8,G151,IF(D16=9,G152,IF(D16=10,G153,IF(D16=11,G154,IF(D16=12,G155,IF(D16=13,1,IF(D16=14,1,IF(D16=15,1)))))))))))</f>
        <v>0.08</v>
      </c>
    </row>
    <row r="146" spans="2:17" ht="15" thickBot="1">
      <c r="B146" s="235" t="s">
        <v>76</v>
      </c>
      <c r="C146" s="236"/>
      <c r="D146" s="239" t="s">
        <v>80</v>
      </c>
      <c r="E146" s="239"/>
      <c r="F146" s="239"/>
      <c r="G146" s="236"/>
    </row>
    <row r="147" spans="2:17">
      <c r="B147" s="65" t="s">
        <v>77</v>
      </c>
      <c r="C147" s="66" t="s">
        <v>78</v>
      </c>
      <c r="D147" s="66" t="s">
        <v>81</v>
      </c>
      <c r="E147" s="66" t="s">
        <v>82</v>
      </c>
      <c r="F147" s="66" t="s">
        <v>83</v>
      </c>
      <c r="G147" s="67" t="s">
        <v>84</v>
      </c>
      <c r="N147" s="186" t="s">
        <v>86</v>
      </c>
      <c r="O147" s="186"/>
      <c r="P147" s="186"/>
    </row>
    <row r="148" spans="2:17">
      <c r="B148" s="68">
        <v>5</v>
      </c>
      <c r="C148" s="2">
        <v>4.9800000000000004</v>
      </c>
      <c r="D148" s="2">
        <v>0.16</v>
      </c>
      <c r="E148" s="64">
        <v>7.0000000000000007E-2</v>
      </c>
      <c r="F148" s="64">
        <v>0.04</v>
      </c>
      <c r="G148" s="69">
        <v>0.05</v>
      </c>
      <c r="N148" s="14" t="s">
        <v>13</v>
      </c>
      <c r="O148" s="16">
        <f>((0.035*O145)+(0.5*0.02*O145)+(0.5*0.055*P145))*2</f>
        <v>3.1375E-2</v>
      </c>
      <c r="P148" s="15" t="s">
        <v>4</v>
      </c>
    </row>
    <row r="149" spans="2:17">
      <c r="B149" s="68">
        <v>6</v>
      </c>
      <c r="C149" s="2">
        <v>5.98</v>
      </c>
      <c r="D149" s="2">
        <v>0.19</v>
      </c>
      <c r="E149" s="64">
        <v>0.1</v>
      </c>
      <c r="F149" s="64">
        <v>0.04</v>
      </c>
      <c r="G149" s="69">
        <v>0.05</v>
      </c>
      <c r="N149" s="14" t="s">
        <v>0</v>
      </c>
      <c r="O149" s="16">
        <f>IF(D16=5,C148,IF(D16=6,C149,IF(D16=7,C150,IF(D16=8,C151,IF(D16=9,C152,IF(D16=10,C153,IF(D16=11,C154,IF(D16=12,C155,IF(D16=13,1,IF(D16=14,1,IF(D16=15,1)))))))))))</f>
        <v>11.98</v>
      </c>
      <c r="P149" s="15" t="s">
        <v>6</v>
      </c>
    </row>
    <row r="150" spans="2:17">
      <c r="B150" s="68">
        <v>7</v>
      </c>
      <c r="C150" s="2">
        <v>6.98</v>
      </c>
      <c r="D150" s="2">
        <v>0.22</v>
      </c>
      <c r="E150" s="64">
        <v>0.155</v>
      </c>
      <c r="F150" s="64">
        <v>4.4999999999999998E-2</v>
      </c>
      <c r="G150" s="69">
        <v>0.06</v>
      </c>
      <c r="N150" s="14" t="s">
        <v>2</v>
      </c>
      <c r="O150" s="58">
        <f>ข้อมูลสะพาน!E6-1</f>
        <v>8</v>
      </c>
      <c r="P150" s="15" t="s">
        <v>40</v>
      </c>
    </row>
    <row r="151" spans="2:17">
      <c r="B151" s="68">
        <v>8</v>
      </c>
      <c r="C151" s="2">
        <v>7.98</v>
      </c>
      <c r="D151" s="2">
        <v>0.25</v>
      </c>
      <c r="E151" s="64">
        <v>0.13500000000000001</v>
      </c>
      <c r="F151" s="64">
        <v>5.5E-2</v>
      </c>
      <c r="G151" s="69">
        <v>0.06</v>
      </c>
      <c r="N151" s="14" t="s">
        <v>14</v>
      </c>
      <c r="O151" s="25">
        <f>O148*O149*O150</f>
        <v>3.00698</v>
      </c>
      <c r="P151" s="15" t="s">
        <v>5</v>
      </c>
    </row>
    <row r="152" spans="2:17">
      <c r="B152" s="68">
        <v>9</v>
      </c>
      <c r="C152" s="2">
        <v>8.98</v>
      </c>
      <c r="D152" s="2">
        <v>0.31</v>
      </c>
      <c r="E152" s="64">
        <v>0.17499999999999999</v>
      </c>
      <c r="F152" s="64">
        <v>5.5E-2</v>
      </c>
      <c r="G152" s="69">
        <v>0.08</v>
      </c>
    </row>
    <row r="153" spans="2:17">
      <c r="B153" s="68">
        <v>10</v>
      </c>
      <c r="C153" s="2">
        <v>9.98</v>
      </c>
      <c r="D153" s="2">
        <v>0.35</v>
      </c>
      <c r="E153" s="64">
        <v>0.215</v>
      </c>
      <c r="F153" s="64">
        <v>5.5E-2</v>
      </c>
      <c r="G153" s="69">
        <v>0.08</v>
      </c>
    </row>
    <row r="154" spans="2:17">
      <c r="B154" s="68">
        <v>11</v>
      </c>
      <c r="C154" s="2">
        <v>10.98</v>
      </c>
      <c r="D154" s="2">
        <v>0.42</v>
      </c>
      <c r="E154" s="64">
        <v>0.25800000000000001</v>
      </c>
      <c r="F154" s="64">
        <v>5.5E-2</v>
      </c>
      <c r="G154" s="69">
        <v>0.08</v>
      </c>
    </row>
    <row r="155" spans="2:17" ht="15" thickBot="1">
      <c r="B155" s="70">
        <v>12</v>
      </c>
      <c r="C155" s="71">
        <v>11.98</v>
      </c>
      <c r="D155" s="71">
        <v>0.45</v>
      </c>
      <c r="E155" s="72">
        <v>0.315</v>
      </c>
      <c r="F155" s="72">
        <v>5.5E-2</v>
      </c>
      <c r="G155" s="73">
        <v>0.08</v>
      </c>
      <c r="N155" s="186" t="s">
        <v>88</v>
      </c>
      <c r="O155" s="186"/>
      <c r="P155" s="186"/>
    </row>
    <row r="156" spans="2:17">
      <c r="B156" s="85"/>
      <c r="N156" s="14" t="s">
        <v>13</v>
      </c>
      <c r="O156" s="75">
        <f>((0.5*C158*(C159-0.1))+(0.1*C158))*2</f>
        <v>1.8956412408959999</v>
      </c>
      <c r="P156" s="15" t="s">
        <v>4</v>
      </c>
    </row>
    <row r="157" spans="2:17">
      <c r="N157" s="14" t="s">
        <v>0</v>
      </c>
      <c r="O157" s="16">
        <f>IF(D16=5,C148,IF(D16=6,C149,IF(D16=7,C150,IF(D16=8,C151,IF(D16=9,C152,IF(D16=10,C153,IF(D16=11,C154,IF(D16=12,C155,IF(D16=13,1,IF(D16=14,1,IF(D16=15,1)))))))))))</f>
        <v>11.98</v>
      </c>
      <c r="P157" s="15" t="s">
        <v>6</v>
      </c>
    </row>
    <row r="158" spans="2:17">
      <c r="B158" s="90" t="s">
        <v>87</v>
      </c>
      <c r="C158" s="115">
        <f>J60/2</f>
        <v>5.7466799999999996</v>
      </c>
      <c r="D158" s="90" t="s">
        <v>6</v>
      </c>
      <c r="N158" s="14" t="s">
        <v>14</v>
      </c>
      <c r="O158" s="25">
        <f>O156*O157</f>
        <v>22.709782065934082</v>
      </c>
      <c r="P158" s="15" t="s">
        <v>5</v>
      </c>
    </row>
    <row r="159" spans="2:17">
      <c r="B159" s="110" t="s">
        <v>46</v>
      </c>
      <c r="C159" s="113">
        <f>((1*C158)/2.5)/10</f>
        <v>0.22986719999999999</v>
      </c>
      <c r="D159" s="110" t="s">
        <v>6</v>
      </c>
    </row>
    <row r="168" spans="4:12" ht="15.75">
      <c r="D168" s="74"/>
    </row>
    <row r="170" spans="4:12">
      <c r="J170" s="186" t="s">
        <v>89</v>
      </c>
      <c r="K170" s="186"/>
      <c r="L170" s="186"/>
    </row>
    <row r="171" spans="4:12">
      <c r="J171" s="14" t="s">
        <v>13</v>
      </c>
      <c r="K171" s="16">
        <v>0.30280000000000001</v>
      </c>
      <c r="L171" s="15" t="s">
        <v>4</v>
      </c>
    </row>
    <row r="172" spans="4:12">
      <c r="J172" s="14" t="s">
        <v>0</v>
      </c>
      <c r="K172" s="16">
        <f>IF(D16=5,C148,IF(D16=6,C149,IF(D16=7,C150,IF(D16=8,C151,IF(D16=9,C152,IF(D16=10,C153,IF(D16=11,C154,IF(D16=12,C155,IF(D16=13,1,IF(D16=14,1,IF(D16=15,1)))))))))))</f>
        <v>11.98</v>
      </c>
      <c r="L172" s="15" t="s">
        <v>6</v>
      </c>
    </row>
    <row r="173" spans="4:12">
      <c r="J173" s="14" t="s">
        <v>2</v>
      </c>
      <c r="K173" s="58">
        <v>2</v>
      </c>
      <c r="L173" s="15" t="s">
        <v>90</v>
      </c>
    </row>
    <row r="174" spans="4:12">
      <c r="J174" s="14" t="s">
        <v>14</v>
      </c>
      <c r="K174" s="25">
        <f>K171*K172*K173</f>
        <v>7.2550880000000006</v>
      </c>
      <c r="L174" s="15" t="s">
        <v>5</v>
      </c>
    </row>
    <row r="176" spans="4:12" ht="15" thickBot="1"/>
    <row r="177" spans="5:18">
      <c r="J177" s="243" t="s">
        <v>94</v>
      </c>
      <c r="K177" s="244"/>
      <c r="L177" s="247">
        <f>K172</f>
        <v>11.98</v>
      </c>
      <c r="M177" s="244" t="s">
        <v>6</v>
      </c>
      <c r="N177" s="249" t="s">
        <v>93</v>
      </c>
      <c r="O177" s="250"/>
      <c r="P177" s="253">
        <f>O151+O158+K174+F193+F200+F207</f>
        <v>37.402533265934082</v>
      </c>
      <c r="Q177" s="254"/>
      <c r="R177" s="241" t="s">
        <v>5</v>
      </c>
    </row>
    <row r="178" spans="5:18" ht="15" thickBot="1">
      <c r="J178" s="245"/>
      <c r="K178" s="246"/>
      <c r="L178" s="248"/>
      <c r="M178" s="246"/>
      <c r="N178" s="251"/>
      <c r="O178" s="252"/>
      <c r="P178" s="255"/>
      <c r="Q178" s="256"/>
      <c r="R178" s="242"/>
    </row>
    <row r="180" spans="5:18">
      <c r="J180" s="220" t="s">
        <v>121</v>
      </c>
      <c r="K180" s="221"/>
      <c r="L180" s="221"/>
      <c r="M180" s="221"/>
      <c r="N180" s="221"/>
      <c r="O180" s="221"/>
      <c r="P180" s="257">
        <f>ROUND(M106*2,0)</f>
        <v>26</v>
      </c>
      <c r="Q180" s="230"/>
      <c r="R180" s="139" t="s">
        <v>122</v>
      </c>
    </row>
    <row r="181" spans="5:18">
      <c r="J181" s="140" t="s">
        <v>123</v>
      </c>
      <c r="K181" s="141"/>
      <c r="L181" s="141"/>
      <c r="M181" s="142">
        <f>ข้อมูลสะพาน!E11</f>
        <v>3</v>
      </c>
      <c r="N181" s="142" t="s">
        <v>92</v>
      </c>
      <c r="O181" s="143"/>
      <c r="P181" s="231">
        <f>P180*M181</f>
        <v>78</v>
      </c>
      <c r="Q181" s="232"/>
      <c r="R181" s="144" t="s">
        <v>6</v>
      </c>
    </row>
    <row r="183" spans="5:18">
      <c r="J183" s="140" t="s">
        <v>125</v>
      </c>
      <c r="K183" s="141"/>
      <c r="L183" s="141"/>
      <c r="M183" s="141"/>
      <c r="N183" s="147">
        <f>O149</f>
        <v>11.98</v>
      </c>
      <c r="O183" s="144" t="s">
        <v>6</v>
      </c>
      <c r="P183" s="231">
        <f>2*M181</f>
        <v>6</v>
      </c>
      <c r="Q183" s="232"/>
      <c r="R183" s="144" t="s">
        <v>126</v>
      </c>
    </row>
    <row r="184" spans="5:18">
      <c r="J184" s="140" t="s">
        <v>127</v>
      </c>
      <c r="K184" s="141"/>
      <c r="L184" s="141"/>
      <c r="M184" s="141"/>
      <c r="N184" s="147">
        <f>N183</f>
        <v>11.98</v>
      </c>
      <c r="O184" s="144" t="s">
        <v>6</v>
      </c>
      <c r="P184" s="231">
        <f>(ข้อมูลสะพาน!E6-1)*M181</f>
        <v>24</v>
      </c>
      <c r="Q184" s="232"/>
      <c r="R184" s="144" t="s">
        <v>126</v>
      </c>
    </row>
    <row r="188" spans="5:18">
      <c r="K188" s="82"/>
      <c r="L188" s="82"/>
      <c r="M188" s="82"/>
    </row>
    <row r="189" spans="5:18">
      <c r="E189" s="175" t="s">
        <v>95</v>
      </c>
      <c r="F189" s="175"/>
      <c r="G189" s="175"/>
      <c r="K189" s="77"/>
      <c r="L189" s="78"/>
      <c r="M189" s="79"/>
    </row>
    <row r="190" spans="5:18">
      <c r="E190" s="14" t="s">
        <v>13</v>
      </c>
      <c r="F190" s="16">
        <v>4.4499999999999998E-2</v>
      </c>
      <c r="G190" s="15" t="s">
        <v>4</v>
      </c>
      <c r="K190" s="77"/>
      <c r="L190" s="78"/>
      <c r="M190" s="79"/>
    </row>
    <row r="191" spans="5:18">
      <c r="E191" s="14" t="s">
        <v>0</v>
      </c>
      <c r="F191" s="16">
        <f>N183</f>
        <v>11.98</v>
      </c>
      <c r="G191" s="15" t="s">
        <v>6</v>
      </c>
      <c r="K191" s="77"/>
      <c r="L191" s="80"/>
      <c r="M191" s="79"/>
    </row>
    <row r="192" spans="5:18">
      <c r="E192" s="14" t="s">
        <v>2</v>
      </c>
      <c r="F192" s="58">
        <v>2</v>
      </c>
      <c r="G192" s="15" t="s">
        <v>90</v>
      </c>
      <c r="K192" s="77"/>
      <c r="L192" s="81"/>
      <c r="M192" s="79"/>
    </row>
    <row r="193" spans="5:19">
      <c r="E193" s="14" t="s">
        <v>14</v>
      </c>
      <c r="F193" s="25">
        <f>F190*F191*F192</f>
        <v>1.0662199999999999</v>
      </c>
      <c r="G193" s="15" t="s">
        <v>5</v>
      </c>
      <c r="K193" s="77"/>
      <c r="L193" s="77"/>
      <c r="M193" s="77"/>
    </row>
    <row r="195" spans="5:19">
      <c r="E195" s="175" t="s">
        <v>96</v>
      </c>
      <c r="F195" s="175"/>
      <c r="G195" s="175"/>
      <c r="K195" s="176"/>
      <c r="L195" s="176"/>
      <c r="M195" s="177"/>
      <c r="N195" s="176"/>
      <c r="O195" s="176"/>
      <c r="P195" s="176"/>
      <c r="Q195" s="178"/>
      <c r="R195" s="178"/>
      <c r="S195" s="176"/>
    </row>
    <row r="196" spans="5:19">
      <c r="E196" s="14" t="s">
        <v>13</v>
      </c>
      <c r="F196" s="16">
        <v>8.3099999999999993E-2</v>
      </c>
      <c r="G196" s="15" t="s">
        <v>4</v>
      </c>
      <c r="K196" s="176"/>
      <c r="L196" s="176"/>
      <c r="M196" s="177"/>
      <c r="N196" s="176"/>
      <c r="O196" s="176"/>
      <c r="P196" s="176"/>
      <c r="Q196" s="178"/>
      <c r="R196" s="178"/>
      <c r="S196" s="176"/>
    </row>
    <row r="197" spans="5:19">
      <c r="E197" s="14" t="s">
        <v>19</v>
      </c>
      <c r="F197" s="16">
        <v>0.2</v>
      </c>
      <c r="G197" s="15" t="s">
        <v>6</v>
      </c>
      <c r="K197" s="77"/>
      <c r="L197" s="77"/>
      <c r="M197" s="77"/>
      <c r="N197" s="77"/>
      <c r="O197" s="77"/>
      <c r="P197" s="77"/>
      <c r="Q197" s="77"/>
      <c r="R197" s="77"/>
      <c r="S197" s="77"/>
    </row>
    <row r="198" spans="5:19">
      <c r="E198" s="14" t="s">
        <v>2</v>
      </c>
      <c r="F198" s="83">
        <f>แบบฐานแผ่ไม่มีทางเท้า!G188</f>
        <v>11.98</v>
      </c>
      <c r="G198" s="15" t="s">
        <v>3</v>
      </c>
      <c r="K198" s="82"/>
      <c r="L198" s="82"/>
      <c r="M198" s="82"/>
      <c r="N198" s="82"/>
      <c r="O198" s="82"/>
      <c r="P198" s="82"/>
      <c r="Q198" s="82"/>
      <c r="R198" s="82"/>
      <c r="S198" s="179"/>
    </row>
    <row r="199" spans="5:19">
      <c r="E199" s="14" t="s">
        <v>2</v>
      </c>
      <c r="F199" s="58">
        <v>2</v>
      </c>
      <c r="G199" s="15" t="s">
        <v>90</v>
      </c>
      <c r="K199" s="82"/>
      <c r="L199" s="82"/>
      <c r="M199" s="82"/>
      <c r="N199" s="179"/>
      <c r="O199" s="179"/>
      <c r="P199" s="82"/>
      <c r="Q199" s="82"/>
      <c r="R199" s="82"/>
      <c r="S199" s="179"/>
    </row>
    <row r="200" spans="5:19">
      <c r="E200" s="14" t="s">
        <v>14</v>
      </c>
      <c r="F200" s="25">
        <f>F196*F197*F199*F198</f>
        <v>0.39821519999999999</v>
      </c>
      <c r="G200" s="15" t="s">
        <v>5</v>
      </c>
      <c r="K200" s="77"/>
      <c r="L200" s="77"/>
      <c r="M200" s="77"/>
      <c r="N200" s="77"/>
      <c r="O200" s="77"/>
      <c r="P200" s="77"/>
      <c r="Q200" s="77"/>
      <c r="R200" s="77"/>
      <c r="S200" s="77"/>
    </row>
    <row r="201" spans="5:19">
      <c r="K201" s="82"/>
      <c r="L201" s="82"/>
      <c r="M201" s="82"/>
      <c r="N201" s="82"/>
      <c r="O201" s="180"/>
      <c r="P201" s="179"/>
      <c r="Q201" s="82"/>
      <c r="R201" s="82"/>
      <c r="S201" s="179"/>
    </row>
    <row r="202" spans="5:19">
      <c r="K202" s="82"/>
      <c r="L202" s="82"/>
      <c r="M202" s="82"/>
      <c r="N202" s="82"/>
      <c r="O202" s="180"/>
      <c r="P202" s="179"/>
      <c r="Q202" s="82"/>
      <c r="R202" s="82"/>
      <c r="S202" s="179"/>
    </row>
    <row r="203" spans="5:19">
      <c r="E203" s="175" t="s">
        <v>97</v>
      </c>
      <c r="F203" s="175"/>
      <c r="G203" s="175"/>
    </row>
    <row r="204" spans="5:19">
      <c r="E204" s="14" t="s">
        <v>13</v>
      </c>
      <c r="F204" s="16">
        <v>0.12379999999999999</v>
      </c>
      <c r="G204" s="15" t="s">
        <v>4</v>
      </c>
    </row>
    <row r="205" spans="5:19">
      <c r="E205" s="14" t="s">
        <v>0</v>
      </c>
      <c r="F205" s="16">
        <f>F191</f>
        <v>11.98</v>
      </c>
      <c r="G205" s="15" t="s">
        <v>6</v>
      </c>
    </row>
    <row r="206" spans="5:19">
      <c r="E206" s="14" t="s">
        <v>2</v>
      </c>
      <c r="F206" s="58">
        <v>2</v>
      </c>
      <c r="G206" s="15" t="s">
        <v>90</v>
      </c>
    </row>
    <row r="207" spans="5:19">
      <c r="E207" s="14" t="s">
        <v>14</v>
      </c>
      <c r="F207" s="25">
        <f>F204*F205*F206</f>
        <v>2.9662479999999998</v>
      </c>
      <c r="G207" s="15" t="s">
        <v>5</v>
      </c>
    </row>
  </sheetData>
  <sheetProtection password="EB11" sheet="1" objects="1" scenarios="1" formatCells="0"/>
  <mergeCells count="67">
    <mergeCell ref="J180:O180"/>
    <mergeCell ref="P180:Q180"/>
    <mergeCell ref="P181:Q181"/>
    <mergeCell ref="P183:Q183"/>
    <mergeCell ref="P184:Q184"/>
    <mergeCell ref="E131:F131"/>
    <mergeCell ref="G131:I131"/>
    <mergeCell ref="J170:L170"/>
    <mergeCell ref="R177:R178"/>
    <mergeCell ref="J177:K178"/>
    <mergeCell ref="L177:L178"/>
    <mergeCell ref="M177:M178"/>
    <mergeCell ref="N177:O178"/>
    <mergeCell ref="P177:Q178"/>
    <mergeCell ref="P114:Q114"/>
    <mergeCell ref="P115:Q115"/>
    <mergeCell ref="P116:R116"/>
    <mergeCell ref="N147:P147"/>
    <mergeCell ref="N155:P155"/>
    <mergeCell ref="A59:B59"/>
    <mergeCell ref="D59:E59"/>
    <mergeCell ref="A60:B60"/>
    <mergeCell ref="A61:B61"/>
    <mergeCell ref="B146:C146"/>
    <mergeCell ref="D145:G145"/>
    <mergeCell ref="D146:G146"/>
    <mergeCell ref="E132:F132"/>
    <mergeCell ref="G132:I132"/>
    <mergeCell ref="A64:B64"/>
    <mergeCell ref="B144:G144"/>
    <mergeCell ref="B145:C145"/>
    <mergeCell ref="E129:F129"/>
    <mergeCell ref="G129:I129"/>
    <mergeCell ref="E130:F130"/>
    <mergeCell ref="G130:I130"/>
    <mergeCell ref="A62:B62"/>
    <mergeCell ref="A63:B63"/>
    <mergeCell ref="I117:K118"/>
    <mergeCell ref="L117:M118"/>
    <mergeCell ref="N117:N118"/>
    <mergeCell ref="L110:N110"/>
    <mergeCell ref="I115:K116"/>
    <mergeCell ref="L115:M116"/>
    <mergeCell ref="N115:N116"/>
    <mergeCell ref="L109:N109"/>
    <mergeCell ref="C48:E48"/>
    <mergeCell ref="O48:P48"/>
    <mergeCell ref="O49:P49"/>
    <mergeCell ref="O50:Q50"/>
    <mergeCell ref="L101:N101"/>
    <mergeCell ref="J60:P60"/>
    <mergeCell ref="J61:P61"/>
    <mergeCell ref="O63:Q63"/>
    <mergeCell ref="O71:Q71"/>
    <mergeCell ref="O78:Q78"/>
    <mergeCell ref="O33:Q33"/>
    <mergeCell ref="A7:B7"/>
    <mergeCell ref="D7:E7"/>
    <mergeCell ref="A8:B8"/>
    <mergeCell ref="A9:B9"/>
    <mergeCell ref="A10:B10"/>
    <mergeCell ref="A11:B11"/>
    <mergeCell ref="A12:B12"/>
    <mergeCell ref="B15:E15"/>
    <mergeCell ref="J21:P21"/>
    <mergeCell ref="J22:P22"/>
    <mergeCell ref="B27:C27"/>
  </mergeCells>
  <pageMargins left="0.7" right="0.7" top="0.75" bottom="0.75" header="0.3" footer="0.3"/>
  <pageSetup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B1:X190"/>
  <sheetViews>
    <sheetView workbookViewId="0">
      <selection activeCell="H15" sqref="H15"/>
    </sheetView>
  </sheetViews>
  <sheetFormatPr defaultRowHeight="14.25"/>
  <cols>
    <col min="1" max="1" width="2.75" customWidth="1"/>
    <col min="4" max="6" width="10.625" customWidth="1"/>
    <col min="9" max="9" width="1.25" customWidth="1"/>
    <col min="21" max="21" width="10.5" bestFit="1" customWidth="1"/>
  </cols>
  <sheetData>
    <row r="1" spans="2:10">
      <c r="B1" s="40" t="s">
        <v>43</v>
      </c>
      <c r="J1" t="s">
        <v>7</v>
      </c>
    </row>
    <row r="2" spans="2:10">
      <c r="B2" s="41" t="s">
        <v>60</v>
      </c>
      <c r="J2" t="s">
        <v>8</v>
      </c>
    </row>
    <row r="3" spans="2:10">
      <c r="B3" t="s">
        <v>28</v>
      </c>
    </row>
    <row r="7" spans="2:10">
      <c r="B7" s="189" t="s">
        <v>31</v>
      </c>
      <c r="C7" s="190"/>
      <c r="D7" s="10" t="s">
        <v>26</v>
      </c>
      <c r="E7" s="189" t="s">
        <v>27</v>
      </c>
      <c r="F7" s="190"/>
      <c r="G7" s="10" t="s">
        <v>34</v>
      </c>
      <c r="H7" s="87" t="s">
        <v>35</v>
      </c>
    </row>
    <row r="8" spans="2:10">
      <c r="B8" s="191" t="s">
        <v>6</v>
      </c>
      <c r="C8" s="192"/>
      <c r="D8" s="11"/>
      <c r="E8" s="90" t="s">
        <v>32</v>
      </c>
      <c r="F8" s="90" t="s">
        <v>33</v>
      </c>
      <c r="G8" s="11"/>
      <c r="H8" s="9"/>
    </row>
    <row r="9" spans="2:10">
      <c r="B9" s="193" t="s">
        <v>36</v>
      </c>
      <c r="C9" s="193"/>
      <c r="D9" s="90">
        <v>1.8</v>
      </c>
      <c r="E9" s="2">
        <v>1.6</v>
      </c>
      <c r="F9" s="2">
        <v>0.7</v>
      </c>
      <c r="G9" s="2">
        <v>0.9</v>
      </c>
      <c r="H9" s="8">
        <v>6</v>
      </c>
    </row>
    <row r="10" spans="2:10">
      <c r="B10" s="193" t="s">
        <v>37</v>
      </c>
      <c r="C10" s="193"/>
      <c r="D10" s="90">
        <v>1.5</v>
      </c>
      <c r="E10" s="2">
        <v>1.6</v>
      </c>
      <c r="F10" s="2">
        <v>0.7</v>
      </c>
      <c r="G10" s="2">
        <v>0</v>
      </c>
      <c r="H10" s="8">
        <v>7</v>
      </c>
    </row>
    <row r="11" spans="2:10">
      <c r="B11" s="193" t="s">
        <v>38</v>
      </c>
      <c r="C11" s="193"/>
      <c r="D11" s="90">
        <v>1.3</v>
      </c>
      <c r="E11" s="2">
        <v>1.55</v>
      </c>
      <c r="F11" s="2">
        <v>0.65</v>
      </c>
      <c r="G11" s="2">
        <v>0.65</v>
      </c>
      <c r="H11" s="8">
        <v>8</v>
      </c>
    </row>
    <row r="12" spans="2:10">
      <c r="B12" s="193">
        <v>15</v>
      </c>
      <c r="C12" s="193"/>
      <c r="D12" s="90">
        <v>1.125</v>
      </c>
      <c r="E12" s="2">
        <v>1.6</v>
      </c>
      <c r="F12" s="2">
        <v>0.7</v>
      </c>
      <c r="G12" s="2">
        <v>0</v>
      </c>
      <c r="H12" s="8">
        <v>9</v>
      </c>
    </row>
    <row r="13" spans="2:10">
      <c r="B13" s="7"/>
      <c r="C13" s="7"/>
    </row>
    <row r="14" spans="2:10" ht="15" thickBot="1">
      <c r="B14" s="7"/>
      <c r="C14" s="7" t="s">
        <v>42</v>
      </c>
      <c r="E14" s="19"/>
    </row>
    <row r="15" spans="2:10" ht="15" thickBot="1">
      <c r="B15" s="7"/>
      <c r="C15" s="194" t="s">
        <v>23</v>
      </c>
      <c r="D15" s="195"/>
      <c r="E15" s="195"/>
      <c r="F15" s="196"/>
    </row>
    <row r="16" spans="2:10" ht="15" thickBot="1">
      <c r="C16" s="35" t="s">
        <v>1</v>
      </c>
      <c r="D16" s="36"/>
      <c r="E16" s="146">
        <f>ข้อมูลสะพาน!E7</f>
        <v>12</v>
      </c>
      <c r="F16" s="92" t="s">
        <v>6</v>
      </c>
    </row>
    <row r="17" spans="3:24" ht="15" thickBot="1">
      <c r="C17" s="33" t="s">
        <v>25</v>
      </c>
      <c r="D17" s="34"/>
      <c r="E17" s="146">
        <f>ข้อมูลสะพาน!E8</f>
        <v>20</v>
      </c>
      <c r="F17" s="96" t="s">
        <v>24</v>
      </c>
    </row>
    <row r="18" spans="3:24" ht="15" thickBot="1">
      <c r="C18" s="33" t="s">
        <v>99</v>
      </c>
      <c r="D18" s="34"/>
      <c r="E18" s="146">
        <f>ข้อมูลสะพาน!E11</f>
        <v>3</v>
      </c>
      <c r="F18" s="96" t="s">
        <v>92</v>
      </c>
    </row>
    <row r="19" spans="3:24">
      <c r="C19" s="85" t="s">
        <v>26</v>
      </c>
      <c r="E19" s="30">
        <f>IF(E16=5,D9,IF(E16=6,D9,IF(E16=7,D9,IF(E16=8,D9,IF(E16=9,D9,IF(E16=10,D9,IF(E16=11,D10,IF(E16=12,D10,IF(E16=13,D11,IF(E16=14,D11,IF(E16=15,D12)))))))))))</f>
        <v>1.5</v>
      </c>
      <c r="F19" s="85" t="s">
        <v>6</v>
      </c>
      <c r="K19" s="85"/>
      <c r="L19" s="85"/>
      <c r="M19" s="85"/>
      <c r="N19" s="85"/>
      <c r="O19" s="85"/>
      <c r="P19" s="85"/>
      <c r="Q19" s="85"/>
    </row>
    <row r="20" spans="3:24">
      <c r="C20" s="85" t="s">
        <v>27</v>
      </c>
      <c r="D20" s="85" t="s">
        <v>32</v>
      </c>
      <c r="E20" s="12">
        <f>IF(E16=5,E9,IF(E16=6,E9,IF(E16=7,E9,IF(E16=8,E9,IF(E16=9,E9,IF(E16=10,E9,IF(E16=11,E10,IF(E16=12,E10,IF(E16=13,E11,IF(E16=14,E11,IF(E16=15,E12)))))))))))</f>
        <v>1.6</v>
      </c>
      <c r="F20" s="85" t="s">
        <v>6</v>
      </c>
      <c r="J20" s="121" t="s">
        <v>10</v>
      </c>
      <c r="K20" s="104">
        <f>E21*L30</f>
        <v>0.74493999999999994</v>
      </c>
      <c r="L20" s="112">
        <f>$E19*L30</f>
        <v>1.5963000000000001</v>
      </c>
      <c r="M20" s="105">
        <f>E19*L30</f>
        <v>1.5963000000000001</v>
      </c>
      <c r="N20" s="112">
        <f>E19*L30</f>
        <v>1.5963000000000001</v>
      </c>
      <c r="O20" s="105">
        <f>E19*L30</f>
        <v>1.5963000000000001</v>
      </c>
      <c r="P20" s="112">
        <f>E19*L30</f>
        <v>1.5963000000000001</v>
      </c>
      <c r="Q20" s="105">
        <f>E21*L30</f>
        <v>0.74493999999999994</v>
      </c>
      <c r="R20" s="10" t="s">
        <v>6</v>
      </c>
      <c r="X20" s="6"/>
    </row>
    <row r="21" spans="3:24">
      <c r="C21" s="85"/>
      <c r="D21" s="3" t="s">
        <v>33</v>
      </c>
      <c r="E21" s="12">
        <f>IF(E16=5,F9,IF(E16=6,F9,IF(E16=7,F9,IF(E16=8,F9,IF(E16=9,F9,IF(E16=10,F9,IF(E16=11,F10,IF(E16=12,F10,IF(E16=13,F11,IF(E16=14,F11,IF(E16=15,F12)))))))))))</f>
        <v>0.7</v>
      </c>
      <c r="F21" s="85" t="s">
        <v>6</v>
      </c>
      <c r="J21" s="109" t="s">
        <v>11</v>
      </c>
      <c r="K21" s="233">
        <f>K20+(N20*E25)+Q20</f>
        <v>11.067679999999999</v>
      </c>
      <c r="L21" s="233"/>
      <c r="M21" s="233"/>
      <c r="N21" s="233"/>
      <c r="O21" s="233"/>
      <c r="P21" s="233"/>
      <c r="Q21" s="233"/>
      <c r="R21" s="10" t="s">
        <v>6</v>
      </c>
    </row>
    <row r="22" spans="3:24">
      <c r="C22" s="85"/>
      <c r="F22" s="85"/>
      <c r="J22" s="11" t="s">
        <v>12</v>
      </c>
      <c r="K22" s="234">
        <f>10.4*L30</f>
        <v>11.067680000000001</v>
      </c>
      <c r="L22" s="234"/>
      <c r="M22" s="234"/>
      <c r="N22" s="234"/>
      <c r="O22" s="234"/>
      <c r="P22" s="234"/>
      <c r="Q22" s="234"/>
      <c r="R22" s="90" t="s">
        <v>6</v>
      </c>
      <c r="U22" s="23"/>
      <c r="V22" s="23"/>
      <c r="W22" s="23"/>
    </row>
    <row r="23" spans="3:24" ht="15" thickBot="1">
      <c r="C23" s="85" t="s">
        <v>34</v>
      </c>
      <c r="E23" s="85">
        <f>IF(E16=5,G9,IF(E16=6,G9,IF(E16=7,G9,IF(E16=8,G9,IF(E16=9,G9,IF(E16=10,G9,IF(E16=11,G10,IF(E16=12,G10,IF(E16=13,G11,IF(E16=14,G11,IF(E16=15,G12)))))))))))</f>
        <v>0</v>
      </c>
      <c r="F23" s="85" t="s">
        <v>6</v>
      </c>
      <c r="U23" s="13"/>
      <c r="V23" s="13"/>
      <c r="W23" s="13"/>
    </row>
    <row r="24" spans="3:24" ht="15" thickBot="1">
      <c r="C24" s="85" t="s">
        <v>35</v>
      </c>
      <c r="D24" s="37" t="s">
        <v>65</v>
      </c>
      <c r="E24" s="38">
        <f>IF(E16=5,H9,IF(E16=6,H9,IF(E16=7,H9,IF(E16=8,H9,IF(E16=9,H9,IF(E16=10,H9,IF(E16=11,H10,IF(E16=12,H10,IF(E16=13,H11,IF(E16=14,H11,IF(E16=15,H12)))))))))))</f>
        <v>7</v>
      </c>
      <c r="F24" s="39" t="s">
        <v>3</v>
      </c>
      <c r="U24" s="13"/>
      <c r="V24" s="13"/>
      <c r="W24" s="20"/>
    </row>
    <row r="25" spans="3:24">
      <c r="D25" s="85" t="s">
        <v>2</v>
      </c>
      <c r="E25" s="85">
        <f>E24-1</f>
        <v>6</v>
      </c>
      <c r="F25" s="136" t="s">
        <v>92</v>
      </c>
      <c r="U25" s="13"/>
      <c r="V25" s="21"/>
      <c r="W25" s="20"/>
    </row>
    <row r="26" spans="3:24" ht="12" customHeight="1" thickBot="1">
      <c r="U26" s="13"/>
      <c r="V26" s="22"/>
      <c r="W26" s="20"/>
    </row>
    <row r="27" spans="3:24" ht="29.25" customHeight="1" thickBot="1">
      <c r="C27" s="198" t="s">
        <v>48</v>
      </c>
      <c r="D27" s="199"/>
      <c r="E27" s="26">
        <f>Q37+Q53+E53+Q66+Q75</f>
        <v>42.251151199999995</v>
      </c>
      <c r="F27" s="94" t="s">
        <v>5</v>
      </c>
      <c r="L27" s="4">
        <v>0</v>
      </c>
      <c r="M27" s="4">
        <v>5</v>
      </c>
      <c r="N27" s="4">
        <v>10</v>
      </c>
      <c r="O27" s="4">
        <v>15</v>
      </c>
      <c r="P27" s="4">
        <v>20</v>
      </c>
      <c r="Q27" s="4">
        <v>25</v>
      </c>
      <c r="R27" s="4">
        <v>30</v>
      </c>
      <c r="U27" s="13"/>
      <c r="V27" s="13"/>
      <c r="W27" s="20"/>
    </row>
    <row r="28" spans="3:24" ht="28.5" customHeight="1">
      <c r="L28" s="5">
        <v>1</v>
      </c>
      <c r="M28" s="5">
        <v>1.0038</v>
      </c>
      <c r="N28" s="5">
        <v>1.0154000000000001</v>
      </c>
      <c r="O28" s="5">
        <v>1.0353000000000001</v>
      </c>
      <c r="P28" s="5">
        <v>1.0642</v>
      </c>
      <c r="Q28" s="5">
        <v>1.1033999999999999</v>
      </c>
      <c r="R28" s="5">
        <v>1.1547000000000001</v>
      </c>
    </row>
    <row r="30" spans="3:24">
      <c r="J30" s="122" t="s">
        <v>9</v>
      </c>
      <c r="K30" s="125">
        <f>E17</f>
        <v>20</v>
      </c>
      <c r="L30" s="125">
        <f>IF(K30=0,L28,IF(K30=5,M28,IF(K30=10,N28,IF(K30=15,O28,IF(K30=20,P28,IF(K30=25,Q28,IF(K30=30,R28)))))))</f>
        <v>1.0642</v>
      </c>
      <c r="M30" s="124" t="s">
        <v>6</v>
      </c>
    </row>
    <row r="31" spans="3:24">
      <c r="O31" t="s">
        <v>16</v>
      </c>
    </row>
    <row r="33" spans="3:18">
      <c r="P33" s="186" t="s">
        <v>15</v>
      </c>
      <c r="Q33" s="186"/>
      <c r="R33" s="186"/>
    </row>
    <row r="34" spans="3:18">
      <c r="P34" s="14"/>
      <c r="Q34" s="14"/>
      <c r="R34" s="14"/>
    </row>
    <row r="35" spans="3:18">
      <c r="P35" s="14" t="s">
        <v>13</v>
      </c>
      <c r="Q35" s="31">
        <f>M53</f>
        <v>0.91500000000000004</v>
      </c>
      <c r="R35" s="15" t="s">
        <v>4</v>
      </c>
    </row>
    <row r="36" spans="3:18">
      <c r="P36" s="14" t="s">
        <v>0</v>
      </c>
      <c r="Q36" s="16">
        <f>K21</f>
        <v>11.067679999999999</v>
      </c>
      <c r="R36" s="15" t="s">
        <v>6</v>
      </c>
    </row>
    <row r="37" spans="3:18">
      <c r="P37" s="14" t="s">
        <v>14</v>
      </c>
      <c r="Q37" s="25">
        <f>Q35*Q36</f>
        <v>10.126927199999999</v>
      </c>
      <c r="R37" s="15" t="s">
        <v>5</v>
      </c>
    </row>
    <row r="38" spans="3:18">
      <c r="R38" s="6"/>
    </row>
    <row r="39" spans="3:18">
      <c r="R39" s="6"/>
    </row>
    <row r="40" spans="3:18">
      <c r="R40" s="6"/>
    </row>
    <row r="41" spans="3:18">
      <c r="R41" s="6"/>
    </row>
    <row r="42" spans="3:18">
      <c r="R42" s="85" t="s">
        <v>22</v>
      </c>
    </row>
    <row r="43" spans="3:18">
      <c r="R43" s="86">
        <v>0.4</v>
      </c>
    </row>
    <row r="44" spans="3:18">
      <c r="R44" s="6"/>
    </row>
    <row r="45" spans="3:18">
      <c r="R45" s="6"/>
    </row>
    <row r="46" spans="3:18">
      <c r="C46" t="s">
        <v>17</v>
      </c>
      <c r="F46" s="173">
        <f>(0.2*E47)+((E47-0.16)*1.8)+(0.5*0.16*1.8)</f>
        <v>4.2560000000000002</v>
      </c>
      <c r="G46" s="6" t="s">
        <v>4</v>
      </c>
      <c r="R46" s="6"/>
    </row>
    <row r="47" spans="3:18">
      <c r="D47" s="137" t="s">
        <v>46</v>
      </c>
      <c r="E47" s="172">
        <v>2.2000000000000002</v>
      </c>
      <c r="F47" t="s">
        <v>6</v>
      </c>
      <c r="R47" s="6"/>
    </row>
    <row r="48" spans="3:18">
      <c r="D48" s="186" t="s">
        <v>18</v>
      </c>
      <c r="E48" s="186"/>
      <c r="F48" s="186"/>
      <c r="P48" s="187" t="s">
        <v>21</v>
      </c>
      <c r="Q48" s="187"/>
      <c r="R48" s="6"/>
    </row>
    <row r="49" spans="2:21">
      <c r="D49" s="14"/>
      <c r="E49" s="14"/>
      <c r="F49" s="14"/>
      <c r="P49" s="188">
        <v>0.4</v>
      </c>
      <c r="Q49" s="188"/>
      <c r="R49" s="1"/>
    </row>
    <row r="50" spans="2:21">
      <c r="D50" s="14" t="s">
        <v>13</v>
      </c>
      <c r="E50" s="31">
        <f>F46</f>
        <v>4.2560000000000002</v>
      </c>
      <c r="F50" s="15" t="s">
        <v>4</v>
      </c>
      <c r="P50" s="186" t="s">
        <v>20</v>
      </c>
      <c r="Q50" s="186"/>
      <c r="R50" s="186"/>
    </row>
    <row r="51" spans="2:21">
      <c r="D51" s="14" t="s">
        <v>19</v>
      </c>
      <c r="E51" s="16">
        <v>0.2</v>
      </c>
      <c r="F51" s="15" t="s">
        <v>6</v>
      </c>
      <c r="P51" s="14" t="s">
        <v>13</v>
      </c>
      <c r="Q51" s="18">
        <f>P49*R43</f>
        <v>0.16000000000000003</v>
      </c>
      <c r="R51" s="15" t="s">
        <v>4</v>
      </c>
    </row>
    <row r="52" spans="2:21">
      <c r="D52" s="14" t="s">
        <v>14</v>
      </c>
      <c r="E52" s="17">
        <f>E50*E51</f>
        <v>0.85120000000000007</v>
      </c>
      <c r="F52" s="15" t="s">
        <v>5</v>
      </c>
      <c r="P52" s="14" t="s">
        <v>0</v>
      </c>
      <c r="Q52" s="16">
        <f>E25*N20</f>
        <v>9.5777999999999999</v>
      </c>
      <c r="R52" s="15" t="s">
        <v>6</v>
      </c>
    </row>
    <row r="53" spans="2:21">
      <c r="D53" s="14" t="s">
        <v>41</v>
      </c>
      <c r="E53" s="24">
        <f>E52*2</f>
        <v>1.7024000000000001</v>
      </c>
      <c r="F53" s="15" t="s">
        <v>5</v>
      </c>
      <c r="J53" t="s">
        <v>16</v>
      </c>
      <c r="M53" s="63">
        <f>(0.2*M55)+(0.75*0.3)+(1.05*0.2)+(0.2*0.75)+(0.2*0.94)+(0.5*0.3*0.2)</f>
        <v>0.91500000000000004</v>
      </c>
      <c r="N53" s="85" t="s">
        <v>4</v>
      </c>
      <c r="P53" s="14" t="s">
        <v>14</v>
      </c>
      <c r="Q53" s="25">
        <f>Q51*Q52</f>
        <v>1.5324480000000003</v>
      </c>
      <c r="R53" s="15" t="s">
        <v>5</v>
      </c>
    </row>
    <row r="54" spans="2:21">
      <c r="N54" s="85"/>
      <c r="R54" s="6"/>
    </row>
    <row r="55" spans="2:21">
      <c r="L55" t="s">
        <v>46</v>
      </c>
      <c r="M55" s="32">
        <v>0.56000000000000005</v>
      </c>
      <c r="N55" s="85" t="s">
        <v>6</v>
      </c>
      <c r="R55" s="6"/>
    </row>
    <row r="56" spans="2:21">
      <c r="R56" s="6"/>
    </row>
    <row r="57" spans="2:21">
      <c r="R57" s="6"/>
    </row>
    <row r="58" spans="2:21">
      <c r="R58" s="6"/>
    </row>
    <row r="59" spans="2:21">
      <c r="B59" s="189" t="s">
        <v>31</v>
      </c>
      <c r="C59" s="190"/>
      <c r="D59" s="10" t="s">
        <v>26</v>
      </c>
      <c r="E59" s="189" t="s">
        <v>27</v>
      </c>
      <c r="F59" s="190"/>
      <c r="G59" s="59" t="s">
        <v>62</v>
      </c>
      <c r="H59" s="87" t="s">
        <v>61</v>
      </c>
      <c r="J59" s="109" t="s">
        <v>10</v>
      </c>
      <c r="K59" s="111">
        <f>IF(E16=5,H61,IF(E16=6,H61,IF(E16=7,H61,IF(E16=8,H61,IF(E16=9,H61,IF(E16=10,H61,IF(E16=11,H62,IF(E16=12,H62,IF(E16=13,H63,IF(E16=14,H63,IF(E16=15,H64)))))))))))*L30</f>
        <v>0.95778000000000008</v>
      </c>
      <c r="L59" s="107">
        <f>E19*L30</f>
        <v>1.5963000000000001</v>
      </c>
      <c r="M59" s="112">
        <f>E19*L30</f>
        <v>1.5963000000000001</v>
      </c>
      <c r="N59" s="107">
        <f>E19*L30</f>
        <v>1.5963000000000001</v>
      </c>
      <c r="O59" s="112">
        <f>E19*L30</f>
        <v>1.5963000000000001</v>
      </c>
      <c r="P59" s="107">
        <f>E19*L30</f>
        <v>1.5963000000000001</v>
      </c>
      <c r="Q59" s="112">
        <f>IF(E16=5,H61,IF(E16=6,H61,IF(E16=7,H61,IF(E16=8,H61,IF(E16=9,H61,IF(E16=10,H61,IF(E16=11,H62,IF(E16=12,H62,IF(E16=13,H63,IF(E16=14,H63,IF(E16=15,H64)))))))))))*L30</f>
        <v>0.95778000000000008</v>
      </c>
      <c r="R59" s="90" t="s">
        <v>6</v>
      </c>
      <c r="U59" s="56"/>
    </row>
    <row r="60" spans="2:21">
      <c r="B60" s="191" t="s">
        <v>6</v>
      </c>
      <c r="C60" s="192"/>
      <c r="D60" s="11"/>
      <c r="E60" s="90" t="s">
        <v>32</v>
      </c>
      <c r="F60" s="90" t="s">
        <v>33</v>
      </c>
      <c r="G60" s="60"/>
      <c r="H60" s="9"/>
      <c r="J60" s="109" t="s">
        <v>11</v>
      </c>
      <c r="K60" s="233">
        <f>K59+(N59*E25)+Q59</f>
        <v>11.493359999999999</v>
      </c>
      <c r="L60" s="233"/>
      <c r="M60" s="233"/>
      <c r="N60" s="233"/>
      <c r="O60" s="233"/>
      <c r="P60" s="233"/>
      <c r="Q60" s="233"/>
      <c r="R60" s="90" t="s">
        <v>6</v>
      </c>
    </row>
    <row r="61" spans="2:21">
      <c r="B61" s="193" t="s">
        <v>36</v>
      </c>
      <c r="C61" s="193"/>
      <c r="D61" s="90">
        <v>1.8</v>
      </c>
      <c r="E61" s="2">
        <v>1.6</v>
      </c>
      <c r="F61" s="2">
        <v>0.7</v>
      </c>
      <c r="G61" s="61">
        <v>2.2000000000000002</v>
      </c>
      <c r="H61" s="2">
        <v>0.9</v>
      </c>
      <c r="J61" s="11" t="s">
        <v>12</v>
      </c>
      <c r="K61" s="234">
        <f>10.8*L30</f>
        <v>11.493360000000001</v>
      </c>
      <c r="L61" s="234"/>
      <c r="M61" s="234"/>
      <c r="N61" s="234"/>
      <c r="O61" s="234"/>
      <c r="P61" s="234"/>
      <c r="Q61" s="234"/>
      <c r="R61" s="110" t="s">
        <v>6</v>
      </c>
    </row>
    <row r="62" spans="2:21">
      <c r="B62" s="193" t="s">
        <v>37</v>
      </c>
      <c r="C62" s="193"/>
      <c r="D62" s="90">
        <v>1.5</v>
      </c>
      <c r="E62" s="2">
        <v>1.6</v>
      </c>
      <c r="F62" s="2">
        <v>0.7</v>
      </c>
      <c r="G62" s="61">
        <v>2.4</v>
      </c>
      <c r="H62" s="2">
        <v>0.9</v>
      </c>
      <c r="R62" s="6"/>
    </row>
    <row r="63" spans="2:21">
      <c r="B63" s="193" t="s">
        <v>38</v>
      </c>
      <c r="C63" s="193"/>
      <c r="D63" s="90">
        <v>1.3</v>
      </c>
      <c r="E63" s="2">
        <v>1.55</v>
      </c>
      <c r="F63" s="2">
        <v>0.65</v>
      </c>
      <c r="G63" s="61">
        <v>2.6</v>
      </c>
      <c r="H63" s="2">
        <v>0.85</v>
      </c>
      <c r="P63" s="186" t="s">
        <v>63</v>
      </c>
      <c r="Q63" s="186"/>
      <c r="R63" s="186"/>
    </row>
    <row r="64" spans="2:21">
      <c r="B64" s="193">
        <v>15</v>
      </c>
      <c r="C64" s="193"/>
      <c r="D64" s="90">
        <v>1.125</v>
      </c>
      <c r="E64" s="2">
        <v>1.6</v>
      </c>
      <c r="F64" s="2">
        <v>0.7</v>
      </c>
      <c r="G64" s="61">
        <v>2.7</v>
      </c>
      <c r="H64" s="2">
        <v>0.9</v>
      </c>
      <c r="P64" s="14" t="s">
        <v>13</v>
      </c>
      <c r="Q64" s="18">
        <f>(0.3*0.4)+(0.5*((M83/2)-0.2)*0.2)+(0.5*((M83/2)-0.2)*0.2)+(M83*0.5)+(0.4*0.2)</f>
        <v>1.6</v>
      </c>
      <c r="R64" s="15" t="s">
        <v>4</v>
      </c>
    </row>
    <row r="65" spans="16:18">
      <c r="P65" s="14" t="s">
        <v>0</v>
      </c>
      <c r="Q65" s="16">
        <f>K60</f>
        <v>11.493359999999999</v>
      </c>
      <c r="R65" s="15" t="s">
        <v>6</v>
      </c>
    </row>
    <row r="66" spans="16:18">
      <c r="P66" s="14" t="s">
        <v>14</v>
      </c>
      <c r="Q66" s="25">
        <f>Q64*Q65</f>
        <v>18.389375999999999</v>
      </c>
      <c r="R66" s="15" t="s">
        <v>5</v>
      </c>
    </row>
    <row r="67" spans="16:18">
      <c r="R67" s="6"/>
    </row>
    <row r="68" spans="16:18">
      <c r="R68" s="6"/>
    </row>
    <row r="69" spans="16:18">
      <c r="R69" s="6"/>
    </row>
    <row r="70" spans="16:18">
      <c r="R70" s="6"/>
    </row>
    <row r="71" spans="16:18">
      <c r="P71" s="186" t="s">
        <v>66</v>
      </c>
      <c r="Q71" s="186"/>
      <c r="R71" s="186"/>
    </row>
    <row r="72" spans="16:18">
      <c r="P72" s="14" t="s">
        <v>13</v>
      </c>
      <c r="Q72" s="18">
        <f>0.4*0.4</f>
        <v>0.16000000000000003</v>
      </c>
      <c r="R72" s="15" t="s">
        <v>4</v>
      </c>
    </row>
    <row r="73" spans="16:18">
      <c r="P73" s="14" t="s">
        <v>67</v>
      </c>
      <c r="Q73" s="16">
        <v>1.5</v>
      </c>
      <c r="R73" s="15" t="s">
        <v>6</v>
      </c>
    </row>
    <row r="74" spans="16:18">
      <c r="P74" s="14" t="s">
        <v>2</v>
      </c>
      <c r="Q74" s="58">
        <f>E24</f>
        <v>7</v>
      </c>
      <c r="R74" s="15" t="s">
        <v>3</v>
      </c>
    </row>
    <row r="75" spans="16:18">
      <c r="P75" s="14" t="s">
        <v>14</v>
      </c>
      <c r="Q75" s="25">
        <f>Q73*Q74</f>
        <v>10.5</v>
      </c>
      <c r="R75" s="15" t="s">
        <v>5</v>
      </c>
    </row>
    <row r="76" spans="16:18">
      <c r="R76" s="6"/>
    </row>
    <row r="77" spans="16:18">
      <c r="R77" s="6"/>
    </row>
    <row r="78" spans="16:18">
      <c r="P78" s="186" t="s">
        <v>103</v>
      </c>
      <c r="Q78" s="186"/>
      <c r="R78" s="186"/>
    </row>
    <row r="79" spans="16:18">
      <c r="P79" s="14" t="s">
        <v>13</v>
      </c>
      <c r="Q79" s="18">
        <f>0.05*M83</f>
        <v>0.12</v>
      </c>
      <c r="R79" s="15" t="s">
        <v>4</v>
      </c>
    </row>
    <row r="80" spans="16:18">
      <c r="P80" s="14" t="s">
        <v>0</v>
      </c>
      <c r="Q80" s="16">
        <f>Q65</f>
        <v>11.493359999999999</v>
      </c>
      <c r="R80" s="15" t="s">
        <v>6</v>
      </c>
    </row>
    <row r="81" spans="2:18">
      <c r="P81" s="14" t="s">
        <v>14</v>
      </c>
      <c r="Q81" s="25">
        <f>Q79*Q80</f>
        <v>1.3792031999999999</v>
      </c>
      <c r="R81" s="15" t="s">
        <v>5</v>
      </c>
    </row>
    <row r="83" spans="2:18">
      <c r="L83" s="46" t="s">
        <v>64</v>
      </c>
      <c r="M83" s="62">
        <f>IF(E16=5,G61,IF(E16=6,G61,IF(E16=7,G61,IF(E16=8,G61,IF(E16=9,G61,IF(E16=10,G61,IF(E16=11,G62,IF(E16=12,G62,IF(E16=13,G63,IF(E16=14,G63,IF(E16=15,G64)))))))))))</f>
        <v>2.4</v>
      </c>
      <c r="N83" s="46" t="s">
        <v>6</v>
      </c>
    </row>
    <row r="85" spans="2:18">
      <c r="B85" s="41" t="s">
        <v>70</v>
      </c>
    </row>
    <row r="101" spans="13:19">
      <c r="M101" s="186" t="s">
        <v>15</v>
      </c>
      <c r="N101" s="186"/>
      <c r="O101" s="186"/>
    </row>
    <row r="102" spans="13:19">
      <c r="M102" s="14"/>
      <c r="N102" s="14"/>
      <c r="O102" s="14"/>
    </row>
    <row r="103" spans="13:19">
      <c r="M103" s="27" t="s">
        <v>46</v>
      </c>
      <c r="N103" s="132">
        <v>0</v>
      </c>
      <c r="O103" s="27" t="s">
        <v>6</v>
      </c>
    </row>
    <row r="104" spans="13:19">
      <c r="M104" s="14"/>
      <c r="N104" s="14"/>
      <c r="O104" s="14"/>
      <c r="S104" s="85" t="s">
        <v>22</v>
      </c>
    </row>
    <row r="105" spans="13:19">
      <c r="M105" s="14" t="s">
        <v>13</v>
      </c>
      <c r="N105" s="42">
        <f>(0.7*0.6)+(0.3*N103)</f>
        <v>0.42</v>
      </c>
      <c r="O105" s="15" t="s">
        <v>4</v>
      </c>
      <c r="S105" s="86">
        <v>0.4</v>
      </c>
    </row>
    <row r="106" spans="13:19">
      <c r="M106" s="14" t="s">
        <v>0</v>
      </c>
      <c r="N106" s="16">
        <f>K21</f>
        <v>11.067679999999999</v>
      </c>
      <c r="O106" s="15" t="s">
        <v>6</v>
      </c>
    </row>
    <row r="107" spans="13:19">
      <c r="M107" s="14" t="s">
        <v>14</v>
      </c>
      <c r="N107" s="25">
        <f>N105*N106</f>
        <v>4.6484255999999995</v>
      </c>
      <c r="O107" s="15" t="s">
        <v>5</v>
      </c>
    </row>
    <row r="109" spans="13:19">
      <c r="M109" s="211" t="s">
        <v>49</v>
      </c>
      <c r="N109" s="212"/>
      <c r="O109" s="213"/>
    </row>
    <row r="110" spans="13:19">
      <c r="M110" s="214" t="s">
        <v>50</v>
      </c>
      <c r="N110" s="215"/>
      <c r="O110" s="216"/>
    </row>
    <row r="111" spans="13:19">
      <c r="M111" s="13"/>
      <c r="N111" s="13"/>
      <c r="O111" s="13"/>
    </row>
    <row r="114" spans="3:19" ht="15" thickBot="1">
      <c r="Q114" s="187" t="s">
        <v>21</v>
      </c>
      <c r="R114" s="187"/>
      <c r="S114" s="6"/>
    </row>
    <row r="115" spans="3:19">
      <c r="J115" s="200" t="s">
        <v>47</v>
      </c>
      <c r="K115" s="201"/>
      <c r="L115" s="201"/>
      <c r="M115" s="204">
        <f>N107+R119+Q66+Q75</f>
        <v>35.308630399999998</v>
      </c>
      <c r="N115" s="205"/>
      <c r="O115" s="205" t="s">
        <v>5</v>
      </c>
      <c r="Q115" s="188">
        <v>0.4</v>
      </c>
      <c r="R115" s="188"/>
      <c r="S115" s="1"/>
    </row>
    <row r="116" spans="3:19" ht="14.25" customHeight="1" thickBot="1">
      <c r="J116" s="202"/>
      <c r="K116" s="203"/>
      <c r="L116" s="203"/>
      <c r="M116" s="206"/>
      <c r="N116" s="207"/>
      <c r="O116" s="207"/>
      <c r="Q116" s="186" t="s">
        <v>20</v>
      </c>
      <c r="R116" s="186"/>
      <c r="S116" s="186"/>
    </row>
    <row r="117" spans="3:19" ht="14.25" customHeight="1">
      <c r="J117" s="200" t="s">
        <v>68</v>
      </c>
      <c r="K117" s="201"/>
      <c r="L117" s="201"/>
      <c r="M117" s="208">
        <f>E24</f>
        <v>7</v>
      </c>
      <c r="N117" s="205"/>
      <c r="O117" s="209" t="s">
        <v>3</v>
      </c>
      <c r="Q117" s="14" t="s">
        <v>13</v>
      </c>
      <c r="R117" s="18">
        <f>Q115*S105</f>
        <v>0.16000000000000003</v>
      </c>
      <c r="S117" s="15" t="s">
        <v>4</v>
      </c>
    </row>
    <row r="118" spans="3:19" ht="15" customHeight="1" thickBot="1">
      <c r="J118" s="202"/>
      <c r="K118" s="203"/>
      <c r="L118" s="203"/>
      <c r="M118" s="206"/>
      <c r="N118" s="207"/>
      <c r="O118" s="210"/>
      <c r="Q118" s="14" t="s">
        <v>0</v>
      </c>
      <c r="R118" s="16">
        <f>K21</f>
        <v>11.067679999999999</v>
      </c>
      <c r="S118" s="15" t="s">
        <v>6</v>
      </c>
    </row>
    <row r="119" spans="3:19">
      <c r="J119" s="13"/>
      <c r="K119" s="43"/>
      <c r="L119" s="20"/>
      <c r="Q119" s="14" t="s">
        <v>14</v>
      </c>
      <c r="R119" s="25">
        <f>R117*R118</f>
        <v>1.7708288000000003</v>
      </c>
      <c r="S119" s="15" t="s">
        <v>5</v>
      </c>
    </row>
    <row r="125" spans="3:19">
      <c r="C125" t="str">
        <f>ข้อมูลสะพาน!A1</f>
        <v xml:space="preserve">โครงการเขื่อนทดน้ำผาจุก สะพานรถยนต์ </v>
      </c>
    </row>
    <row r="126" spans="3:19">
      <c r="C126" s="6" t="str">
        <f>ข้อมูลสะพาน!A2</f>
        <v xml:space="preserve">กม.  48+  </v>
      </c>
      <c r="D126" s="44">
        <f>ข้อมูลสะพาน!B2</f>
        <v>226.55</v>
      </c>
    </row>
    <row r="127" spans="3:19">
      <c r="C127" t="str">
        <f>ข้อมูลสะพาน!A3</f>
        <v>คลองส่งน้ำสายใหญ่ฝั่งซ้าย (LMC)</v>
      </c>
    </row>
    <row r="128" spans="3:19" ht="15" thickBot="1">
      <c r="C128" t="s">
        <v>131</v>
      </c>
      <c r="E128" s="138">
        <f>ข้อมูลสะพาน!E7*ข้อมูลสะพาน!E11</f>
        <v>36</v>
      </c>
      <c r="F128" s="138" t="s">
        <v>6</v>
      </c>
      <c r="O128" s="85" t="s">
        <v>69</v>
      </c>
      <c r="Q128" s="85" t="s">
        <v>58</v>
      </c>
    </row>
    <row r="129" spans="2:19" ht="15" thickBot="1">
      <c r="C129" s="35" t="s">
        <v>53</v>
      </c>
      <c r="D129" s="53">
        <f>ข้อมูลสะพาน!E9</f>
        <v>2</v>
      </c>
      <c r="E129" s="91" t="s">
        <v>56</v>
      </c>
      <c r="F129" s="225" t="s">
        <v>55</v>
      </c>
      <c r="G129" s="226"/>
      <c r="H129" s="217">
        <f>D129*E27</f>
        <v>84.502302399999991</v>
      </c>
      <c r="I129" s="218"/>
      <c r="J129" s="219"/>
      <c r="K129" s="49" t="s">
        <v>5</v>
      </c>
      <c r="L129" s="49" t="s">
        <v>65</v>
      </c>
      <c r="M129" s="36">
        <f>D129*E24</f>
        <v>14</v>
      </c>
      <c r="N129" s="49" t="s">
        <v>3</v>
      </c>
      <c r="O129" s="145">
        <f>ข้อมูลสะพาน!H9</f>
        <v>7</v>
      </c>
      <c r="P129" s="53" t="s">
        <v>6</v>
      </c>
      <c r="Q129" s="52">
        <f>(0.4*0.4*O129)*M129</f>
        <v>15.680000000000001</v>
      </c>
      <c r="R129" s="49" t="s">
        <v>5</v>
      </c>
    </row>
    <row r="130" spans="2:19" ht="15" thickBot="1">
      <c r="C130" s="35" t="s">
        <v>54</v>
      </c>
      <c r="D130" s="53">
        <f>ข้อมูลสะพาน!E10</f>
        <v>2</v>
      </c>
      <c r="E130" s="91" t="s">
        <v>56</v>
      </c>
      <c r="F130" s="225" t="s">
        <v>55</v>
      </c>
      <c r="G130" s="226"/>
      <c r="H130" s="217">
        <f>D130*M115</f>
        <v>70.617260799999997</v>
      </c>
      <c r="I130" s="218"/>
      <c r="J130" s="219"/>
      <c r="K130" s="49" t="s">
        <v>5</v>
      </c>
      <c r="L130" s="49" t="s">
        <v>65</v>
      </c>
      <c r="M130" s="36">
        <f>D130*M117</f>
        <v>14</v>
      </c>
      <c r="N130" s="49" t="s">
        <v>3</v>
      </c>
      <c r="O130" s="145">
        <f>ข้อมูลสะพาน!H10</f>
        <v>7</v>
      </c>
      <c r="P130" s="53" t="s">
        <v>6</v>
      </c>
      <c r="Q130" s="52">
        <f>(0.4*0.4*O130)*M130</f>
        <v>15.680000000000001</v>
      </c>
      <c r="R130" s="49" t="s">
        <v>5</v>
      </c>
    </row>
    <row r="131" spans="2:19" ht="15" thickBot="1">
      <c r="C131" s="35" t="s">
        <v>91</v>
      </c>
      <c r="D131" s="53">
        <f>ข้อมูลสะพาน!E11</f>
        <v>3</v>
      </c>
      <c r="E131" s="91" t="s">
        <v>92</v>
      </c>
      <c r="F131" s="225" t="s">
        <v>55</v>
      </c>
      <c r="G131" s="226"/>
      <c r="H131" s="217">
        <f>D131*Q178</f>
        <v>90.045450197802253</v>
      </c>
      <c r="I131" s="218"/>
      <c r="J131" s="219"/>
      <c r="K131" s="49" t="s">
        <v>5</v>
      </c>
      <c r="L131" s="49"/>
      <c r="M131" s="36"/>
      <c r="N131" s="49"/>
      <c r="O131" s="76"/>
      <c r="P131" s="53"/>
      <c r="Q131" s="52"/>
      <c r="R131" s="49"/>
    </row>
    <row r="132" spans="2:19" ht="15" thickBot="1">
      <c r="C132" s="35" t="s">
        <v>100</v>
      </c>
      <c r="D132" s="84"/>
      <c r="E132" s="91"/>
      <c r="F132" s="225" t="s">
        <v>55</v>
      </c>
      <c r="G132" s="226"/>
      <c r="H132" s="217">
        <f>G179*G180*4</f>
        <v>6.6479999999999997E-2</v>
      </c>
      <c r="I132" s="218"/>
      <c r="J132" s="219"/>
      <c r="K132" s="49" t="s">
        <v>5</v>
      </c>
      <c r="L132" s="49"/>
      <c r="M132" s="36"/>
      <c r="N132" s="49"/>
      <c r="O132" s="76"/>
      <c r="P132" s="53"/>
      <c r="Q132" s="52"/>
      <c r="R132" s="49"/>
    </row>
    <row r="133" spans="2:19" ht="15" thickBot="1">
      <c r="C133" s="47" t="s">
        <v>57</v>
      </c>
      <c r="D133" s="48"/>
      <c r="E133" s="48"/>
      <c r="F133" s="227"/>
      <c r="G133" s="228"/>
      <c r="H133" s="222">
        <f>SUM(H129:J132)</f>
        <v>245.23149339780224</v>
      </c>
      <c r="I133" s="223"/>
      <c r="J133" s="224"/>
      <c r="K133" s="50" t="s">
        <v>5</v>
      </c>
      <c r="L133" s="50" t="s">
        <v>65</v>
      </c>
      <c r="M133" s="48">
        <f>SUM(M129:M130)</f>
        <v>28</v>
      </c>
      <c r="N133" s="50" t="s">
        <v>3</v>
      </c>
      <c r="O133" s="54"/>
      <c r="P133" s="51"/>
      <c r="Q133" s="55">
        <f>SUM(Q129:Q131)</f>
        <v>31.360000000000003</v>
      </c>
      <c r="R133" s="50" t="s">
        <v>5</v>
      </c>
      <c r="S133" s="45"/>
    </row>
    <row r="134" spans="2:19" ht="15" thickBot="1">
      <c r="Q134" s="45">
        <f>H133+Q133</f>
        <v>276.59149339780225</v>
      </c>
    </row>
    <row r="135" spans="2:19" ht="15" thickBot="1">
      <c r="C135" s="47" t="s">
        <v>101</v>
      </c>
      <c r="D135" s="100"/>
      <c r="E135" s="101">
        <f>H133*ข้อมูลสะพาน!E13</f>
        <v>22070.834405802201</v>
      </c>
      <c r="F135" s="95" t="s">
        <v>102</v>
      </c>
      <c r="J135" s="13"/>
      <c r="K135" s="13"/>
      <c r="L135" s="97"/>
      <c r="Q135" s="57"/>
    </row>
    <row r="136" spans="2:19" ht="15" thickBot="1">
      <c r="C136" s="54" t="s">
        <v>104</v>
      </c>
      <c r="D136" s="98"/>
      <c r="E136" s="102">
        <f>(D129+D130)*Q81</f>
        <v>5.5168127999999994</v>
      </c>
      <c r="F136" s="99" t="s">
        <v>5</v>
      </c>
      <c r="J136" s="22"/>
      <c r="K136" s="13"/>
      <c r="L136" s="97"/>
      <c r="Q136" s="57"/>
    </row>
    <row r="137" spans="2:19" ht="15" thickBot="1">
      <c r="C137" s="54" t="s">
        <v>124</v>
      </c>
      <c r="D137" s="98"/>
      <c r="E137" s="102">
        <f>Q182</f>
        <v>66</v>
      </c>
      <c r="F137" s="99" t="str">
        <f>S182</f>
        <v>ม.</v>
      </c>
      <c r="J137" s="13"/>
      <c r="K137" s="13"/>
      <c r="L137" s="97"/>
      <c r="Q137" s="57"/>
    </row>
    <row r="138" spans="2:19" ht="15" thickBot="1">
      <c r="C138" s="54" t="s">
        <v>129</v>
      </c>
      <c r="D138" s="98"/>
      <c r="E138" s="148">
        <f>Q184</f>
        <v>6</v>
      </c>
      <c r="F138" s="99" t="str">
        <f>S184</f>
        <v>ท่อน</v>
      </c>
      <c r="G138" s="134" t="s">
        <v>130</v>
      </c>
      <c r="H138" s="156">
        <f>O184</f>
        <v>11.98</v>
      </c>
      <c r="I138" s="48"/>
      <c r="J138" s="135" t="str">
        <f>P184</f>
        <v>ม.</v>
      </c>
      <c r="K138" s="13"/>
      <c r="L138" s="13"/>
      <c r="Q138" s="45"/>
    </row>
    <row r="139" spans="2:19" ht="15" thickBot="1">
      <c r="C139" s="54" t="s">
        <v>128</v>
      </c>
      <c r="D139" s="98"/>
      <c r="E139" s="148">
        <f>Q185</f>
        <v>24</v>
      </c>
      <c r="F139" s="99" t="str">
        <f>S185</f>
        <v>ท่อน</v>
      </c>
      <c r="G139" s="154" t="s">
        <v>130</v>
      </c>
      <c r="H139" s="155">
        <f>O185</f>
        <v>11.98</v>
      </c>
      <c r="I139" s="98"/>
      <c r="J139" s="99" t="str">
        <f>P185</f>
        <v>ม.</v>
      </c>
    </row>
    <row r="143" spans="2:19">
      <c r="B143" s="41" t="s">
        <v>73</v>
      </c>
      <c r="N143" t="s">
        <v>85</v>
      </c>
    </row>
    <row r="144" spans="2:19" ht="15" thickBot="1"/>
    <row r="145" spans="3:18" ht="15" thickBot="1">
      <c r="C145" s="240" t="s">
        <v>74</v>
      </c>
      <c r="D145" s="237"/>
      <c r="E145" s="237"/>
      <c r="F145" s="237"/>
      <c r="G145" s="237"/>
      <c r="H145" s="238"/>
      <c r="O145" s="114" t="s">
        <v>81</v>
      </c>
      <c r="P145" s="90" t="s">
        <v>82</v>
      </c>
      <c r="Q145" s="90" t="s">
        <v>83</v>
      </c>
      <c r="R145" s="108" t="s">
        <v>84</v>
      </c>
    </row>
    <row r="146" spans="3:18">
      <c r="C146" s="240" t="s">
        <v>75</v>
      </c>
      <c r="D146" s="238"/>
      <c r="E146" s="237" t="s">
        <v>79</v>
      </c>
      <c r="F146" s="237"/>
      <c r="G146" s="237"/>
      <c r="H146" s="238"/>
      <c r="O146" s="118">
        <f>IF(E16=5,E149,IF(E16=6,E150,IF(E16=7,E151,IF(E16=8,E152,IF(E16=9,E153,IF(E16=10,E154,IF(E16=11,E155,IF(E16=12,E156,IF(E16=13,1,IF(E16=14,1,IF(E16=15,1)))))))))))</f>
        <v>0.45</v>
      </c>
      <c r="P146" s="120">
        <f>IF(E16=5,F149,IF(E16=6,F150,IF(E16=7,F151,IF(E16=8,F152,IF(E16=9,F153,IF(E16=10,F154,IF(E16=11,F155,IF(E16=12,F156,IF(E16=13,1,IF(E16=14,1,IF(E16=15,1)))))))))))</f>
        <v>0.315</v>
      </c>
      <c r="Q146" s="120">
        <f>IF(E16=5,G149,IF(E16=6,G150,IF(E16=7,G151,IF(E16=8,G152,IF(E16=9,G153,IF(E16=10,G154,IF(E16=11,G155,IF(E16=12,G156,IF(E16=13,1,IF(E16=14,1,IF(E16=15,1)))))))))))</f>
        <v>5.5E-2</v>
      </c>
      <c r="R146" s="119">
        <f>IF(E16=5,H149,IF(E16=6,H150,IF(E16=7,H151,IF(E16=8,H152,IF(E16=9,H153,IF(E16=10,H154,IF(E16=11,H155,IF(E16=12,H156,IF(E16=13,1,IF(E16=14,1,IF(E16=15,1)))))))))))</f>
        <v>0.08</v>
      </c>
    </row>
    <row r="147" spans="3:18" ht="15" thickBot="1">
      <c r="C147" s="235" t="s">
        <v>76</v>
      </c>
      <c r="D147" s="236"/>
      <c r="E147" s="239" t="s">
        <v>80</v>
      </c>
      <c r="F147" s="239"/>
      <c r="G147" s="239"/>
      <c r="H147" s="236"/>
    </row>
    <row r="148" spans="3:18">
      <c r="C148" s="65" t="s">
        <v>77</v>
      </c>
      <c r="D148" s="66" t="s">
        <v>78</v>
      </c>
      <c r="E148" s="66" t="s">
        <v>81</v>
      </c>
      <c r="F148" s="66" t="s">
        <v>82</v>
      </c>
      <c r="G148" s="66" t="s">
        <v>83</v>
      </c>
      <c r="H148" s="67" t="s">
        <v>84</v>
      </c>
      <c r="O148" s="186" t="s">
        <v>86</v>
      </c>
      <c r="P148" s="186"/>
      <c r="Q148" s="186"/>
    </row>
    <row r="149" spans="3:18">
      <c r="C149" s="68">
        <v>5</v>
      </c>
      <c r="D149" s="2">
        <v>4.9800000000000004</v>
      </c>
      <c r="E149" s="2">
        <v>0.16</v>
      </c>
      <c r="F149" s="64">
        <v>7.0000000000000007E-2</v>
      </c>
      <c r="G149" s="64">
        <v>0.04</v>
      </c>
      <c r="H149" s="69">
        <v>0.05</v>
      </c>
      <c r="O149" s="14" t="s">
        <v>13</v>
      </c>
      <c r="P149" s="16">
        <f>((0.035*P146)+(0.5*0.02*P146)+(0.5*0.055*Q146))*2</f>
        <v>3.1375E-2</v>
      </c>
      <c r="Q149" s="15" t="s">
        <v>4</v>
      </c>
    </row>
    <row r="150" spans="3:18">
      <c r="C150" s="68">
        <v>6</v>
      </c>
      <c r="D150" s="2">
        <v>5.98</v>
      </c>
      <c r="E150" s="2">
        <v>0.19</v>
      </c>
      <c r="F150" s="64">
        <v>0.1</v>
      </c>
      <c r="G150" s="64">
        <v>0.04</v>
      </c>
      <c r="H150" s="69">
        <v>0.05</v>
      </c>
      <c r="O150" s="14" t="s">
        <v>0</v>
      </c>
      <c r="P150" s="16">
        <f>IF(E16=5,D149,IF(E16=6,D150,IF(E16=7,D151,IF(E16=8,D152,IF(E16=9,D153,IF(E16=10,D154,IF(E16=11,D155,IF(E16=12,D156,IF(E16=13,1,IF(E16=14,1,IF(E16=15,1)))))))))))</f>
        <v>11.98</v>
      </c>
      <c r="Q150" s="15" t="s">
        <v>6</v>
      </c>
    </row>
    <row r="151" spans="3:18">
      <c r="C151" s="68">
        <v>7</v>
      </c>
      <c r="D151" s="2">
        <v>6.98</v>
      </c>
      <c r="E151" s="2">
        <v>0.22</v>
      </c>
      <c r="F151" s="64">
        <v>0.155</v>
      </c>
      <c r="G151" s="64">
        <v>4.4999999999999998E-2</v>
      </c>
      <c r="H151" s="69">
        <v>0.06</v>
      </c>
      <c r="O151" s="14" t="s">
        <v>2</v>
      </c>
      <c r="P151" s="58">
        <f>ข้อมูลสะพาน!E6-1</f>
        <v>8</v>
      </c>
      <c r="Q151" s="15" t="s">
        <v>40</v>
      </c>
    </row>
    <row r="152" spans="3:18">
      <c r="C152" s="68">
        <v>8</v>
      </c>
      <c r="D152" s="2">
        <v>7.98</v>
      </c>
      <c r="E152" s="2">
        <v>0.25</v>
      </c>
      <c r="F152" s="64">
        <v>0.13500000000000001</v>
      </c>
      <c r="G152" s="64">
        <v>5.5E-2</v>
      </c>
      <c r="H152" s="69">
        <v>0.06</v>
      </c>
      <c r="O152" s="14" t="s">
        <v>14</v>
      </c>
      <c r="P152" s="25">
        <f>P149*P150*P151</f>
        <v>3.00698</v>
      </c>
      <c r="Q152" s="15" t="s">
        <v>5</v>
      </c>
    </row>
    <row r="153" spans="3:18">
      <c r="C153" s="68">
        <v>9</v>
      </c>
      <c r="D153" s="2">
        <v>8.98</v>
      </c>
      <c r="E153" s="2">
        <v>0.31</v>
      </c>
      <c r="F153" s="64">
        <v>0.17499999999999999</v>
      </c>
      <c r="G153" s="64">
        <v>5.5E-2</v>
      </c>
      <c r="H153" s="69">
        <v>0.08</v>
      </c>
    </row>
    <row r="154" spans="3:18">
      <c r="C154" s="68">
        <v>10</v>
      </c>
      <c r="D154" s="2">
        <v>9.98</v>
      </c>
      <c r="E154" s="2">
        <v>0.35</v>
      </c>
      <c r="F154" s="64">
        <v>0.215</v>
      </c>
      <c r="G154" s="64">
        <v>5.5E-2</v>
      </c>
      <c r="H154" s="69">
        <v>0.08</v>
      </c>
    </row>
    <row r="155" spans="3:18">
      <c r="C155" s="68">
        <v>11</v>
      </c>
      <c r="D155" s="2">
        <v>10.98</v>
      </c>
      <c r="E155" s="2">
        <v>0.42</v>
      </c>
      <c r="F155" s="64">
        <v>0.25800000000000001</v>
      </c>
      <c r="G155" s="64">
        <v>5.5E-2</v>
      </c>
      <c r="H155" s="69">
        <v>0.08</v>
      </c>
    </row>
    <row r="156" spans="3:18" ht="15" thickBot="1">
      <c r="C156" s="70">
        <v>12</v>
      </c>
      <c r="D156" s="71">
        <v>11.98</v>
      </c>
      <c r="E156" s="71">
        <v>0.45</v>
      </c>
      <c r="F156" s="72">
        <v>0.315</v>
      </c>
      <c r="G156" s="72">
        <v>5.5E-2</v>
      </c>
      <c r="H156" s="73">
        <v>0.08</v>
      </c>
      <c r="O156" s="186" t="s">
        <v>88</v>
      </c>
      <c r="P156" s="186"/>
      <c r="Q156" s="186"/>
    </row>
    <row r="157" spans="3:18">
      <c r="C157" s="85"/>
      <c r="O157" s="14" t="s">
        <v>13</v>
      </c>
      <c r="P157" s="75">
        <f>((0.5*D159*(D160-0.1))+(0.1*D159))*2</f>
        <v>1.8956412408959999</v>
      </c>
      <c r="Q157" s="15" t="s">
        <v>4</v>
      </c>
    </row>
    <row r="158" spans="3:18">
      <c r="O158" s="14" t="s">
        <v>0</v>
      </c>
      <c r="P158" s="16">
        <f>IF(E16=5,D149,IF(E16=6,D150,IF(E16=7,D151,IF(E16=8,D152,IF(E16=9,D153,IF(E16=10,D154,IF(E16=11,D155,IF(E16=12,D156,IF(E16=13,1,IF(E16=14,1,IF(E16=15,1)))))))))))</f>
        <v>11.98</v>
      </c>
      <c r="Q158" s="15" t="s">
        <v>6</v>
      </c>
    </row>
    <row r="159" spans="3:18">
      <c r="C159" s="114" t="s">
        <v>87</v>
      </c>
      <c r="D159" s="116">
        <f>K60/2</f>
        <v>5.7466799999999996</v>
      </c>
      <c r="E159" s="108" t="s">
        <v>6</v>
      </c>
      <c r="O159" s="14" t="s">
        <v>14</v>
      </c>
      <c r="P159" s="25">
        <f>P157*P158</f>
        <v>22.709782065934082</v>
      </c>
      <c r="Q159" s="15" t="s">
        <v>5</v>
      </c>
    </row>
    <row r="160" spans="3:18">
      <c r="C160" s="88" t="s">
        <v>46</v>
      </c>
      <c r="D160" s="117">
        <f>((1*D159)/2.5)/10</f>
        <v>0.22986719999999999</v>
      </c>
      <c r="E160" s="89" t="s">
        <v>6</v>
      </c>
    </row>
    <row r="169" spans="5:13" ht="15.75">
      <c r="E169" s="74"/>
    </row>
    <row r="171" spans="5:13">
      <c r="K171" s="82"/>
      <c r="L171" s="82"/>
      <c r="M171" s="82"/>
    </row>
    <row r="172" spans="5:13">
      <c r="F172" s="186" t="s">
        <v>95</v>
      </c>
      <c r="G172" s="186"/>
      <c r="H172" s="186"/>
      <c r="K172" s="77"/>
      <c r="L172" s="78"/>
      <c r="M172" s="79"/>
    </row>
    <row r="173" spans="5:13">
      <c r="F173" s="14" t="s">
        <v>13</v>
      </c>
      <c r="G173" s="16">
        <v>4.4499999999999998E-2</v>
      </c>
      <c r="H173" s="15" t="s">
        <v>4</v>
      </c>
      <c r="K173" s="77"/>
      <c r="L173" s="78"/>
      <c r="M173" s="79"/>
    </row>
    <row r="174" spans="5:13">
      <c r="F174" s="14" t="s">
        <v>0</v>
      </c>
      <c r="G174" s="16">
        <f>P150</f>
        <v>11.98</v>
      </c>
      <c r="H174" s="15" t="s">
        <v>6</v>
      </c>
      <c r="K174" s="77"/>
      <c r="L174" s="80"/>
      <c r="M174" s="79"/>
    </row>
    <row r="175" spans="5:13">
      <c r="F175" s="14" t="s">
        <v>2</v>
      </c>
      <c r="G175" s="58">
        <v>2</v>
      </c>
      <c r="H175" s="15" t="s">
        <v>90</v>
      </c>
      <c r="K175" s="77"/>
      <c r="L175" s="81"/>
      <c r="M175" s="79"/>
    </row>
    <row r="176" spans="5:13">
      <c r="F176" s="14" t="s">
        <v>14</v>
      </c>
      <c r="G176" s="25">
        <f>G173*G174*G175</f>
        <v>1.0662199999999999</v>
      </c>
      <c r="H176" s="15" t="s">
        <v>5</v>
      </c>
      <c r="K176" s="77"/>
      <c r="L176" s="77"/>
      <c r="M176" s="77"/>
    </row>
    <row r="177" spans="6:19" ht="15" thickBot="1"/>
    <row r="178" spans="6:19">
      <c r="F178" s="186" t="s">
        <v>96</v>
      </c>
      <c r="G178" s="186"/>
      <c r="H178" s="186"/>
      <c r="K178" s="243" t="s">
        <v>98</v>
      </c>
      <c r="L178" s="244"/>
      <c r="M178" s="247">
        <f>P158</f>
        <v>11.98</v>
      </c>
      <c r="N178" s="244" t="s">
        <v>6</v>
      </c>
      <c r="O178" s="249" t="s">
        <v>93</v>
      </c>
      <c r="P178" s="250"/>
      <c r="Q178" s="253">
        <f>P152+P159+G176+G183+G190</f>
        <v>30.015150065934083</v>
      </c>
      <c r="R178" s="254"/>
      <c r="S178" s="241" t="s">
        <v>5</v>
      </c>
    </row>
    <row r="179" spans="6:19" ht="15" thickBot="1">
      <c r="F179" s="14" t="s">
        <v>13</v>
      </c>
      <c r="G179" s="16">
        <v>8.3099999999999993E-2</v>
      </c>
      <c r="H179" s="15" t="s">
        <v>4</v>
      </c>
      <c r="K179" s="245"/>
      <c r="L179" s="246"/>
      <c r="M179" s="248"/>
      <c r="N179" s="246"/>
      <c r="O179" s="251"/>
      <c r="P179" s="252"/>
      <c r="Q179" s="255"/>
      <c r="R179" s="256"/>
      <c r="S179" s="242"/>
    </row>
    <row r="180" spans="6:19">
      <c r="F180" s="14" t="s">
        <v>19</v>
      </c>
      <c r="G180" s="16">
        <v>0.2</v>
      </c>
      <c r="H180" s="15" t="s">
        <v>6</v>
      </c>
    </row>
    <row r="181" spans="6:19">
      <c r="F181" s="14" t="s">
        <v>2</v>
      </c>
      <c r="G181" s="83">
        <f>IF(E16=5,5,IF(E16=6,4,IF(E16=7,5,IF(E16=8,5,IF(E16=8.75,6,IF(E16=9,6,IF(E16=10,6,IF(E16=11,7,IF(E16=12,8,IF(E16=12.5,8,IF(E16=13,8,IF(E16=14,9,IF(E16=15,10)))))))))))))</f>
        <v>8</v>
      </c>
      <c r="H181" s="15" t="s">
        <v>3</v>
      </c>
      <c r="K181" s="220" t="s">
        <v>121</v>
      </c>
      <c r="L181" s="221"/>
      <c r="M181" s="221"/>
      <c r="N181" s="221"/>
      <c r="O181" s="221"/>
      <c r="P181" s="221"/>
      <c r="Q181" s="257">
        <f>ROUND(N106*2,0)</f>
        <v>22</v>
      </c>
      <c r="R181" s="230"/>
      <c r="S181" s="139" t="s">
        <v>122</v>
      </c>
    </row>
    <row r="182" spans="6:19">
      <c r="F182" s="14" t="s">
        <v>2</v>
      </c>
      <c r="G182" s="58">
        <v>2</v>
      </c>
      <c r="H182" s="15" t="s">
        <v>90</v>
      </c>
      <c r="K182" s="140" t="s">
        <v>123</v>
      </c>
      <c r="L182" s="141"/>
      <c r="M182" s="141"/>
      <c r="N182" s="142">
        <f>ข้อมูลสะพาน!E11</f>
        <v>3</v>
      </c>
      <c r="O182" s="142" t="s">
        <v>92</v>
      </c>
      <c r="P182" s="143"/>
      <c r="Q182" s="231">
        <f>Q181*N182</f>
        <v>66</v>
      </c>
      <c r="R182" s="232"/>
      <c r="S182" s="144" t="s">
        <v>6</v>
      </c>
    </row>
    <row r="183" spans="6:19">
      <c r="F183" s="14" t="s">
        <v>14</v>
      </c>
      <c r="G183" s="25">
        <f>G179*G180*G182*G181</f>
        <v>0.26591999999999999</v>
      </c>
      <c r="H183" s="15" t="s">
        <v>5</v>
      </c>
    </row>
    <row r="184" spans="6:19">
      <c r="K184" s="140" t="s">
        <v>125</v>
      </c>
      <c r="L184" s="141"/>
      <c r="M184" s="141"/>
      <c r="N184" s="141"/>
      <c r="O184" s="147">
        <f>P150</f>
        <v>11.98</v>
      </c>
      <c r="P184" s="144" t="s">
        <v>6</v>
      </c>
      <c r="Q184" s="231">
        <f>2*N182</f>
        <v>6</v>
      </c>
      <c r="R184" s="232"/>
      <c r="S184" s="144" t="s">
        <v>126</v>
      </c>
    </row>
    <row r="185" spans="6:19">
      <c r="K185" s="140" t="s">
        <v>127</v>
      </c>
      <c r="L185" s="141"/>
      <c r="M185" s="141"/>
      <c r="N185" s="141"/>
      <c r="O185" s="147">
        <f>O184</f>
        <v>11.98</v>
      </c>
      <c r="P185" s="144" t="s">
        <v>6</v>
      </c>
      <c r="Q185" s="231">
        <f>(ข้อมูลสะพาน!E6-1)*N182</f>
        <v>24</v>
      </c>
      <c r="R185" s="232"/>
      <c r="S185" s="144" t="s">
        <v>126</v>
      </c>
    </row>
    <row r="186" spans="6:19">
      <c r="F186" s="186" t="s">
        <v>97</v>
      </c>
      <c r="G186" s="186"/>
      <c r="H186" s="186"/>
    </row>
    <row r="187" spans="6:19">
      <c r="F187" s="14" t="s">
        <v>13</v>
      </c>
      <c r="G187" s="16">
        <v>0.12379999999999999</v>
      </c>
      <c r="H187" s="15" t="s">
        <v>4</v>
      </c>
    </row>
    <row r="188" spans="6:19">
      <c r="F188" s="14" t="s">
        <v>0</v>
      </c>
      <c r="G188" s="16">
        <f>P150</f>
        <v>11.98</v>
      </c>
      <c r="H188" s="15" t="s">
        <v>6</v>
      </c>
    </row>
    <row r="189" spans="6:19">
      <c r="F189" s="14" t="s">
        <v>2</v>
      </c>
      <c r="G189" s="58">
        <v>2</v>
      </c>
      <c r="H189" s="15" t="s">
        <v>90</v>
      </c>
    </row>
    <row r="190" spans="6:19">
      <c r="F190" s="14" t="s">
        <v>14</v>
      </c>
      <c r="G190" s="25">
        <f>G187*G188*G189</f>
        <v>2.9662479999999998</v>
      </c>
      <c r="H190" s="15" t="s">
        <v>5</v>
      </c>
    </row>
  </sheetData>
  <sheetProtection password="EB11" sheet="1" objects="1" scenarios="1" formatCells="0"/>
  <mergeCells count="71">
    <mergeCell ref="P33:R33"/>
    <mergeCell ref="B7:C7"/>
    <mergeCell ref="E7:F7"/>
    <mergeCell ref="B8:C8"/>
    <mergeCell ref="B9:C9"/>
    <mergeCell ref="B10:C10"/>
    <mergeCell ref="B11:C11"/>
    <mergeCell ref="B12:C12"/>
    <mergeCell ref="C15:F15"/>
    <mergeCell ref="K21:Q21"/>
    <mergeCell ref="K22:Q22"/>
    <mergeCell ref="C27:D27"/>
    <mergeCell ref="B63:C63"/>
    <mergeCell ref="P63:R63"/>
    <mergeCell ref="D48:F48"/>
    <mergeCell ref="P48:Q48"/>
    <mergeCell ref="P49:Q49"/>
    <mergeCell ref="P50:R50"/>
    <mergeCell ref="B59:C59"/>
    <mergeCell ref="E59:F59"/>
    <mergeCell ref="B60:C60"/>
    <mergeCell ref="K60:Q60"/>
    <mergeCell ref="B61:C61"/>
    <mergeCell ref="K61:Q61"/>
    <mergeCell ref="B62:C62"/>
    <mergeCell ref="J117:L118"/>
    <mergeCell ref="M117:N118"/>
    <mergeCell ref="O117:O118"/>
    <mergeCell ref="B64:C64"/>
    <mergeCell ref="P71:R71"/>
    <mergeCell ref="M101:O101"/>
    <mergeCell ref="M109:O109"/>
    <mergeCell ref="M110:O110"/>
    <mergeCell ref="Q114:R114"/>
    <mergeCell ref="P78:R78"/>
    <mergeCell ref="J115:L116"/>
    <mergeCell ref="M115:N116"/>
    <mergeCell ref="O115:O116"/>
    <mergeCell ref="Q115:R115"/>
    <mergeCell ref="Q116:S116"/>
    <mergeCell ref="F129:G129"/>
    <mergeCell ref="H129:J129"/>
    <mergeCell ref="F130:G130"/>
    <mergeCell ref="H130:J130"/>
    <mergeCell ref="F131:G131"/>
    <mergeCell ref="H131:J131"/>
    <mergeCell ref="F186:H186"/>
    <mergeCell ref="O148:Q148"/>
    <mergeCell ref="O156:Q156"/>
    <mergeCell ref="K178:L179"/>
    <mergeCell ref="M178:M179"/>
    <mergeCell ref="N178:N179"/>
    <mergeCell ref="O178:P179"/>
    <mergeCell ref="Q178:R179"/>
    <mergeCell ref="Q181:R181"/>
    <mergeCell ref="K181:P181"/>
    <mergeCell ref="Q182:R182"/>
    <mergeCell ref="Q184:R184"/>
    <mergeCell ref="Q185:R185"/>
    <mergeCell ref="F132:G132"/>
    <mergeCell ref="H132:J132"/>
    <mergeCell ref="S178:S179"/>
    <mergeCell ref="F172:H172"/>
    <mergeCell ref="F178:H178"/>
    <mergeCell ref="F133:G133"/>
    <mergeCell ref="H133:J133"/>
    <mergeCell ref="C145:H145"/>
    <mergeCell ref="C146:D146"/>
    <mergeCell ref="E146:H146"/>
    <mergeCell ref="C147:D147"/>
    <mergeCell ref="E147:H147"/>
  </mergeCells>
  <pageMargins left="0.70866141732283472" right="0.70866141732283472" top="0.74803149606299213" bottom="0.74803149606299213" header="0.31496062992125984" footer="0.31496062992125984"/>
  <pageSetup scale="68" orientation="landscape" r:id="rId1"/>
  <colBreaks count="1" manualBreakCount="1">
    <brk id="19" min="55" max="12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G3"/>
  <sheetViews>
    <sheetView workbookViewId="0">
      <selection activeCell="G2" sqref="G2"/>
    </sheetView>
  </sheetViews>
  <sheetFormatPr defaultRowHeight="14.25"/>
  <sheetData>
    <row r="2" spans="1:7">
      <c r="A2">
        <v>1</v>
      </c>
      <c r="C2" s="6" t="s">
        <v>71</v>
      </c>
      <c r="E2" s="28" t="s">
        <v>71</v>
      </c>
      <c r="F2" s="28" t="s">
        <v>72</v>
      </c>
      <c r="G2">
        <f>((1*C3)/2.5)/10</f>
        <v>0.18</v>
      </c>
    </row>
    <row r="3" spans="1:7">
      <c r="A3">
        <v>2.5</v>
      </c>
      <c r="C3">
        <v>4.5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6</vt:i4>
      </vt:variant>
      <vt:variant>
        <vt:lpstr>ช่วงที่มีชื่อ</vt:lpstr>
      </vt:variant>
      <vt:variant>
        <vt:i4>4</vt:i4>
      </vt:variant>
    </vt:vector>
  </HeadingPairs>
  <TitlesOfParts>
    <vt:vector size="10" baseType="lpstr">
      <vt:lpstr>ข้อมูลสะพาน</vt:lpstr>
      <vt:lpstr>แบบมีเข็มมีทางเท้า</vt:lpstr>
      <vt:lpstr>แบบมีเข็มไม่มีทางเท้า</vt:lpstr>
      <vt:lpstr>แบบฐานแผ่มีทางเท้า</vt:lpstr>
      <vt:lpstr>แบบฐานแผ่ไม่มีทางเท้า</vt:lpstr>
      <vt:lpstr>Sheet2</vt:lpstr>
      <vt:lpstr>แบบฐานแผ่มีทางเท้า!Print_Area</vt:lpstr>
      <vt:lpstr>แบบฐานแผ่ไม่มีทางเท้า!Print_Area</vt:lpstr>
      <vt:lpstr>แบบมีเข็มมีทางเท้า!Print_Area</vt:lpstr>
      <vt:lpstr>แบบมีเข็มไม่มีทางเท้า!Print_Area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cp:lastModifiedBy>n</cp:lastModifiedBy>
  <cp:lastPrinted>2016-09-21T04:10:23Z</cp:lastPrinted>
  <dcterms:created xsi:type="dcterms:W3CDTF">2016-08-30T08:08:44Z</dcterms:created>
  <dcterms:modified xsi:type="dcterms:W3CDTF">2016-10-07T09:32:54Z</dcterms:modified>
</cp:coreProperties>
</file>