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2108" windowHeight="9072" tabRatio="758" activeTab="4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งานระบบไฟฟ้า!$A$1:$M$67</definedName>
    <definedName name="_xlnm.Print_Area" localSheetId="4">งานระบบประปา!$A$1:$M$93</definedName>
    <definedName name="_xlnm.Print_Area" localSheetId="2">'งานสถาปัตยกรรม '!$A$1:$M$135</definedName>
    <definedName name="_xlnm.Print_Area" localSheetId="1">หมวดงานโครงสร้าง!$A$1:$M$69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K84" i="6" l="1"/>
  <c r="I84" i="6"/>
  <c r="L84" i="6" s="1"/>
  <c r="H84" i="6"/>
  <c r="K83" i="6"/>
  <c r="I83" i="6"/>
  <c r="L83" i="6" s="1"/>
  <c r="K82" i="6"/>
  <c r="L82" i="6" s="1"/>
  <c r="I82" i="6"/>
  <c r="L81" i="6"/>
  <c r="K81" i="6"/>
  <c r="I81" i="6"/>
  <c r="K80" i="6"/>
  <c r="L80" i="6" s="1"/>
  <c r="H80" i="6"/>
  <c r="I80" i="6" s="1"/>
  <c r="K79" i="6"/>
  <c r="L79" i="6" s="1"/>
  <c r="H79" i="6"/>
  <c r="I79" i="6" s="1"/>
  <c r="K78" i="6"/>
  <c r="K92" i="6" s="1"/>
  <c r="I78" i="6"/>
  <c r="K73" i="6"/>
  <c r="L73" i="6" s="1"/>
  <c r="J73" i="6"/>
  <c r="I73" i="6"/>
  <c r="I76" i="6" s="1"/>
  <c r="I12" i="6" s="1"/>
  <c r="K72" i="6"/>
  <c r="L72" i="6" s="1"/>
  <c r="I72" i="6"/>
  <c r="K60" i="6"/>
  <c r="I60" i="6"/>
  <c r="L60" i="6" s="1"/>
  <c r="I56" i="6"/>
  <c r="C56" i="6"/>
  <c r="K56" i="6" s="1"/>
  <c r="I55" i="6"/>
  <c r="C55" i="6"/>
  <c r="K55" i="6" s="1"/>
  <c r="K54" i="6"/>
  <c r="I54" i="6"/>
  <c r="L54" i="6" s="1"/>
  <c r="C53" i="6"/>
  <c r="K53" i="6" s="1"/>
  <c r="K52" i="6"/>
  <c r="L52" i="6" s="1"/>
  <c r="K51" i="6"/>
  <c r="I51" i="6"/>
  <c r="L51" i="6" s="1"/>
  <c r="K50" i="6"/>
  <c r="I50" i="6"/>
  <c r="L50" i="6" s="1"/>
  <c r="H50" i="6"/>
  <c r="K48" i="6"/>
  <c r="I48" i="6"/>
  <c r="L48" i="6" s="1"/>
  <c r="K47" i="6"/>
  <c r="L47" i="6" s="1"/>
  <c r="J47" i="6"/>
  <c r="I47" i="6"/>
  <c r="H45" i="6"/>
  <c r="C45" i="6"/>
  <c r="I45" i="6" s="1"/>
  <c r="K44" i="6"/>
  <c r="H44" i="6"/>
  <c r="I44" i="6" s="1"/>
  <c r="C44" i="6"/>
  <c r="C38" i="6"/>
  <c r="K38" i="6" s="1"/>
  <c r="C37" i="6"/>
  <c r="K37" i="6" s="1"/>
  <c r="K36" i="6"/>
  <c r="I36" i="6"/>
  <c r="L36" i="6" s="1"/>
  <c r="I35" i="6"/>
  <c r="L35" i="6" s="1"/>
  <c r="C35" i="6"/>
  <c r="K35" i="6" s="1"/>
  <c r="K34" i="6"/>
  <c r="I34" i="6"/>
  <c r="L34" i="6" s="1"/>
  <c r="K33" i="6"/>
  <c r="H33" i="6"/>
  <c r="I33" i="6" s="1"/>
  <c r="L33" i="6" s="1"/>
  <c r="K32" i="6"/>
  <c r="I32" i="6"/>
  <c r="L32" i="6" s="1"/>
  <c r="K30" i="6"/>
  <c r="J30" i="6"/>
  <c r="I30" i="6"/>
  <c r="L30" i="6" s="1"/>
  <c r="K29" i="6"/>
  <c r="J29" i="6"/>
  <c r="I29" i="6"/>
  <c r="L29" i="6" s="1"/>
  <c r="K28" i="6"/>
  <c r="I28" i="6"/>
  <c r="L28" i="6" s="1"/>
  <c r="L27" i="6"/>
  <c r="K27" i="6"/>
  <c r="I27" i="6"/>
  <c r="K26" i="6"/>
  <c r="I26" i="6"/>
  <c r="L26" i="6" s="1"/>
  <c r="K25" i="6"/>
  <c r="I25" i="6"/>
  <c r="H31" i="6" s="1"/>
  <c r="K22" i="6"/>
  <c r="I22" i="6"/>
  <c r="L22" i="6" s="1"/>
  <c r="H22" i="6"/>
  <c r="K21" i="6"/>
  <c r="I21" i="6"/>
  <c r="L21" i="6" s="1"/>
  <c r="H21" i="6"/>
  <c r="K20" i="6"/>
  <c r="I20" i="6"/>
  <c r="H23" i="6" s="1"/>
  <c r="H20" i="6"/>
  <c r="B13" i="6"/>
  <c r="A13" i="6"/>
  <c r="B12" i="6"/>
  <c r="A12" i="6"/>
  <c r="B11" i="6"/>
  <c r="A11" i="6"/>
  <c r="B10" i="6"/>
  <c r="A10" i="6"/>
  <c r="B9" i="6"/>
  <c r="A9" i="6"/>
  <c r="D12" i="1"/>
  <c r="K66" i="5"/>
  <c r="K65" i="5"/>
  <c r="I65" i="5"/>
  <c r="I66" i="5" s="1"/>
  <c r="K62" i="5"/>
  <c r="I62" i="5"/>
  <c r="L62" i="5" s="1"/>
  <c r="K61" i="5"/>
  <c r="L61" i="5" s="1"/>
  <c r="I61" i="5"/>
  <c r="K60" i="5"/>
  <c r="I60" i="5"/>
  <c r="K59" i="5"/>
  <c r="I59" i="5"/>
  <c r="K58" i="5"/>
  <c r="I58" i="5"/>
  <c r="L58" i="5" s="1"/>
  <c r="K57" i="5"/>
  <c r="I57" i="5"/>
  <c r="L57" i="5" s="1"/>
  <c r="K56" i="5"/>
  <c r="I56" i="5"/>
  <c r="L56" i="5" s="1"/>
  <c r="K53" i="5"/>
  <c r="L53" i="5" s="1"/>
  <c r="I53" i="5"/>
  <c r="K52" i="5"/>
  <c r="I52" i="5"/>
  <c r="K51" i="5"/>
  <c r="I51" i="5"/>
  <c r="K50" i="5"/>
  <c r="I50" i="5"/>
  <c r="K49" i="5"/>
  <c r="I49" i="5"/>
  <c r="L49" i="5" s="1"/>
  <c r="K48" i="5"/>
  <c r="I48" i="5"/>
  <c r="L48" i="5" s="1"/>
  <c r="K47" i="5"/>
  <c r="I47" i="5"/>
  <c r="L47" i="5" s="1"/>
  <c r="G46" i="5"/>
  <c r="K46" i="5" s="1"/>
  <c r="I43" i="5"/>
  <c r="G43" i="5"/>
  <c r="K43" i="5" s="1"/>
  <c r="I42" i="5"/>
  <c r="G42" i="5"/>
  <c r="K42" i="5" s="1"/>
  <c r="K41" i="5"/>
  <c r="I41" i="5"/>
  <c r="L41" i="5" s="1"/>
  <c r="K40" i="5"/>
  <c r="I40" i="5"/>
  <c r="K39" i="5"/>
  <c r="I39" i="5"/>
  <c r="L39" i="5" s="1"/>
  <c r="K38" i="5"/>
  <c r="I38" i="5"/>
  <c r="L38" i="5" s="1"/>
  <c r="K37" i="5"/>
  <c r="I37" i="5"/>
  <c r="K33" i="5"/>
  <c r="G33" i="5"/>
  <c r="I33" i="5" s="1"/>
  <c r="G32" i="5"/>
  <c r="I32" i="5" s="1"/>
  <c r="K31" i="5"/>
  <c r="G31" i="5"/>
  <c r="I31" i="5" s="1"/>
  <c r="G30" i="5"/>
  <c r="I30" i="5" s="1"/>
  <c r="K29" i="5"/>
  <c r="G29" i="5"/>
  <c r="I29" i="5" s="1"/>
  <c r="L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K16" i="5"/>
  <c r="I16" i="5"/>
  <c r="L16" i="5" s="1"/>
  <c r="K15" i="5"/>
  <c r="I15" i="5"/>
  <c r="L15" i="5" s="1"/>
  <c r="K14" i="5"/>
  <c r="I14" i="5"/>
  <c r="L14" i="5" s="1"/>
  <c r="K13" i="5"/>
  <c r="I13" i="5"/>
  <c r="K12" i="5"/>
  <c r="I12" i="5"/>
  <c r="K11" i="5"/>
  <c r="K17" i="5" s="1"/>
  <c r="I11" i="5"/>
  <c r="K10" i="5"/>
  <c r="I10" i="5"/>
  <c r="I17" i="5" s="1"/>
  <c r="D8" i="1"/>
  <c r="K67" i="7"/>
  <c r="I67" i="7"/>
  <c r="L67" i="7" s="1"/>
  <c r="K66" i="7"/>
  <c r="I66" i="7"/>
  <c r="L66" i="7" s="1"/>
  <c r="K65" i="7"/>
  <c r="L65" i="7" s="1"/>
  <c r="I65" i="7"/>
  <c r="E65" i="7"/>
  <c r="K64" i="7"/>
  <c r="I64" i="7"/>
  <c r="L64" i="7" s="1"/>
  <c r="E64" i="7"/>
  <c r="K63" i="7"/>
  <c r="I63" i="7"/>
  <c r="L63" i="7" s="1"/>
  <c r="L62" i="7"/>
  <c r="K62" i="7"/>
  <c r="I62" i="7"/>
  <c r="K59" i="7"/>
  <c r="I59" i="7"/>
  <c r="L59" i="7" s="1"/>
  <c r="K58" i="7"/>
  <c r="I58" i="7"/>
  <c r="L58" i="7" s="1"/>
  <c r="K57" i="7"/>
  <c r="I57" i="7"/>
  <c r="L57" i="7" s="1"/>
  <c r="L56" i="7"/>
  <c r="K56" i="7"/>
  <c r="I56" i="7"/>
  <c r="K54" i="7"/>
  <c r="G54" i="7"/>
  <c r="I54" i="7" s="1"/>
  <c r="L54" i="7" s="1"/>
  <c r="K53" i="7"/>
  <c r="I53" i="7"/>
  <c r="L53" i="7" s="1"/>
  <c r="K52" i="7"/>
  <c r="I52" i="7"/>
  <c r="L52" i="7" s="1"/>
  <c r="K51" i="7"/>
  <c r="I51" i="7"/>
  <c r="L51" i="7" s="1"/>
  <c r="L47" i="7"/>
  <c r="K47" i="7"/>
  <c r="I47" i="7"/>
  <c r="K46" i="7"/>
  <c r="I46" i="7"/>
  <c r="L46" i="7" s="1"/>
  <c r="K45" i="7"/>
  <c r="I45" i="7"/>
  <c r="L45" i="7" s="1"/>
  <c r="K44" i="7"/>
  <c r="I44" i="7"/>
  <c r="L44" i="7" s="1"/>
  <c r="E44" i="7"/>
  <c r="K43" i="7"/>
  <c r="I43" i="7"/>
  <c r="L43" i="7" s="1"/>
  <c r="L41" i="7"/>
  <c r="K41" i="7"/>
  <c r="I41" i="7"/>
  <c r="K40" i="7"/>
  <c r="I40" i="7"/>
  <c r="L40" i="7" s="1"/>
  <c r="K39" i="7"/>
  <c r="I39" i="7"/>
  <c r="L39" i="7" s="1"/>
  <c r="K38" i="7"/>
  <c r="I38" i="7"/>
  <c r="L38" i="7" s="1"/>
  <c r="L37" i="7"/>
  <c r="K37" i="7"/>
  <c r="I37" i="7"/>
  <c r="K35" i="7"/>
  <c r="G35" i="7"/>
  <c r="I35" i="7" s="1"/>
  <c r="L35" i="7" s="1"/>
  <c r="K34" i="7"/>
  <c r="I34" i="7"/>
  <c r="L34" i="7" s="1"/>
  <c r="K33" i="7"/>
  <c r="I33" i="7"/>
  <c r="L33" i="7" s="1"/>
  <c r="K32" i="7"/>
  <c r="I32" i="7"/>
  <c r="L32" i="7" s="1"/>
  <c r="L31" i="7"/>
  <c r="K31" i="7"/>
  <c r="I31" i="7"/>
  <c r="K30" i="7"/>
  <c r="I30" i="7"/>
  <c r="L30" i="7" s="1"/>
  <c r="K29" i="7"/>
  <c r="I29" i="7"/>
  <c r="L29" i="7" s="1"/>
  <c r="K28" i="7"/>
  <c r="I28" i="7"/>
  <c r="L28" i="7" s="1"/>
  <c r="L24" i="7"/>
  <c r="K24" i="7"/>
  <c r="I24" i="7"/>
  <c r="K23" i="7"/>
  <c r="I23" i="7"/>
  <c r="L23" i="7" s="1"/>
  <c r="K22" i="7"/>
  <c r="I22" i="7"/>
  <c r="L22" i="7" s="1"/>
  <c r="G20" i="7"/>
  <c r="K20" i="7" s="1"/>
  <c r="K19" i="7"/>
  <c r="I19" i="7"/>
  <c r="L19" i="7" s="1"/>
  <c r="L18" i="7"/>
  <c r="K18" i="7"/>
  <c r="I18" i="7"/>
  <c r="K17" i="7"/>
  <c r="I17" i="7"/>
  <c r="L17" i="7" s="1"/>
  <c r="K16" i="7"/>
  <c r="I16" i="7"/>
  <c r="L16" i="7" s="1"/>
  <c r="K15" i="7"/>
  <c r="I15" i="7"/>
  <c r="L15" i="7" s="1"/>
  <c r="L14" i="7"/>
  <c r="K14" i="7"/>
  <c r="I14" i="7"/>
  <c r="K13" i="7"/>
  <c r="I13" i="7"/>
  <c r="L13" i="7" s="1"/>
  <c r="P12" i="7"/>
  <c r="K12" i="7"/>
  <c r="I12" i="7"/>
  <c r="L12" i="7" s="1"/>
  <c r="P11" i="7"/>
  <c r="K11" i="7"/>
  <c r="I11" i="7"/>
  <c r="L11" i="7" s="1"/>
  <c r="K10" i="7"/>
  <c r="K69" i="7" s="1"/>
  <c r="I10" i="7"/>
  <c r="L10" i="7" s="1"/>
  <c r="A5" i="7"/>
  <c r="A4" i="7"/>
  <c r="M3" i="7"/>
  <c r="A3" i="7"/>
  <c r="I23" i="6" l="1"/>
  <c r="L23" i="6" s="1"/>
  <c r="J23" i="6"/>
  <c r="K23" i="6" s="1"/>
  <c r="J31" i="6"/>
  <c r="K31" i="6" s="1"/>
  <c r="I31" i="6"/>
  <c r="H46" i="6"/>
  <c r="K41" i="6"/>
  <c r="K9" i="6" s="1"/>
  <c r="L56" i="6"/>
  <c r="L76" i="6"/>
  <c r="L12" i="6" s="1"/>
  <c r="I92" i="6"/>
  <c r="K13" i="6"/>
  <c r="L55" i="6"/>
  <c r="L44" i="6"/>
  <c r="K45" i="6"/>
  <c r="L45" i="6" s="1"/>
  <c r="I53" i="6"/>
  <c r="L53" i="6" s="1"/>
  <c r="H61" i="6"/>
  <c r="K76" i="6"/>
  <c r="K12" i="6" s="1"/>
  <c r="L78" i="6"/>
  <c r="L92" i="6" s="1"/>
  <c r="L20" i="6"/>
  <c r="L25" i="6"/>
  <c r="I37" i="6"/>
  <c r="L37" i="6" s="1"/>
  <c r="I38" i="6"/>
  <c r="L38" i="6" s="1"/>
  <c r="L10" i="5"/>
  <c r="L17" i="5" s="1"/>
  <c r="I44" i="5"/>
  <c r="K44" i="5"/>
  <c r="L40" i="5"/>
  <c r="L42" i="5"/>
  <c r="K54" i="5"/>
  <c r="L50" i="5"/>
  <c r="L52" i="5"/>
  <c r="K63" i="5"/>
  <c r="L59" i="5"/>
  <c r="L11" i="5"/>
  <c r="L13" i="5"/>
  <c r="K20" i="5"/>
  <c r="L20" i="5" s="1"/>
  <c r="K22" i="5"/>
  <c r="L22" i="5" s="1"/>
  <c r="K24" i="5"/>
  <c r="L24" i="5" s="1"/>
  <c r="K26" i="5"/>
  <c r="L26" i="5" s="1"/>
  <c r="K28" i="5"/>
  <c r="L28" i="5" s="1"/>
  <c r="K30" i="5"/>
  <c r="L30" i="5" s="1"/>
  <c r="K32" i="5"/>
  <c r="L32" i="5" s="1"/>
  <c r="L31" i="5"/>
  <c r="L33" i="5"/>
  <c r="L37" i="5"/>
  <c r="L43" i="5"/>
  <c r="L51" i="5"/>
  <c r="L60" i="5"/>
  <c r="L63" i="5" s="1"/>
  <c r="L12" i="5"/>
  <c r="K19" i="5"/>
  <c r="K35" i="5" s="1"/>
  <c r="K67" i="5" s="1"/>
  <c r="K21" i="5"/>
  <c r="L21" i="5" s="1"/>
  <c r="K23" i="5"/>
  <c r="L23" i="5" s="1"/>
  <c r="K25" i="5"/>
  <c r="L25" i="5" s="1"/>
  <c r="K27" i="5"/>
  <c r="L27" i="5" s="1"/>
  <c r="I35" i="5"/>
  <c r="L44" i="5"/>
  <c r="I46" i="5"/>
  <c r="I63" i="5"/>
  <c r="L65" i="5"/>
  <c r="L66" i="5" s="1"/>
  <c r="L69" i="7"/>
  <c r="I20" i="7"/>
  <c r="L20" i="7" s="1"/>
  <c r="I69" i="7"/>
  <c r="O73" i="3"/>
  <c r="S71" i="3"/>
  <c r="T71" i="3" s="1"/>
  <c r="P71" i="3"/>
  <c r="Q71" i="3" s="1"/>
  <c r="O71" i="3"/>
  <c r="O70" i="3"/>
  <c r="S70" i="3" s="1"/>
  <c r="T70" i="3" s="1"/>
  <c r="S69" i="3"/>
  <c r="T69" i="3" s="1"/>
  <c r="P69" i="3"/>
  <c r="Q69" i="3" s="1"/>
  <c r="O69" i="3"/>
  <c r="O62" i="3"/>
  <c r="P62" i="3" s="1"/>
  <c r="Q62" i="3" s="1"/>
  <c r="S61" i="3"/>
  <c r="T61" i="3" s="1"/>
  <c r="P61" i="3"/>
  <c r="Q61" i="3" s="1"/>
  <c r="O61" i="3"/>
  <c r="O60" i="3"/>
  <c r="S60" i="3" s="1"/>
  <c r="T60" i="3" s="1"/>
  <c r="S59" i="3"/>
  <c r="T59" i="3" s="1"/>
  <c r="P59" i="3"/>
  <c r="Q59" i="3" s="1"/>
  <c r="O59" i="3"/>
  <c r="O58" i="3"/>
  <c r="P58" i="3" s="1"/>
  <c r="Q58" i="3" s="1"/>
  <c r="S57" i="3"/>
  <c r="T57" i="3" s="1"/>
  <c r="P57" i="3"/>
  <c r="Q57" i="3" s="1"/>
  <c r="O57" i="3"/>
  <c r="T40" i="3"/>
  <c r="S40" i="3"/>
  <c r="P40" i="3"/>
  <c r="O40" i="3"/>
  <c r="T39" i="3"/>
  <c r="S39" i="3"/>
  <c r="P39" i="3"/>
  <c r="O39" i="3"/>
  <c r="T38" i="3"/>
  <c r="T42" i="3" s="1"/>
  <c r="U42" i="3" s="1"/>
  <c r="S38" i="3"/>
  <c r="P38" i="3"/>
  <c r="P42" i="3" s="1"/>
  <c r="Q42" i="3" s="1"/>
  <c r="O38" i="3"/>
  <c r="U23" i="3"/>
  <c r="T23" i="3"/>
  <c r="Q23" i="3"/>
  <c r="P23" i="3"/>
  <c r="I30" i="3"/>
  <c r="L30" i="3" s="1"/>
  <c r="K132" i="3"/>
  <c r="I132" i="3"/>
  <c r="K130" i="3"/>
  <c r="L130" i="3" s="1"/>
  <c r="I130" i="3"/>
  <c r="E129" i="3"/>
  <c r="K128" i="3"/>
  <c r="I128" i="3"/>
  <c r="K126" i="3"/>
  <c r="I126" i="3"/>
  <c r="E125" i="3"/>
  <c r="K124" i="3"/>
  <c r="L124" i="3" s="1"/>
  <c r="I124" i="3"/>
  <c r="E124" i="3"/>
  <c r="E123" i="3"/>
  <c r="K122" i="3"/>
  <c r="I122" i="3"/>
  <c r="L122" i="3" s="1"/>
  <c r="K115" i="3"/>
  <c r="I115" i="3"/>
  <c r="I120" i="3" s="1"/>
  <c r="K108" i="3"/>
  <c r="I108" i="3"/>
  <c r="K107" i="3"/>
  <c r="I107" i="3"/>
  <c r="K106" i="3"/>
  <c r="I106" i="3"/>
  <c r="K105" i="3"/>
  <c r="I105" i="3"/>
  <c r="K104" i="3"/>
  <c r="L104" i="3" s="1"/>
  <c r="I104" i="3"/>
  <c r="K103" i="3"/>
  <c r="I103" i="3"/>
  <c r="K102" i="3"/>
  <c r="I102" i="3"/>
  <c r="K101" i="3"/>
  <c r="I101" i="3"/>
  <c r="K100" i="3"/>
  <c r="L100" i="3" s="1"/>
  <c r="I100" i="3"/>
  <c r="K99" i="3"/>
  <c r="I99" i="3"/>
  <c r="K98" i="3"/>
  <c r="L98" i="3" s="1"/>
  <c r="I98" i="3"/>
  <c r="K97" i="3"/>
  <c r="I97" i="3"/>
  <c r="K96" i="3"/>
  <c r="I96" i="3"/>
  <c r="K95" i="3"/>
  <c r="I95" i="3"/>
  <c r="K92" i="3"/>
  <c r="I92" i="3"/>
  <c r="K91" i="3"/>
  <c r="I91" i="3"/>
  <c r="K89" i="3"/>
  <c r="I89" i="3"/>
  <c r="K88" i="3"/>
  <c r="I88" i="3"/>
  <c r="K87" i="3"/>
  <c r="I87" i="3"/>
  <c r="K86" i="3"/>
  <c r="L86" i="3" s="1"/>
  <c r="I86" i="3"/>
  <c r="K85" i="3"/>
  <c r="I85" i="3"/>
  <c r="K84" i="3"/>
  <c r="I84" i="3"/>
  <c r="K83" i="3"/>
  <c r="I83" i="3"/>
  <c r="K82" i="3"/>
  <c r="L82" i="3" s="1"/>
  <c r="I82" i="3"/>
  <c r="K81" i="3"/>
  <c r="I81" i="3"/>
  <c r="K80" i="3"/>
  <c r="I80" i="3"/>
  <c r="K79" i="3"/>
  <c r="I79" i="3"/>
  <c r="K78" i="3"/>
  <c r="I78" i="3"/>
  <c r="K77" i="3"/>
  <c r="L77" i="3" s="1"/>
  <c r="I77" i="3"/>
  <c r="K76" i="3"/>
  <c r="I76" i="3"/>
  <c r="I110" i="3" s="1"/>
  <c r="K71" i="3"/>
  <c r="I71" i="3"/>
  <c r="K70" i="3"/>
  <c r="I70" i="3"/>
  <c r="K69" i="3"/>
  <c r="I69" i="3"/>
  <c r="E66" i="3"/>
  <c r="K65" i="3"/>
  <c r="I65" i="3"/>
  <c r="E65" i="3"/>
  <c r="K64" i="3"/>
  <c r="I64" i="3"/>
  <c r="E64" i="3"/>
  <c r="K63" i="3"/>
  <c r="I63" i="3"/>
  <c r="E63" i="3"/>
  <c r="K62" i="3"/>
  <c r="I62" i="3"/>
  <c r="K61" i="3"/>
  <c r="I61" i="3"/>
  <c r="K60" i="3"/>
  <c r="I60" i="3"/>
  <c r="K59" i="3"/>
  <c r="L59" i="3" s="1"/>
  <c r="I59" i="3"/>
  <c r="K58" i="3"/>
  <c r="I58" i="3"/>
  <c r="K57" i="3"/>
  <c r="I57" i="3"/>
  <c r="E52" i="3"/>
  <c r="K51" i="3"/>
  <c r="I51" i="3"/>
  <c r="E51" i="3"/>
  <c r="K50" i="3"/>
  <c r="I50" i="3"/>
  <c r="E50" i="3"/>
  <c r="K49" i="3"/>
  <c r="I49" i="3"/>
  <c r="K48" i="3"/>
  <c r="I48" i="3"/>
  <c r="K47" i="3"/>
  <c r="I47" i="3"/>
  <c r="E47" i="3"/>
  <c r="K46" i="3"/>
  <c r="I46" i="3"/>
  <c r="E46" i="3"/>
  <c r="K45" i="3"/>
  <c r="I45" i="3"/>
  <c r="K44" i="3"/>
  <c r="I44" i="3"/>
  <c r="K40" i="3"/>
  <c r="I40" i="3"/>
  <c r="K39" i="3"/>
  <c r="I39" i="3"/>
  <c r="K38" i="3"/>
  <c r="I38" i="3"/>
  <c r="F37" i="3"/>
  <c r="E37" i="3"/>
  <c r="K29" i="3"/>
  <c r="I29" i="3"/>
  <c r="K27" i="3"/>
  <c r="I27" i="3"/>
  <c r="K26" i="3"/>
  <c r="I26" i="3"/>
  <c r="E26" i="3"/>
  <c r="K25" i="3"/>
  <c r="I25" i="3"/>
  <c r="E25" i="3"/>
  <c r="K24" i="3"/>
  <c r="I24" i="3"/>
  <c r="L24" i="3" s="1"/>
  <c r="E24" i="3"/>
  <c r="K23" i="3"/>
  <c r="I23" i="3"/>
  <c r="E23" i="3"/>
  <c r="K22" i="3"/>
  <c r="I22" i="3"/>
  <c r="E22" i="3"/>
  <c r="K21" i="3"/>
  <c r="I21" i="3"/>
  <c r="I33" i="3" s="1"/>
  <c r="E21" i="3"/>
  <c r="E20" i="3" s="1"/>
  <c r="F20" i="3"/>
  <c r="E16" i="3"/>
  <c r="E15" i="3"/>
  <c r="E9" i="3" s="1"/>
  <c r="K14" i="3"/>
  <c r="L14" i="3" s="1"/>
  <c r="I14" i="3"/>
  <c r="K13" i="3"/>
  <c r="I13" i="3"/>
  <c r="K12" i="3"/>
  <c r="I12" i="3"/>
  <c r="K11" i="3"/>
  <c r="I11" i="3"/>
  <c r="K10" i="3"/>
  <c r="I10" i="3"/>
  <c r="F9" i="3"/>
  <c r="A4" i="6"/>
  <c r="M3" i="6"/>
  <c r="A3" i="6"/>
  <c r="A4" i="5"/>
  <c r="M3" i="5"/>
  <c r="A3" i="5"/>
  <c r="A4" i="3"/>
  <c r="M3" i="3"/>
  <c r="A3" i="3"/>
  <c r="I41" i="6" l="1"/>
  <c r="I9" i="6" s="1"/>
  <c r="J61" i="6"/>
  <c r="K61" i="6" s="1"/>
  <c r="K69" i="6" s="1"/>
  <c r="K11" i="6" s="1"/>
  <c r="I61" i="6"/>
  <c r="L31" i="6"/>
  <c r="L41" i="6"/>
  <c r="L9" i="6" s="1"/>
  <c r="I13" i="6"/>
  <c r="L13" i="6"/>
  <c r="I46" i="6"/>
  <c r="I57" i="6" s="1"/>
  <c r="I10" i="6" s="1"/>
  <c r="J46" i="6"/>
  <c r="K46" i="6" s="1"/>
  <c r="L46" i="6" s="1"/>
  <c r="L57" i="6" s="1"/>
  <c r="L10" i="6" s="1"/>
  <c r="L19" i="5"/>
  <c r="L35" i="5" s="1"/>
  <c r="L67" i="5" s="1"/>
  <c r="L34" i="5"/>
  <c r="L46" i="5"/>
  <c r="L54" i="5" s="1"/>
  <c r="I54" i="5"/>
  <c r="I67" i="5" s="1"/>
  <c r="T73" i="3"/>
  <c r="U73" i="3" s="1"/>
  <c r="U75" i="3" s="1"/>
  <c r="U76" i="3" s="1"/>
  <c r="U77" i="3" s="1"/>
  <c r="S58" i="3"/>
  <c r="T58" i="3" s="1"/>
  <c r="P60" i="3"/>
  <c r="Q60" i="3" s="1"/>
  <c r="Q73" i="3" s="1"/>
  <c r="R73" i="3" s="1"/>
  <c r="R75" i="3" s="1"/>
  <c r="R76" i="3" s="1"/>
  <c r="R77" i="3" s="1"/>
  <c r="S62" i="3"/>
  <c r="T62" i="3" s="1"/>
  <c r="P70" i="3"/>
  <c r="Q70" i="3" s="1"/>
  <c r="L40" i="3"/>
  <c r="L61" i="3"/>
  <c r="L101" i="3"/>
  <c r="L107" i="3"/>
  <c r="L25" i="3"/>
  <c r="L48" i="3"/>
  <c r="L96" i="3"/>
  <c r="L108" i="3"/>
  <c r="L13" i="3"/>
  <c r="I54" i="3"/>
  <c r="L64" i="3"/>
  <c r="L70" i="3"/>
  <c r="L126" i="3"/>
  <c r="L29" i="3"/>
  <c r="L79" i="3"/>
  <c r="L81" i="3"/>
  <c r="L85" i="3"/>
  <c r="L89" i="3"/>
  <c r="L132" i="3"/>
  <c r="I17" i="3"/>
  <c r="L23" i="3"/>
  <c r="L88" i="3"/>
  <c r="I134" i="3"/>
  <c r="L128" i="3"/>
  <c r="L134" i="3" s="1"/>
  <c r="I42" i="3"/>
  <c r="L39" i="3"/>
  <c r="L38" i="3"/>
  <c r="L22" i="3"/>
  <c r="L26" i="3"/>
  <c r="K42" i="3"/>
  <c r="L45" i="3"/>
  <c r="L57" i="3"/>
  <c r="L65" i="3"/>
  <c r="L71" i="3"/>
  <c r="L84" i="3"/>
  <c r="L92" i="3"/>
  <c r="L105" i="3"/>
  <c r="K17" i="3"/>
  <c r="L12" i="3"/>
  <c r="L27" i="3"/>
  <c r="L46" i="3"/>
  <c r="L49" i="3"/>
  <c r="I73" i="3"/>
  <c r="L60" i="3"/>
  <c r="L62" i="3"/>
  <c r="K73" i="3"/>
  <c r="L78" i="3"/>
  <c r="L80" i="3"/>
  <c r="L87" i="3"/>
  <c r="L97" i="3"/>
  <c r="L99" i="3"/>
  <c r="L106" i="3"/>
  <c r="K33" i="3"/>
  <c r="L44" i="3"/>
  <c r="L47" i="3"/>
  <c r="L50" i="3"/>
  <c r="L58" i="3"/>
  <c r="L63" i="3"/>
  <c r="L76" i="3"/>
  <c r="L83" i="3"/>
  <c r="L91" i="3"/>
  <c r="L95" i="3"/>
  <c r="L102" i="3"/>
  <c r="L115" i="3"/>
  <c r="L120" i="3" s="1"/>
  <c r="L11" i="3"/>
  <c r="L21" i="3"/>
  <c r="E44" i="3"/>
  <c r="E45" i="3"/>
  <c r="K54" i="3"/>
  <c r="K110" i="3"/>
  <c r="K120" i="3" s="1"/>
  <c r="K134" i="3" s="1"/>
  <c r="L69" i="3"/>
  <c r="L103" i="3"/>
  <c r="L10" i="3"/>
  <c r="L61" i="6" l="1"/>
  <c r="L69" i="6" s="1"/>
  <c r="I69" i="6"/>
  <c r="K57" i="6"/>
  <c r="K10" i="6" s="1"/>
  <c r="K17" i="6" s="1"/>
  <c r="K93" i="6"/>
  <c r="I135" i="3"/>
  <c r="L73" i="3"/>
  <c r="L17" i="3"/>
  <c r="K135" i="3"/>
  <c r="L110" i="3"/>
  <c r="L33" i="3"/>
  <c r="L54" i="3"/>
  <c r="L42" i="3"/>
  <c r="I11" i="6" l="1"/>
  <c r="I17" i="6" s="1"/>
  <c r="I93" i="6"/>
  <c r="L11" i="6"/>
  <c r="L17" i="6" s="1"/>
  <c r="L93" i="6"/>
  <c r="D14" i="1" s="1"/>
  <c r="D16" i="1" s="1"/>
  <c r="L135" i="3"/>
  <c r="D18" i="1" l="1"/>
  <c r="D19" i="1" s="1"/>
  <c r="D20" i="1" s="1"/>
  <c r="D21" i="1" s="1"/>
</calcChain>
</file>

<file path=xl/sharedStrings.xml><?xml version="1.0" encoding="utf-8"?>
<sst xmlns="http://schemas.openxmlformats.org/spreadsheetml/2006/main" count="756" uniqueCount="429">
  <si>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</si>
  <si>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</si>
  <si>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</si>
  <si>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</si>
  <si>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</si>
  <si>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</si>
  <si>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</si>
  <si>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</si>
  <si>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</si>
  <si>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</si>
  <si>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</si>
  <si>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</si>
  <si>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</si>
  <si>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</si>
  <si>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</si>
  <si>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</si>
  <si>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</si>
  <si>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</si>
  <si>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</si>
  <si>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</si>
  <si>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</si>
  <si>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</si>
  <si>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</si>
  <si>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</si>
  <si>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</si>
  <si>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</si>
  <si>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</si>
  <si>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</si>
  <si>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</si>
  <si>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</si>
  <si>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</si>
  <si>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</si>
  <si>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</si>
  <si>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</si>
  <si>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</si>
  <si>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</si>
  <si>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</si>
  <si>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</si>
  <si>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</si>
  <si>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</si>
  <si>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</si>
  <si>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</si>
  <si>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</si>
  <si>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</si>
  <si>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</si>
  <si>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</si>
  <si>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</si>
  <si>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</si>
  <si>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</si>
  <si>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</si>
  <si>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</si>
  <si>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</si>
  <si>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</si>
  <si>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</si>
  <si>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</si>
  <si>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</si>
  <si>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</si>
  <si>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</si>
  <si>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</si>
  <si>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</si>
  <si>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</si>
  <si>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</si>
  <si>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</si>
  <si>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</si>
  <si>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</si>
  <si>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</si>
  <si>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</si>
  <si>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</si>
  <si>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</si>
  <si>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</si>
  <si>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</si>
  <si>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</si>
  <si>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</si>
  <si>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</si>
  <si>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</si>
  <si>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</si>
  <si>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</si>
  <si>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</si>
  <si>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</si>
  <si>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</si>
  <si>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</si>
  <si>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</si>
  <si>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</si>
  <si>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</si>
  <si>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</si>
  <si>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</si>
  <si>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</si>
  <si>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</si>
  <si>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</si>
  <si>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</si>
  <si>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</si>
  <si>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</si>
  <si>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</si>
  <si>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</si>
  <si>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</si>
  <si>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</si>
  <si>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</si>
  <si>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</si>
  <si>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</si>
  <si>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</si>
  <si>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</si>
  <si>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</si>
  <si>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</si>
  <si>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</si>
  <si>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</si>
  <si>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</si>
  <si>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</si>
  <si>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</si>
  <si>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</si>
  <si>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</si>
  <si>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</si>
  <si>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</si>
  <si>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</si>
  <si>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</si>
  <si>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</si>
  <si>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</si>
  <si>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</si>
  <si>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</si>
  <si>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</si>
  <si>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</si>
  <si>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</si>
  <si>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</si>
  <si>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</si>
  <si>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</si>
  <si>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</si>
  <si>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</si>
  <si>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</si>
  <si>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</si>
  <si>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</si>
  <si>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</si>
  <si>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</si>
  <si>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</si>
  <si>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</si>
  <si>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</si>
  <si>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B-5.2.3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</si>
  <si>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</si>
  <si>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</si>
  <si>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</si>
  <si>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</si>
  <si>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</si>
  <si>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</si>
  <si>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</si>
  <si>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</si>
  <si>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</si>
  <si>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</si>
  <si>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</si>
  <si>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</si>
  <si>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</si>
  <si>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</si>
  <si>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>B-6.1.13</t>
  </si>
  <si>
    <t>B-6.1.14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</si>
  <si>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</si>
  <si>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</si>
  <si>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</si>
  <si>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</si>
  <si>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</si>
  <si>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</si>
  <si>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</si>
  <si>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</si>
  <si>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</si>
  <si>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</si>
  <si>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</si>
  <si>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</si>
  <si>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</si>
  <si>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</si>
  <si>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</si>
  <si>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</si>
  <si>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</si>
  <si>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</si>
  <si>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</si>
  <si>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</si>
  <si>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</si>
  <si>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</si>
  <si>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</si>
  <si>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</si>
  <si>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</si>
  <si>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</si>
  <si>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</si>
  <si>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</si>
  <si>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</si>
  <si>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</si>
  <si>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</si>
  <si>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</si>
  <si>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</si>
  <si>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</si>
  <si>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</si>
  <si>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</si>
  <si>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</si>
  <si>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</si>
  <si>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</si>
  <si>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</si>
  <si>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</si>
  <si>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</si>
  <si>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</si>
  <si>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</si>
  <si>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</si>
  <si>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</si>
  <si>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</si>
  <si>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</si>
  <si>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>(ชูด)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</si>
  <si>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</si>
  <si>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</si>
  <si>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</si>
  <si>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</si>
  <si>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>B-6.1.15</t>
  </si>
  <si>
    <t xml:space="preserve"> งานสุขภัณฑ์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</si>
  <si>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</si>
  <si>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</si>
  <si>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</si>
  <si>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</si>
  <si>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</si>
  <si>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</si>
  <si>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</si>
  <si>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</si>
  <si>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</si>
  <si>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</si>
  <si>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</si>
  <si>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</si>
  <si>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</si>
  <si>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</si>
  <si>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>น3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</si>
  <si>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</si>
  <si>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</si>
  <si>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</si>
  <si>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</si>
  <si>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</si>
  <si>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</si>
  <si>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</si>
  <si>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</si>
  <si>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</si>
  <si>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</si>
  <si>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</si>
  <si>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</si>
  <si>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</si>
  <si>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</si>
  <si>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</si>
  <si>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</si>
  <si>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</si>
  <si>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</si>
  <si>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</si>
  <si>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</si>
  <si>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</si>
  <si>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</si>
  <si>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</si>
  <si>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</si>
  <si>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</si>
  <si>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</si>
  <si>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</si>
  <si>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</si>
  <si>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</si>
  <si>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</si>
  <si>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</si>
  <si>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</si>
  <si>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</si>
  <si>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</si>
  <si>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</si>
  <si>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</si>
  <si>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</si>
  <si>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</si>
  <si>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</si>
  <si>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</si>
  <si>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</si>
  <si>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</si>
  <si>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B-8.2</t>
  </si>
  <si>
    <t>B-8.3</t>
  </si>
  <si>
    <t>แผงบังแดด 3</t>
  </si>
  <si>
    <t>แผงบังแดด 4</t>
  </si>
  <si>
    <t>B-8.4</t>
  </si>
  <si>
    <t>แผงบังแดด 5</t>
  </si>
  <si>
    <t>B-8.5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</si>
  <si>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</si>
  <si>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</si>
  <si>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</si>
  <si>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</si>
  <si>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งานโครงสร้าง คสล. (คาน,เสา,พื้น+หนวดกุ้ง)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</si>
  <si>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</si>
  <si>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</si>
  <si>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</si>
  <si>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</si>
  <si>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</si>
  <si>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</si>
  <si>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</si>
  <si>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</si>
  <si>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</si>
  <si>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</si>
  <si>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</si>
  <si>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</si>
  <si>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</si>
  <si>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</si>
  <si>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</si>
  <si>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</si>
  <si>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</si>
  <si>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</si>
  <si>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</si>
  <si>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</si>
  <si>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</si>
  <si>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</si>
  <si>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</si>
  <si>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</si>
  <si>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</si>
  <si>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</si>
  <si>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</si>
  <si>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</si>
  <si>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</si>
  <si>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</si>
  <si>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</si>
  <si>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</si>
  <si>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</si>
  <si>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</si>
  <si>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โคมไฟติดผนังหลอด T8 FLUORESCENT 18W/ชนิดขั้วหลอด G13 (กันแมลง)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</si>
  <si>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</si>
  <si>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</si>
  <si>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</si>
  <si>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</si>
  <si>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</si>
  <si>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</si>
  <si>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</si>
  <si>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</si>
  <si>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</si>
  <si>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</si>
  <si>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</si>
  <si>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</si>
  <si>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</si>
  <si>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</si>
  <si>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</si>
  <si>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</si>
  <si>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</si>
  <si>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</si>
  <si>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</si>
  <si>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</si>
  <si>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</si>
  <si>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</si>
  <si>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</si>
  <si>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</si>
  <si>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</si>
  <si>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</si>
  <si>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</si>
  <si>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</si>
  <si>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</si>
  <si>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</si>
  <si>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</si>
  <si>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</si>
  <si>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</si>
  <si>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</si>
  <si>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</si>
  <si>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</si>
  <si>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</si>
  <si>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</si>
  <si>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</si>
  <si>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</si>
  <si>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</si>
  <si>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</si>
  <si>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</si>
  <si>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</si>
  <si>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</si>
  <si>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</si>
  <si>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</si>
  <si>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</si>
  <si>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</si>
  <si>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</si>
  <si>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</si>
  <si>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</si>
  <si>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</si>
  <si>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</si>
  <si>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</si>
  <si>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</si>
  <si>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</si>
  <si>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</si>
  <si>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</si>
  <si>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</si>
  <si>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</si>
  <si>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</si>
  <si>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</si>
  <si>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</si>
  <si>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>ผนังปิดผิวด้วยแผ่นสมาร์ทบอร์ด</t>
  </si>
  <si>
    <t>ห้องน้ำ 1</t>
  </si>
  <si>
    <t>B-6.2</t>
  </si>
  <si>
    <t>ห้องน้ำ 2</t>
  </si>
  <si>
    <t>B-6.2.1</t>
  </si>
  <si>
    <t>B-6.2.2</t>
  </si>
  <si>
    <t>B-6.2.3</t>
  </si>
  <si>
    <t>B-6.2.4</t>
  </si>
  <si>
    <t>B-6.2.5</t>
  </si>
  <si>
    <t>B-6.2.6</t>
  </si>
  <si>
    <t>B-6.2.7</t>
  </si>
  <si>
    <t>B-6.2.8</t>
  </si>
  <si>
    <t>B-6.2.9</t>
  </si>
  <si>
    <t>B-6.2.10</t>
  </si>
  <si>
    <t>B-6.2.11</t>
  </si>
  <si>
    <t>B-6.2.12</t>
  </si>
  <si>
    <t>B-6.2.13</t>
  </si>
  <si>
    <t>รวมหมวดงาน B - 6</t>
  </si>
  <si>
    <t>B-8.6</t>
  </si>
  <si>
    <t>แผงบังแดด 6</t>
  </si>
  <si>
    <t>แบบบ้าน  :  บ้านดีดีรักษ์ดิน 2</t>
  </si>
  <si>
    <t>ค่าแรงประกอบไม้แบบ</t>
  </si>
  <si>
    <t>ไม้คร่าวยึดแบบหล่อ ขนาด 1.5 x 3 นิ้ว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</si>
  <si>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</si>
  <si>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</si>
  <si>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</si>
  <si>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</si>
  <si>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</si>
  <si>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</si>
  <si>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 Square Tube 100 x 100 x 2.3 mm.</t>
  </si>
  <si>
    <t xml:space="preserve">     Rectangular Tube 100 x 50 x 3.2 mm.</t>
  </si>
  <si>
    <t xml:space="preserve">     Rectangular Tube 75 x 38 x 3.2 mm.</t>
  </si>
  <si>
    <t xml:space="preserve">     Light Lip Channel 150 x 50 x 20 x 3.2 mm.</t>
  </si>
  <si>
    <t xml:space="preserve"> Plate 10 mm. thk.</t>
  </si>
  <si>
    <t xml:space="preserve"> สีกันสนิม ของ TOA หรือเทียบเท่า</t>
  </si>
  <si>
    <t xml:space="preserve">  -  ตู้ไฟฟ้า CONSUMER UNIT (CU) 12 วงจร</t>
  </si>
  <si>
    <t xml:space="preserve">  -  Molded Case Circuit Breaker (MCCB) 2P,50AT/50AF ,Ics 10 KA</t>
  </si>
  <si>
    <t xml:space="preserve">  -  IEC01 (THW) 16 SQ.MM. (MAIN FEEDER)</t>
  </si>
  <si>
    <t xml:space="preserve">  -  DIA. 1 นิ้ว uPVC</t>
  </si>
  <si>
    <t xml:space="preserve">  -  FITTING &amp; ACCESSORIES งานติดตั้งสายไฟและงานเดินท่อ(10%)</t>
  </si>
  <si>
    <t xml:space="preserve">  -  ค่าขอมิเตอร์ไฟฟ้าขนาด 1P-15(45A)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</si>
  <si>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</si>
  <si>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</si>
  <si>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</si>
  <si>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</si>
  <si>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</si>
  <si>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</si>
  <si>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</si>
  <si>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</si>
  <si>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</si>
  <si>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</si>
  <si>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</si>
  <si>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>RD</t>
  </si>
  <si>
    <t>ถังดักไขมันสำเร็จรูป ชนิดติดตั้งใต้อ่างล้างจาน</t>
  </si>
  <si>
    <t>บ่อดักกลิ่น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</si>
</sst>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6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29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0" xfId="52" applyFont="1" applyFill="1" applyBorder="1" applyAlignment="1" applyProtection="1">
      <alignment vertical="center"/>
      <protection locked="0"/>
    </xf>
    <xf numFmtId="43" fontId="10" fillId="27" borderId="31" xfId="0" applyNumberFormat="1" applyFont="1" applyFill="1" applyBorder="1" applyAlignment="1" applyProtection="1">
      <alignment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  <protection locked="0"/>
    </xf>
    <xf numFmtId="164" fontId="10" fillId="27" borderId="25" xfId="52" applyFont="1" applyFill="1" applyBorder="1" applyAlignment="1" applyProtection="1">
      <alignment vertical="center"/>
      <protection locked="0"/>
    </xf>
    <xf numFmtId="43" fontId="10" fillId="27" borderId="26" xfId="0" applyNumberFormat="1" applyFont="1" applyFill="1" applyBorder="1" applyAlignment="1" applyProtection="1">
      <alignment vertical="center"/>
      <protection locked="0"/>
    </xf>
    <xf numFmtId="0" fontId="10" fillId="27" borderId="32" xfId="0" applyFont="1" applyFill="1" applyBorder="1" applyAlignment="1" applyProtection="1">
      <alignment horizontal="center" vertical="center"/>
      <protection locked="0"/>
    </xf>
    <xf numFmtId="0" fontId="10" fillId="27" borderId="30" xfId="0" applyFont="1" applyFill="1" applyBorder="1" applyAlignment="1" applyProtection="1">
      <alignment horizontal="center" vertical="center"/>
      <protection locked="0"/>
    </xf>
    <xf numFmtId="0" fontId="10" fillId="27" borderId="24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  <protection locked="0"/>
    </xf>
    <xf numFmtId="0" fontId="11" fillId="27" borderId="30" xfId="0" applyFont="1" applyFill="1" applyBorder="1" applyAlignment="1" applyProtection="1">
      <alignment horizontal="center" vertical="center"/>
      <protection locked="0"/>
    </xf>
    <xf numFmtId="10" fontId="14" fillId="27" borderId="30" xfId="54" applyNumberFormat="1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vertical="center"/>
      <protection locked="0"/>
    </xf>
    <xf numFmtId="0" fontId="11" fillId="27" borderId="32" xfId="0" applyFont="1" applyFill="1" applyBorder="1" applyAlignment="1" applyProtection="1">
      <alignment horizontal="center" vertical="center"/>
      <protection locked="0"/>
    </xf>
    <xf numFmtId="0" fontId="10" fillId="27" borderId="33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4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5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6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7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8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39" xfId="0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1" fillId="26" borderId="35" xfId="0" applyFont="1" applyFill="1" applyBorder="1" applyAlignment="1">
      <alignment horizontal="center" vertical="center"/>
    </xf>
    <xf numFmtId="164" fontId="10" fillId="26" borderId="36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 applyProtection="1">
      <alignment horizontal="center" vertical="center"/>
    </xf>
    <xf numFmtId="10" fontId="13" fillId="25" borderId="43" xfId="54" applyNumberFormat="1" applyFont="1" applyFill="1" applyBorder="1" applyAlignment="1" applyProtection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  <protection locked="0"/>
    </xf>
    <xf numFmtId="164" fontId="10" fillId="25" borderId="43" xfId="52" applyFont="1" applyFill="1" applyBorder="1" applyAlignment="1" applyProtection="1">
      <alignment vertical="center"/>
      <protection locked="0"/>
    </xf>
    <xf numFmtId="164" fontId="10" fillId="25" borderId="43" xfId="52" applyFont="1" applyFill="1" applyBorder="1" applyAlignment="1" applyProtection="1">
      <alignment vertical="center"/>
    </xf>
    <xf numFmtId="43" fontId="10" fillId="25" borderId="44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46" xfId="0" applyFont="1" applyFill="1" applyBorder="1" applyAlignment="1">
      <alignment horizontal="center" vertical="center"/>
    </xf>
    <xf numFmtId="0" fontId="12" fillId="25" borderId="47" xfId="0" applyFont="1" applyFill="1" applyBorder="1" applyAlignment="1" applyProtection="1">
      <alignment horizontal="left" vertical="center"/>
    </xf>
    <xf numFmtId="0" fontId="10" fillId="25" borderId="47" xfId="0" applyFont="1" applyFill="1" applyBorder="1" applyAlignment="1" applyProtection="1">
      <alignment horizontal="center" vertical="center"/>
    </xf>
    <xf numFmtId="10" fontId="13" fillId="25" borderId="47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center" vertical="center"/>
      <protection locked="0"/>
    </xf>
    <xf numFmtId="164" fontId="10" fillId="25" borderId="47" xfId="52" applyFont="1" applyFill="1" applyBorder="1" applyAlignment="1" applyProtection="1">
      <alignment vertical="center"/>
      <protection locked="0"/>
    </xf>
    <xf numFmtId="164" fontId="10" fillId="25" borderId="47" xfId="52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left" vertical="center"/>
    </xf>
    <xf numFmtId="0" fontId="11" fillId="0" borderId="48" xfId="0" applyFont="1" applyFill="1" applyBorder="1" applyAlignment="1" applyProtection="1">
      <alignment horizontal="center" vertical="center"/>
    </xf>
    <xf numFmtId="43" fontId="10" fillId="25" borderId="49" xfId="0" applyNumberFormat="1" applyFont="1" applyFill="1" applyBorder="1" applyAlignment="1" applyProtection="1">
      <alignment vertical="center"/>
      <protection locked="0"/>
    </xf>
    <xf numFmtId="43" fontId="10" fillId="25" borderId="36" xfId="0" applyNumberFormat="1" applyFont="1" applyFill="1" applyBorder="1" applyAlignment="1" applyProtection="1">
      <alignment vertical="center"/>
      <protection locked="0"/>
    </xf>
    <xf numFmtId="43" fontId="10" fillId="25" borderId="50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0" fontId="10" fillId="25" borderId="43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7" xfId="0" applyFont="1" applyFill="1" applyBorder="1" applyAlignment="1" applyProtection="1">
      <alignment horizontal="left" vertical="center"/>
    </xf>
    <xf numFmtId="0" fontId="11" fillId="25" borderId="47" xfId="0" applyFont="1" applyFill="1" applyBorder="1" applyAlignment="1" applyProtection="1">
      <alignment horizontal="center" vertical="center"/>
    </xf>
    <xf numFmtId="10" fontId="14" fillId="25" borderId="47" xfId="54" applyNumberFormat="1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  <protection locked="0"/>
    </xf>
    <xf numFmtId="164" fontId="11" fillId="25" borderId="47" xfId="52" applyFont="1" applyFill="1" applyBorder="1" applyAlignment="1" applyProtection="1">
      <alignment vertical="center"/>
      <protection locked="0"/>
    </xf>
    <xf numFmtId="164" fontId="11" fillId="25" borderId="4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165" fontId="11" fillId="25" borderId="52" xfId="0" applyNumberFormat="1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45" xfId="0" applyNumberFormat="1" applyFont="1" applyFill="1" applyBorder="1" applyAlignment="1" applyProtection="1">
      <alignment vertical="center"/>
      <protection locked="0"/>
    </xf>
    <xf numFmtId="0" fontId="11" fillId="25" borderId="53" xfId="0" applyFont="1" applyFill="1" applyBorder="1" applyAlignment="1" applyProtection="1">
      <alignment horizontal="center" vertical="center"/>
    </xf>
    <xf numFmtId="10" fontId="14" fillId="25" borderId="53" xfId="54" applyNumberFormat="1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 applyProtection="1">
      <alignment vertical="center"/>
    </xf>
    <xf numFmtId="43" fontId="11" fillId="25" borderId="54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1" fillId="25" borderId="55" xfId="52" applyFont="1" applyFill="1" applyBorder="1" applyAlignment="1" applyProtection="1">
      <alignment horizontal="center" vertical="center"/>
      <protection locked="0"/>
    </xf>
    <xf numFmtId="164" fontId="11" fillId="25" borderId="55" xfId="52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5" xfId="0" applyNumberFormat="1" applyFont="1" applyFill="1" applyBorder="1" applyAlignment="1">
      <alignment horizontal="left" vertical="center"/>
    </xf>
    <xf numFmtId="164" fontId="11" fillId="25" borderId="35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6" xfId="0" applyFont="1" applyFill="1" applyBorder="1" applyAlignment="1">
      <alignment vertical="center"/>
    </xf>
    <xf numFmtId="0" fontId="10" fillId="25" borderId="57" xfId="0" applyFont="1" applyFill="1" applyBorder="1" applyAlignment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</xf>
    <xf numFmtId="0" fontId="11" fillId="25" borderId="58" xfId="0" applyFont="1" applyFill="1" applyBorder="1" applyAlignment="1">
      <alignment vertical="center"/>
    </xf>
    <xf numFmtId="10" fontId="13" fillId="25" borderId="60" xfId="54" applyNumberFormat="1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  <protection locked="0"/>
    </xf>
    <xf numFmtId="164" fontId="10" fillId="25" borderId="60" xfId="52" applyFont="1" applyFill="1" applyBorder="1" applyAlignment="1" applyProtection="1">
      <alignment vertical="center"/>
      <protection locked="0"/>
    </xf>
    <xf numFmtId="164" fontId="10" fillId="25" borderId="60" xfId="52" applyFont="1" applyFill="1" applyBorder="1" applyAlignment="1" applyProtection="1">
      <alignment vertical="center"/>
    </xf>
    <xf numFmtId="0" fontId="10" fillId="25" borderId="52" xfId="0" applyFont="1" applyFill="1" applyBorder="1" applyAlignment="1">
      <alignment horizontal="center" vertical="center"/>
    </xf>
    <xf numFmtId="0" fontId="10" fillId="25" borderId="48" xfId="0" applyFont="1" applyFill="1" applyBorder="1" applyAlignment="1" applyProtection="1">
      <alignment horizontal="center"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164" fontId="10" fillId="25" borderId="47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4" xfId="0" applyNumberFormat="1" applyFont="1" applyFill="1" applyBorder="1" applyAlignment="1" applyProtection="1">
      <alignment vertical="center"/>
      <protection locked="0"/>
    </xf>
    <xf numFmtId="0" fontId="10" fillId="25" borderId="62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3" xfId="52" applyFont="1" applyFill="1" applyBorder="1" applyAlignment="1" applyProtection="1">
      <alignment horizontal="left" vertical="center"/>
      <protection locked="0"/>
    </xf>
    <xf numFmtId="43" fontId="10" fillId="25" borderId="44" xfId="0" applyNumberFormat="1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0" fontId="11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vertical="center"/>
    </xf>
    <xf numFmtId="10" fontId="11" fillId="25" borderId="48" xfId="54" applyNumberFormat="1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vertical="center"/>
    </xf>
    <xf numFmtId="43" fontId="11" fillId="25" borderId="64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 applyProtection="1">
      <alignment horizontal="center" vertical="center"/>
    </xf>
    <xf numFmtId="10" fontId="14" fillId="25" borderId="66" xfId="54" applyNumberFormat="1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  <protection locked="0"/>
    </xf>
    <xf numFmtId="164" fontId="11" fillId="25" borderId="66" xfId="52" applyFont="1" applyFill="1" applyBorder="1" applyAlignment="1" applyProtection="1">
      <alignment vertical="center"/>
      <protection locked="0"/>
    </xf>
    <xf numFmtId="164" fontId="11" fillId="25" borderId="66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0" fillId="25" borderId="67" xfId="0" applyFont="1" applyFill="1" applyBorder="1" applyAlignment="1" applyProtection="1">
      <alignment horizontal="centerContinuous" vertical="center"/>
      <protection locked="0"/>
    </xf>
    <xf numFmtId="10" fontId="13" fillId="25" borderId="67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8" xfId="0" applyFont="1" applyFill="1" applyBorder="1" applyAlignment="1" applyProtection="1">
      <alignment vertical="center" wrapText="1" shrinkToFit="1"/>
    </xf>
    <xf numFmtId="0" fontId="11" fillId="25" borderId="69" xfId="0" applyFont="1" applyFill="1" applyBorder="1" applyAlignment="1">
      <alignment horizontal="center" vertical="center"/>
    </xf>
    <xf numFmtId="0" fontId="11" fillId="25" borderId="70" xfId="0" applyFont="1" applyFill="1" applyBorder="1" applyAlignment="1" applyProtection="1">
      <alignment horizontal="center" vertical="center"/>
    </xf>
    <xf numFmtId="10" fontId="14" fillId="25" borderId="70" xfId="54" applyNumberFormat="1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  <protection locked="0"/>
    </xf>
    <xf numFmtId="164" fontId="11" fillId="25" borderId="70" xfId="52" applyFont="1" applyFill="1" applyBorder="1" applyAlignment="1" applyProtection="1">
      <alignment vertical="center"/>
      <protection locked="0"/>
    </xf>
    <xf numFmtId="164" fontId="11" fillId="25" borderId="70" xfId="52" applyFont="1" applyFill="1" applyBorder="1" applyAlignment="1" applyProtection="1">
      <alignment vertical="center"/>
    </xf>
    <xf numFmtId="43" fontId="11" fillId="25" borderId="49" xfId="0" applyNumberFormat="1" applyFont="1" applyFill="1" applyBorder="1" applyAlignment="1" applyProtection="1">
      <alignment vertical="center"/>
      <protection locked="0"/>
    </xf>
    <xf numFmtId="0" fontId="11" fillId="25" borderId="65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vertical="center" wrapText="1" shrinkToFit="1"/>
      <protection locked="0"/>
    </xf>
    <xf numFmtId="0" fontId="11" fillId="25" borderId="63" xfId="0" applyFont="1" applyFill="1" applyBorder="1" applyAlignment="1">
      <alignment horizontal="center" vertical="center"/>
    </xf>
    <xf numFmtId="0" fontId="11" fillId="25" borderId="46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>
      <alignment vertical="center"/>
    </xf>
    <xf numFmtId="0" fontId="11" fillId="25" borderId="71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 shrinkToFit="1"/>
    </xf>
    <xf numFmtId="43" fontId="11" fillId="25" borderId="53" xfId="52" applyNumberFormat="1" applyFont="1" applyFill="1" applyBorder="1" applyAlignment="1" applyProtection="1">
      <alignment horizontal="left" vertical="center"/>
      <protection locked="0"/>
    </xf>
    <xf numFmtId="0" fontId="10" fillId="25" borderId="46" xfId="0" applyFont="1" applyFill="1" applyBorder="1" applyAlignment="1" applyProtection="1">
      <alignment horizontal="center" vertical="center"/>
      <protection locked="0"/>
    </xf>
    <xf numFmtId="10" fontId="14" fillId="25" borderId="47" xfId="54" applyNumberFormat="1" applyFont="1" applyFill="1" applyBorder="1" applyAlignment="1" applyProtection="1">
      <alignment horizontal="center" vertical="center"/>
      <protection locked="0"/>
    </xf>
    <xf numFmtId="0" fontId="11" fillId="25" borderId="52" xfId="0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43" fontId="33" fillId="25" borderId="45" xfId="0" applyNumberFormat="1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6" xfId="0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 wrapText="1" shrinkToFit="1"/>
    </xf>
    <xf numFmtId="10" fontId="14" fillId="0" borderId="48" xfId="54" applyNumberFormat="1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  <protection locked="0"/>
    </xf>
    <xf numFmtId="169" fontId="16" fillId="0" borderId="48" xfId="52" applyNumberFormat="1" applyFont="1" applyFill="1" applyBorder="1" applyAlignment="1" applyProtection="1">
      <alignment vertical="center"/>
      <protection locked="0"/>
    </xf>
    <xf numFmtId="164" fontId="11" fillId="0" borderId="48" xfId="52" applyFont="1" applyFill="1" applyBorder="1" applyAlignment="1" applyProtection="1">
      <alignment horizontal="left" vertical="center"/>
      <protection locked="0"/>
    </xf>
    <xf numFmtId="164" fontId="11" fillId="0" borderId="48" xfId="52" applyFont="1" applyFill="1" applyBorder="1" applyAlignment="1" applyProtection="1">
      <alignment vertical="center"/>
    </xf>
    <xf numFmtId="43" fontId="11" fillId="0" borderId="45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</xf>
    <xf numFmtId="0" fontId="11" fillId="25" borderId="48" xfId="0" applyFont="1" applyFill="1" applyBorder="1" applyAlignment="1">
      <alignment horizontal="center" vertical="center"/>
    </xf>
    <xf numFmtId="0" fontId="11" fillId="27" borderId="30" xfId="0" applyFont="1" applyFill="1" applyBorder="1" applyAlignment="1">
      <alignment vertical="center"/>
    </xf>
    <xf numFmtId="0" fontId="11" fillId="25" borderId="70" xfId="0" applyFont="1" applyFill="1" applyBorder="1" applyAlignment="1" applyProtection="1">
      <alignment horizontal="left" vertical="center" wrapText="1" shrinkToFit="1"/>
    </xf>
    <xf numFmtId="0" fontId="11" fillId="25" borderId="42" xfId="0" applyFont="1" applyFill="1" applyBorder="1" applyAlignment="1">
      <alignment horizontal="center" vertical="center"/>
    </xf>
    <xf numFmtId="0" fontId="11" fillId="25" borderId="35" xfId="0" applyFont="1" applyFill="1" applyBorder="1" applyAlignment="1" applyProtection="1">
      <alignment horizontal="center" vertical="center"/>
    </xf>
    <xf numFmtId="10" fontId="14" fillId="25" borderId="35" xfId="54" applyNumberFormat="1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  <protection locked="0"/>
    </xf>
    <xf numFmtId="164" fontId="11" fillId="25" borderId="35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5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5" fontId="11" fillId="25" borderId="69" xfId="0" applyNumberFormat="1" applyFont="1" applyFill="1" applyBorder="1" applyAlignment="1" applyProtection="1">
      <alignment horizontal="center" vertical="center"/>
      <protection locked="0"/>
    </xf>
    <xf numFmtId="0" fontId="11" fillId="25" borderId="70" xfId="0" applyFont="1" applyFill="1" applyBorder="1" applyAlignment="1" applyProtection="1">
      <alignment vertical="center"/>
      <protection locked="0"/>
    </xf>
    <xf numFmtId="165" fontId="11" fillId="25" borderId="42" xfId="0" applyNumberFormat="1" applyFont="1" applyFill="1" applyBorder="1" applyAlignment="1" applyProtection="1">
      <alignment horizontal="center" vertical="center"/>
      <protection locked="0"/>
    </xf>
    <xf numFmtId="0" fontId="11" fillId="25" borderId="35" xfId="0" applyFont="1" applyFill="1" applyBorder="1" applyAlignment="1" applyProtection="1">
      <alignment vertical="center"/>
      <protection locked="0"/>
    </xf>
    <xf numFmtId="165" fontId="10" fillId="25" borderId="46" xfId="0" applyNumberFormat="1" applyFont="1" applyFill="1" applyBorder="1" applyAlignment="1" applyProtection="1">
      <alignment horizontal="center" vertical="center"/>
      <protection locked="0"/>
    </xf>
    <xf numFmtId="164" fontId="34" fillId="25" borderId="48" xfId="52" applyFont="1" applyFill="1" applyBorder="1" applyAlignment="1">
      <alignment horizontal="left" vertical="center"/>
    </xf>
    <xf numFmtId="164" fontId="11" fillId="25" borderId="35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2" xfId="0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10" fontId="14" fillId="27" borderId="73" xfId="54" applyNumberFormat="1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vertical="center"/>
      <protection locked="0"/>
    </xf>
    <xf numFmtId="164" fontId="10" fillId="27" borderId="73" xfId="52" applyFont="1" applyFill="1" applyBorder="1" applyAlignment="1" applyProtection="1">
      <alignment vertical="center"/>
      <protection locked="0"/>
    </xf>
    <xf numFmtId="43" fontId="10" fillId="27" borderId="74" xfId="0" applyNumberFormat="1" applyFont="1" applyFill="1" applyBorder="1" applyAlignment="1" applyProtection="1">
      <alignment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horizontal="center" vertical="center"/>
    </xf>
    <xf numFmtId="0" fontId="11" fillId="25" borderId="55" xfId="0" applyFont="1" applyFill="1" applyBorder="1" applyAlignment="1" applyProtection="1">
      <alignment horizontal="center"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/>
    <xf numFmtId="0" fontId="13" fillId="25" borderId="66" xfId="0" applyFont="1" applyFill="1" applyBorder="1" applyAlignment="1">
      <alignment vertical="center" wrapText="1"/>
    </xf>
    <xf numFmtId="170" fontId="34" fillId="25" borderId="75" xfId="52" applyNumberFormat="1" applyFont="1" applyFill="1" applyBorder="1" applyAlignment="1">
      <alignment horizontal="right" vertical="center"/>
    </xf>
    <xf numFmtId="0" fontId="11" fillId="25" borderId="55" xfId="0" applyFont="1" applyFill="1" applyBorder="1" applyAlignment="1" applyProtection="1">
      <alignment vertical="center"/>
      <protection locked="0"/>
    </xf>
    <xf numFmtId="0" fontId="11" fillId="0" borderId="76" xfId="0" applyFont="1" applyFill="1" applyBorder="1" applyAlignment="1">
      <alignment vertical="center"/>
    </xf>
    <xf numFmtId="0" fontId="11" fillId="0" borderId="77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11" fillId="27" borderId="72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0" fontId="11" fillId="0" borderId="70" xfId="0" applyFont="1" applyFill="1" applyBorder="1" applyAlignment="1">
      <alignment vertical="center"/>
    </xf>
    <xf numFmtId="0" fontId="11" fillId="0" borderId="55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4" fontId="34" fillId="25" borderId="77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79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</xf>
    <xf numFmtId="0" fontId="11" fillId="25" borderId="80" xfId="0" applyFont="1" applyFill="1" applyBorder="1" applyAlignment="1" applyProtection="1">
      <alignment horizontal="left" vertical="center" wrapText="1"/>
    </xf>
    <xf numFmtId="0" fontId="11" fillId="0" borderId="81" xfId="0" applyFont="1" applyFill="1" applyBorder="1" applyAlignment="1">
      <alignment vertical="center"/>
    </xf>
    <xf numFmtId="164" fontId="11" fillId="25" borderId="77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164" fontId="10" fillId="25" borderId="70" xfId="52" applyFont="1" applyFill="1" applyBorder="1" applyAlignment="1" applyProtection="1">
      <alignment horizontal="left" vertical="center"/>
      <protection locked="0"/>
    </xf>
    <xf numFmtId="0" fontId="11" fillId="25" borderId="14" xfId="0" applyFont="1" applyFill="1" applyBorder="1" applyAlignment="1" applyProtection="1">
      <alignment horizontal="left" vertical="center" wrapText="1" shrinkToFit="1"/>
    </xf>
    <xf numFmtId="0" fontId="11" fillId="25" borderId="69" xfId="0" applyFont="1" applyFill="1" applyBorder="1" applyAlignment="1" applyProtection="1">
      <alignment horizontal="center" vertical="center"/>
      <protection locked="0"/>
    </xf>
    <xf numFmtId="0" fontId="11" fillId="25" borderId="70" xfId="0" applyFont="1" applyFill="1" applyBorder="1" applyAlignment="1" applyProtection="1">
      <alignment horizontal="left" vertical="center" wrapText="1" indent="1" shrinkToFit="1"/>
      <protection locked="0"/>
    </xf>
    <xf numFmtId="0" fontId="11" fillId="0" borderId="0" xfId="0" applyFont="1" applyBorder="1"/>
    <xf numFmtId="164" fontId="11" fillId="0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horizontal="right" vertical="center"/>
      <protection locked="0"/>
    </xf>
    <xf numFmtId="43" fontId="10" fillId="25" borderId="45" xfId="0" applyNumberFormat="1" applyFont="1" applyFill="1" applyBorder="1" applyAlignment="1" applyProtection="1">
      <alignment horizontal="center" vertical="center"/>
      <protection locked="0"/>
    </xf>
    <xf numFmtId="0" fontId="11" fillId="31" borderId="25" xfId="0" applyFont="1" applyFill="1" applyBorder="1" applyAlignment="1">
      <alignment vertical="center"/>
    </xf>
    <xf numFmtId="0" fontId="10" fillId="31" borderId="25" xfId="0" applyFont="1" applyFill="1" applyBorder="1" applyAlignment="1" applyProtection="1">
      <alignment horizontal="center" vertical="center"/>
      <protection locked="0"/>
    </xf>
    <xf numFmtId="10" fontId="13" fillId="31" borderId="25" xfId="54" applyNumberFormat="1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vertical="center"/>
      <protection locked="0"/>
    </xf>
    <xf numFmtId="43" fontId="10" fillId="31" borderId="25" xfId="52" applyNumberFormat="1" applyFont="1" applyFill="1" applyBorder="1" applyAlignment="1" applyProtection="1">
      <alignment vertical="center"/>
      <protection locked="0"/>
    </xf>
    <xf numFmtId="43" fontId="10" fillId="31" borderId="26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8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7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88" xfId="0" applyFont="1" applyFill="1" applyBorder="1" applyAlignment="1">
      <alignment vertical="center"/>
    </xf>
    <xf numFmtId="0" fontId="11" fillId="0" borderId="89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43" fontId="11" fillId="25" borderId="10" xfId="0" applyNumberFormat="1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1" fillId="26" borderId="77" xfId="0" applyFont="1" applyFill="1" applyBorder="1" applyAlignment="1">
      <alignment vertical="center"/>
    </xf>
    <xf numFmtId="0" fontId="11" fillId="26" borderId="35" xfId="0" applyFont="1" applyFill="1" applyBorder="1" applyAlignment="1">
      <alignment vertical="center"/>
    </xf>
    <xf numFmtId="0" fontId="11" fillId="26" borderId="36" xfId="0" applyFont="1" applyFill="1" applyBorder="1" applyAlignment="1" applyProtection="1">
      <alignment vertical="center"/>
      <protection locked="0"/>
    </xf>
    <xf numFmtId="0" fontId="11" fillId="26" borderId="42" xfId="0" applyFont="1" applyFill="1" applyBorder="1" applyAlignment="1">
      <alignment horizontal="center" vertical="center"/>
    </xf>
    <xf numFmtId="0" fontId="10" fillId="27" borderId="27" xfId="0" applyFont="1" applyFill="1" applyBorder="1" applyAlignment="1">
      <alignment horizontal="center" vertical="center"/>
    </xf>
    <xf numFmtId="0" fontId="10" fillId="27" borderId="90" xfId="0" applyFont="1" applyFill="1" applyBorder="1" applyAlignment="1">
      <alignment horizontal="center" vertical="center"/>
    </xf>
    <xf numFmtId="164" fontId="10" fillId="27" borderId="90" xfId="52" applyFont="1" applyFill="1" applyBorder="1" applyAlignment="1">
      <alignment horizontal="center" vertical="center"/>
    </xf>
    <xf numFmtId="164" fontId="10" fillId="27" borderId="28" xfId="52" applyFont="1" applyFill="1" applyBorder="1" applyAlignment="1" applyProtection="1">
      <alignment vertical="center"/>
      <protection locked="0"/>
    </xf>
    <xf numFmtId="164" fontId="11" fillId="25" borderId="91" xfId="52" applyFont="1" applyFill="1" applyBorder="1" applyAlignment="1">
      <alignment horizontal="center" vertical="center"/>
    </xf>
    <xf numFmtId="164" fontId="11" fillId="25" borderId="76" xfId="52" applyFont="1" applyFill="1" applyBorder="1" applyAlignment="1" applyProtection="1">
      <alignment vertical="center"/>
    </xf>
    <xf numFmtId="164" fontId="11" fillId="25" borderId="76" xfId="52" applyFont="1" applyFill="1" applyBorder="1" applyAlignment="1">
      <alignment horizontal="center" vertical="center"/>
    </xf>
    <xf numFmtId="168" fontId="16" fillId="25" borderId="76" xfId="52" applyNumberFormat="1" applyFont="1" applyFill="1" applyBorder="1" applyAlignment="1" applyProtection="1">
      <alignment vertical="center"/>
      <protection locked="0"/>
    </xf>
    <xf numFmtId="43" fontId="11" fillId="25" borderId="92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79" xfId="0" applyFont="1" applyFill="1" applyBorder="1" applyAlignment="1">
      <alignment horizontal="left" vertical="center"/>
    </xf>
    <xf numFmtId="43" fontId="11" fillId="25" borderId="78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3" xfId="0" applyNumberFormat="1" applyFont="1" applyFill="1" applyBorder="1" applyAlignment="1" applyProtection="1">
      <alignment vertical="center"/>
      <protection locked="0"/>
    </xf>
    <xf numFmtId="0" fontId="11" fillId="25" borderId="42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2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89" xfId="0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vertical="center"/>
    </xf>
    <xf numFmtId="43" fontId="11" fillId="25" borderId="45" xfId="0" applyNumberFormat="1" applyFont="1" applyFill="1" applyBorder="1" applyAlignment="1" applyProtection="1">
      <alignment vertical="center" wrapText="1" shrinkToFit="1"/>
      <protection locked="0"/>
    </xf>
    <xf numFmtId="0" fontId="10" fillId="0" borderId="78" xfId="0" applyFont="1" applyFill="1" applyBorder="1" applyAlignment="1">
      <alignment vertical="center"/>
    </xf>
    <xf numFmtId="0" fontId="10" fillId="25" borderId="19" xfId="0" applyFont="1" applyFill="1" applyBorder="1" applyAlignment="1" applyProtection="1">
      <alignment horizontal="center" vertical="center"/>
      <protection locked="0"/>
    </xf>
    <xf numFmtId="0" fontId="12" fillId="25" borderId="18" xfId="0" applyFont="1" applyFill="1" applyBorder="1" applyAlignment="1" applyProtection="1">
      <alignment vertical="center"/>
      <protection locked="0"/>
    </xf>
    <xf numFmtId="0" fontId="10" fillId="25" borderId="18" xfId="0" applyFont="1" applyFill="1" applyBorder="1" applyAlignment="1" applyProtection="1">
      <alignment horizontal="center" vertical="center"/>
      <protection locked="0"/>
    </xf>
    <xf numFmtId="10" fontId="13" fillId="25" borderId="18" xfId="54" applyNumberFormat="1" applyFont="1" applyFill="1" applyBorder="1" applyAlignment="1" applyProtection="1">
      <alignment horizontal="center" vertical="center"/>
      <protection locked="0"/>
    </xf>
    <xf numFmtId="0" fontId="10" fillId="25" borderId="79" xfId="0" applyFont="1" applyFill="1" applyBorder="1" applyAlignment="1" applyProtection="1">
      <alignment vertical="center" wrapText="1" shrinkToFit="1"/>
    </xf>
    <xf numFmtId="0" fontId="11" fillId="25" borderId="23" xfId="0" applyFont="1" applyFill="1" applyBorder="1" applyAlignment="1" applyProtection="1">
      <alignment horizontal="center" vertical="center"/>
    </xf>
    <xf numFmtId="10" fontId="14" fillId="25" borderId="81" xfId="54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</xf>
    <xf numFmtId="164" fontId="11" fillId="25" borderId="91" xfId="52" applyFont="1" applyFill="1" applyBorder="1" applyAlignment="1" applyProtection="1">
      <alignment horizontal="center" vertical="center"/>
      <protection locked="0"/>
    </xf>
    <xf numFmtId="43" fontId="11" fillId="25" borderId="23" xfId="52" applyNumberFormat="1" applyFont="1" applyFill="1" applyBorder="1" applyAlignment="1" applyProtection="1">
      <alignment horizontal="center" vertical="center"/>
      <protection locked="0"/>
    </xf>
    <xf numFmtId="0" fontId="11" fillId="0" borderId="79" xfId="0" applyFont="1" applyFill="1" applyBorder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0" fillId="25" borderId="78" xfId="0" applyFont="1" applyFill="1" applyBorder="1" applyAlignment="1" applyProtection="1">
      <alignment vertical="center" wrapText="1" shrinkToFit="1"/>
    </xf>
    <xf numFmtId="10" fontId="14" fillId="25" borderId="78" xfId="54" applyNumberFormat="1" applyFont="1" applyFill="1" applyBorder="1" applyAlignment="1" applyProtection="1">
      <alignment horizontal="center" vertical="center"/>
    </xf>
    <xf numFmtId="164" fontId="11" fillId="25" borderId="78" xfId="52" applyFont="1" applyFill="1" applyBorder="1" applyAlignment="1" applyProtection="1">
      <alignment horizontal="center" vertical="center"/>
    </xf>
    <xf numFmtId="164" fontId="11" fillId="25" borderId="78" xfId="52" applyFont="1" applyFill="1" applyBorder="1" applyAlignment="1" applyProtection="1">
      <alignment horizontal="center" vertical="center"/>
      <protection locked="0"/>
    </xf>
    <xf numFmtId="164" fontId="11" fillId="25" borderId="78" xfId="52" applyFont="1" applyFill="1" applyBorder="1" applyAlignment="1" applyProtection="1">
      <alignment vertical="center"/>
      <protection locked="0"/>
    </xf>
    <xf numFmtId="164" fontId="11" fillId="25" borderId="18" xfId="52" applyFont="1" applyFill="1" applyBorder="1" applyAlignment="1" applyProtection="1">
      <alignment vertical="center"/>
      <protection locked="0"/>
    </xf>
    <xf numFmtId="164" fontId="10" fillId="25" borderId="35" xfId="52" applyFont="1" applyFill="1" applyBorder="1" applyAlignment="1">
      <alignment horizontal="center" vertical="center"/>
    </xf>
    <xf numFmtId="165" fontId="11" fillId="25" borderId="20" xfId="0" applyNumberFormat="1" applyFont="1" applyFill="1" applyBorder="1" applyAlignment="1" applyProtection="1">
      <alignment horizontal="center" vertical="center"/>
      <protection locked="0"/>
    </xf>
    <xf numFmtId="0" fontId="10" fillId="0" borderId="88" xfId="0" applyFont="1" applyFill="1" applyBorder="1" applyAlignment="1">
      <alignment vertical="center"/>
    </xf>
    <xf numFmtId="0" fontId="10" fillId="0" borderId="89" xfId="0" applyFont="1" applyFill="1" applyBorder="1" applyAlignment="1">
      <alignment vertical="center"/>
    </xf>
    <xf numFmtId="0" fontId="11" fillId="25" borderId="22" xfId="0" applyFont="1" applyFill="1" applyBorder="1" applyAlignment="1" applyProtection="1">
      <alignment horizontal="center" vertical="center"/>
      <protection locked="0"/>
    </xf>
    <xf numFmtId="43" fontId="10" fillId="25" borderId="93" xfId="0" applyNumberFormat="1" applyFont="1" applyFill="1" applyBorder="1" applyAlignment="1" applyProtection="1">
      <alignment vertical="center"/>
      <protection locked="0"/>
    </xf>
    <xf numFmtId="0" fontId="11" fillId="0" borderId="93" xfId="0" applyFont="1" applyFill="1" applyBorder="1" applyAlignment="1">
      <alignment vertical="center"/>
    </xf>
    <xf numFmtId="0" fontId="11" fillId="25" borderId="19" xfId="0" applyFont="1" applyFill="1" applyBorder="1" applyAlignment="1" applyProtection="1">
      <alignment horizontal="center" vertical="center"/>
      <protection locked="0"/>
    </xf>
    <xf numFmtId="43" fontId="10" fillId="25" borderId="89" xfId="0" applyNumberFormat="1" applyFont="1" applyFill="1" applyBorder="1" applyAlignment="1" applyProtection="1">
      <alignment vertical="center"/>
      <protection locked="0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3" fontId="35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0" fontId="39" fillId="29" borderId="0" xfId="0" applyFont="1" applyFill="1" applyAlignment="1">
      <alignment horizontal="center" vertical="center"/>
    </xf>
    <xf numFmtId="166" fontId="39" fillId="29" borderId="0" xfId="52" applyNumberFormat="1" applyFont="1" applyFill="1" applyBorder="1" applyAlignment="1">
      <alignment horizontal="center" vertical="center"/>
    </xf>
    <xf numFmtId="0" fontId="40" fillId="0" borderId="0" xfId="0" applyFont="1"/>
    <xf numFmtId="0" fontId="37" fillId="0" borderId="0" xfId="0" applyFont="1"/>
    <xf numFmtId="164" fontId="39" fillId="29" borderId="0" xfId="0" applyNumberFormat="1" applyFont="1" applyFill="1" applyAlignment="1">
      <alignment horizontal="center" vertical="center"/>
    </xf>
    <xf numFmtId="43" fontId="40" fillId="0" borderId="0" xfId="0" applyNumberFormat="1" applyFont="1"/>
    <xf numFmtId="43" fontId="37" fillId="0" borderId="0" xfId="0" applyNumberFormat="1" applyFont="1"/>
    <xf numFmtId="43" fontId="35" fillId="0" borderId="0" xfId="0" applyNumberFormat="1" applyFont="1"/>
    <xf numFmtId="0" fontId="35" fillId="0" borderId="0" xfId="0" applyFont="1"/>
    <xf numFmtId="0" fontId="36" fillId="0" borderId="0" xfId="0" applyFont="1"/>
    <xf numFmtId="0" fontId="38" fillId="0" borderId="0" xfId="0" applyFont="1"/>
    <xf numFmtId="0" fontId="10" fillId="25" borderId="48" xfId="0" applyFont="1" applyFill="1" applyBorder="1" applyAlignment="1" applyProtection="1">
      <alignment horizontal="left" vertical="center" wrapText="1" shrinkToFit="1"/>
    </xf>
    <xf numFmtId="0" fontId="10" fillId="25" borderId="65" xfId="0" applyFont="1" applyFill="1" applyBorder="1" applyAlignment="1">
      <alignment horizontal="center" vertical="center"/>
    </xf>
    <xf numFmtId="0" fontId="10" fillId="25" borderId="66" xfId="0" applyFont="1" applyFill="1" applyBorder="1" applyAlignment="1" applyProtection="1">
      <alignment horizontal="left" vertical="center" wrapText="1" shrinkToFit="1"/>
    </xf>
    <xf numFmtId="0" fontId="10" fillId="25" borderId="66" xfId="0" applyFont="1" applyFill="1" applyBorder="1" applyAlignment="1" applyProtection="1">
      <alignment horizontal="center" vertical="center"/>
    </xf>
    <xf numFmtId="10" fontId="13" fillId="25" borderId="66" xfId="54" applyNumberFormat="1" applyFont="1" applyFill="1" applyBorder="1" applyAlignment="1" applyProtection="1">
      <alignment horizontal="center" vertical="center"/>
    </xf>
    <xf numFmtId="164" fontId="10" fillId="25" borderId="66" xfId="52" applyFont="1" applyFill="1" applyBorder="1" applyAlignment="1" applyProtection="1">
      <alignment horizontal="center" vertical="center"/>
    </xf>
    <xf numFmtId="164" fontId="10" fillId="25" borderId="66" xfId="52" applyFont="1" applyFill="1" applyBorder="1" applyAlignment="1" applyProtection="1">
      <alignment horizontal="center" vertical="center"/>
      <protection locked="0"/>
    </xf>
    <xf numFmtId="0" fontId="8" fillId="25" borderId="62" xfId="0" applyFont="1" applyFill="1" applyBorder="1" applyAlignment="1">
      <alignment horizontal="center" vertical="center"/>
    </xf>
    <xf numFmtId="0" fontId="8" fillId="25" borderId="67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4" xfId="52" applyFont="1" applyFill="1" applyBorder="1" applyAlignment="1" applyProtection="1">
      <alignment horizontal="center" vertical="center"/>
      <protection locked="0"/>
    </xf>
    <xf numFmtId="164" fontId="10" fillId="28" borderId="85" xfId="52" applyFont="1" applyFill="1" applyBorder="1" applyAlignment="1" applyProtection="1">
      <alignment horizontal="center" vertical="center"/>
      <protection locked="0"/>
    </xf>
    <xf numFmtId="0" fontId="10" fillId="26" borderId="86" xfId="0" applyFont="1" applyFill="1" applyBorder="1" applyAlignment="1" applyProtection="1">
      <alignment horizontal="center" vertical="center"/>
    </xf>
    <xf numFmtId="0" fontId="10" fillId="26" borderId="87" xfId="0" applyFont="1" applyFill="1" applyBorder="1" applyAlignment="1" applyProtection="1">
      <alignment horizontal="center" vertical="center"/>
    </xf>
    <xf numFmtId="4" fontId="10" fillId="26" borderId="84" xfId="0" applyNumberFormat="1" applyFont="1" applyFill="1" applyBorder="1" applyAlignment="1" applyProtection="1">
      <alignment horizontal="center" vertical="center"/>
      <protection locked="0"/>
    </xf>
    <xf numFmtId="4" fontId="10" fillId="26" borderId="85" xfId="0" applyNumberFormat="1" applyFont="1" applyFill="1" applyBorder="1" applyAlignment="1" applyProtection="1">
      <alignment horizontal="center" vertical="center"/>
      <protection locked="0"/>
    </xf>
    <xf numFmtId="164" fontId="10" fillId="26" borderId="84" xfId="52" applyFont="1" applyFill="1" applyBorder="1" applyAlignment="1" applyProtection="1">
      <alignment horizontal="center" vertical="center"/>
      <protection locked="0"/>
    </xf>
    <xf numFmtId="164" fontId="10" fillId="26" borderId="85" xfId="52" applyFont="1" applyFill="1" applyBorder="1" applyAlignment="1" applyProtection="1">
      <alignment horizontal="center" vertical="center"/>
      <protection locked="0"/>
    </xf>
    <xf numFmtId="0" fontId="10" fillId="26" borderId="59" xfId="0" applyFont="1" applyFill="1" applyBorder="1" applyAlignment="1">
      <alignment horizontal="center" vertical="center"/>
    </xf>
    <xf numFmtId="0" fontId="10" fillId="26" borderId="82" xfId="0" applyFont="1" applyFill="1" applyBorder="1" applyAlignment="1">
      <alignment horizontal="center" vertical="center"/>
    </xf>
    <xf numFmtId="0" fontId="10" fillId="26" borderId="60" xfId="0" applyFont="1" applyFill="1" applyBorder="1" applyAlignment="1">
      <alignment horizontal="center" vertical="center"/>
    </xf>
    <xf numFmtId="0" fontId="10" fillId="26" borderId="83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0" fillId="25" borderId="62" xfId="55" applyFont="1" applyFill="1" applyBorder="1" applyAlignment="1">
      <alignment horizontal="center" vertical="center"/>
    </xf>
    <xf numFmtId="0" fontId="10" fillId="25" borderId="67" xfId="55" applyFont="1" applyFill="1" applyBorder="1" applyAlignment="1">
      <alignment horizontal="center" vertical="center"/>
    </xf>
    <xf numFmtId="0" fontId="10" fillId="25" borderId="68" xfId="55" applyFont="1" applyFill="1" applyBorder="1" applyAlignment="1">
      <alignment horizontal="center" vertical="center"/>
    </xf>
    <xf numFmtId="0" fontId="11" fillId="0" borderId="0" xfId="55" applyFont="1" applyFill="1" applyBorder="1" applyAlignment="1">
      <alignment vertical="center"/>
    </xf>
    <xf numFmtId="0" fontId="10" fillId="25" borderId="11" xfId="55" applyFont="1" applyFill="1" applyBorder="1" applyAlignment="1">
      <alignment horizontal="center" vertical="center"/>
    </xf>
    <xf numFmtId="0" fontId="10" fillId="25" borderId="0" xfId="55" applyFont="1" applyFill="1" applyBorder="1" applyAlignment="1">
      <alignment horizontal="center" vertical="center"/>
    </xf>
    <xf numFmtId="0" fontId="10" fillId="25" borderId="12" xfId="55" applyFont="1" applyFill="1" applyBorder="1" applyAlignment="1">
      <alignment horizontal="center" vertical="center"/>
    </xf>
    <xf numFmtId="0" fontId="10" fillId="25" borderId="11" xfId="55" applyFont="1" applyFill="1" applyBorder="1" applyAlignment="1">
      <alignment horizontal="left" vertical="center"/>
    </xf>
    <xf numFmtId="0" fontId="10" fillId="25" borderId="0" xfId="55" applyFont="1" applyFill="1" applyBorder="1" applyAlignment="1" applyProtection="1">
      <alignment vertical="center"/>
    </xf>
    <xf numFmtId="0" fontId="10" fillId="25" borderId="0" xfId="55" applyFont="1" applyFill="1" applyBorder="1" applyAlignment="1">
      <alignment vertical="center"/>
    </xf>
    <xf numFmtId="17" fontId="10" fillId="25" borderId="12" xfId="55" applyNumberFormat="1" applyFont="1" applyFill="1" applyBorder="1" applyAlignment="1" applyProtection="1">
      <alignment horizontal="right" vertical="center"/>
      <protection locked="0"/>
    </xf>
    <xf numFmtId="0" fontId="10" fillId="25" borderId="0" xfId="55" applyFont="1" applyFill="1" applyBorder="1" applyAlignment="1">
      <alignment horizontal="right" vertical="top" wrapText="1"/>
    </xf>
    <xf numFmtId="0" fontId="10" fillId="25" borderId="12" xfId="55" applyFont="1" applyFill="1" applyBorder="1" applyAlignment="1">
      <alignment horizontal="right" vertical="top" wrapText="1"/>
    </xf>
    <xf numFmtId="0" fontId="10" fillId="28" borderId="59" xfId="55" applyFont="1" applyFill="1" applyBorder="1" applyAlignment="1">
      <alignment horizontal="center" vertical="center"/>
    </xf>
    <xf numFmtId="0" fontId="10" fillId="28" borderId="60" xfId="55" applyFont="1" applyFill="1" applyBorder="1" applyAlignment="1">
      <alignment horizontal="center" vertical="center"/>
    </xf>
    <xf numFmtId="4" fontId="10" fillId="28" borderId="84" xfId="55" applyNumberFormat="1" applyFont="1" applyFill="1" applyBorder="1" applyAlignment="1" applyProtection="1">
      <alignment horizontal="center" vertical="center"/>
      <protection locked="0"/>
    </xf>
    <xf numFmtId="4" fontId="10" fillId="28" borderId="85" xfId="55" applyNumberFormat="1" applyFont="1" applyFill="1" applyBorder="1" applyAlignment="1" applyProtection="1">
      <alignment horizontal="center" vertical="center"/>
      <protection locked="0"/>
    </xf>
    <xf numFmtId="0" fontId="10" fillId="28" borderId="86" xfId="55" applyFont="1" applyFill="1" applyBorder="1" applyAlignment="1" applyProtection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10" fillId="28" borderId="82" xfId="55" applyFont="1" applyFill="1" applyBorder="1" applyAlignment="1">
      <alignment horizontal="center" vertical="center"/>
    </xf>
    <xf numFmtId="0" fontId="10" fillId="28" borderId="83" xfId="55" applyFont="1" applyFill="1" applyBorder="1" applyAlignment="1">
      <alignment horizontal="center" vertical="center"/>
    </xf>
    <xf numFmtId="0" fontId="10" fillId="28" borderId="87" xfId="55" applyFont="1" applyFill="1" applyBorder="1" applyAlignment="1" applyProtection="1">
      <alignment horizontal="center" vertical="center"/>
    </xf>
    <xf numFmtId="0" fontId="10" fillId="25" borderId="59" xfId="55" applyFont="1" applyFill="1" applyBorder="1" applyAlignment="1">
      <alignment horizontal="center" vertical="center"/>
    </xf>
    <xf numFmtId="0" fontId="12" fillId="25" borderId="60" xfId="55" applyFont="1" applyFill="1" applyBorder="1" applyAlignment="1" applyProtection="1">
      <alignment vertical="center"/>
    </xf>
    <xf numFmtId="0" fontId="10" fillId="25" borderId="60" xfId="55" applyFont="1" applyFill="1" applyBorder="1" applyAlignment="1" applyProtection="1">
      <alignment horizontal="center" vertical="center"/>
    </xf>
    <xf numFmtId="0" fontId="10" fillId="25" borderId="61" xfId="55" applyFont="1" applyFill="1" applyBorder="1" applyAlignment="1" applyProtection="1">
      <alignment vertical="center"/>
      <protection locked="0"/>
    </xf>
    <xf numFmtId="0" fontId="10" fillId="0" borderId="0" xfId="55" applyFont="1" applyFill="1" applyBorder="1" applyAlignment="1">
      <alignment vertical="center"/>
    </xf>
    <xf numFmtId="0" fontId="10" fillId="25" borderId="52" xfId="55" applyFont="1" applyFill="1" applyBorder="1" applyAlignment="1">
      <alignment horizontal="center" vertical="center"/>
    </xf>
    <xf numFmtId="0" fontId="12" fillId="25" borderId="48" xfId="55" applyFont="1" applyFill="1" applyBorder="1" applyAlignment="1" applyProtection="1">
      <alignment vertical="center"/>
    </xf>
    <xf numFmtId="0" fontId="10" fillId="25" borderId="48" xfId="55" applyFont="1" applyFill="1" applyBorder="1" applyAlignment="1" applyProtection="1">
      <alignment horizontal="center" vertical="center"/>
    </xf>
    <xf numFmtId="0" fontId="10" fillId="25" borderId="45" xfId="55" applyFont="1" applyFill="1" applyBorder="1" applyAlignment="1" applyProtection="1">
      <alignment vertical="center"/>
      <protection locked="0"/>
    </xf>
    <xf numFmtId="0" fontId="11" fillId="25" borderId="52" xfId="55" applyFont="1" applyFill="1" applyBorder="1" applyAlignment="1">
      <alignment horizontal="center" vertical="center"/>
    </xf>
    <xf numFmtId="0" fontId="11" fillId="25" borderId="48" xfId="55" applyFont="1" applyFill="1" applyBorder="1" applyAlignment="1" applyProtection="1">
      <alignment horizontal="left" vertical="center" wrapText="1" shrinkToFit="1"/>
    </xf>
    <xf numFmtId="0" fontId="11" fillId="25" borderId="48" xfId="55" applyFont="1" applyFill="1" applyBorder="1" applyAlignment="1" applyProtection="1">
      <alignment horizontal="center" vertical="center"/>
    </xf>
    <xf numFmtId="43" fontId="11" fillId="25" borderId="45" xfId="55" applyNumberFormat="1" applyFont="1" applyFill="1" applyBorder="1" applyAlignment="1" applyProtection="1">
      <alignment vertical="center"/>
      <protection locked="0"/>
    </xf>
    <xf numFmtId="0" fontId="9" fillId="0" borderId="0" xfId="55" applyFont="1" applyFill="1" applyBorder="1" applyAlignment="1">
      <alignment vertical="center"/>
    </xf>
    <xf numFmtId="0" fontId="11" fillId="25" borderId="48" xfId="55" applyFont="1" applyFill="1" applyBorder="1" applyAlignment="1" applyProtection="1">
      <alignment horizontal="left" vertical="center"/>
    </xf>
    <xf numFmtId="0" fontId="11" fillId="25" borderId="48" xfId="55" applyFont="1" applyFill="1" applyBorder="1" applyAlignment="1" applyProtection="1">
      <alignment vertical="center"/>
    </xf>
    <xf numFmtId="0" fontId="11" fillId="25" borderId="70" xfId="55" applyFont="1" applyFill="1" applyBorder="1" applyAlignment="1" applyProtection="1">
      <alignment vertical="center"/>
    </xf>
    <xf numFmtId="0" fontId="11" fillId="25" borderId="52" xfId="55" applyFont="1" applyFill="1" applyBorder="1" applyAlignment="1">
      <alignment horizontal="right" vertical="center"/>
    </xf>
    <xf numFmtId="2" fontId="11" fillId="25" borderId="63" xfId="55" applyNumberFormat="1" applyFont="1" applyFill="1" applyBorder="1" applyAlignment="1">
      <alignment horizontal="center" vertical="center"/>
    </xf>
    <xf numFmtId="0" fontId="11" fillId="25" borderId="53" xfId="55" applyFont="1" applyFill="1" applyBorder="1" applyAlignment="1" applyProtection="1">
      <alignment vertical="center"/>
    </xf>
    <xf numFmtId="0" fontId="11" fillId="25" borderId="53" xfId="55" applyFont="1" applyFill="1" applyBorder="1" applyAlignment="1" applyProtection="1">
      <alignment horizontal="center" vertical="center"/>
    </xf>
    <xf numFmtId="43" fontId="11" fillId="25" borderId="54" xfId="55" applyNumberFormat="1" applyFont="1" applyFill="1" applyBorder="1" applyAlignment="1" applyProtection="1">
      <alignment vertical="center"/>
      <protection locked="0"/>
    </xf>
    <xf numFmtId="0" fontId="10" fillId="25" borderId="57" xfId="55" applyFont="1" applyFill="1" applyBorder="1" applyAlignment="1">
      <alignment horizontal="center" vertical="center"/>
    </xf>
    <xf numFmtId="0" fontId="10" fillId="25" borderId="43" xfId="55" applyFont="1" applyFill="1" applyBorder="1" applyAlignment="1" applyProtection="1">
      <alignment horizontal="center" vertical="center"/>
    </xf>
    <xf numFmtId="43" fontId="10" fillId="25" borderId="44" xfId="55" applyNumberFormat="1" applyFont="1" applyFill="1" applyBorder="1" applyAlignment="1" applyProtection="1">
      <alignment vertical="center"/>
      <protection locked="0"/>
    </xf>
    <xf numFmtId="0" fontId="10" fillId="25" borderId="46" xfId="55" applyFont="1" applyFill="1" applyBorder="1" applyAlignment="1">
      <alignment horizontal="center" vertical="center"/>
    </xf>
    <xf numFmtId="0" fontId="12" fillId="25" borderId="47" xfId="55" applyFont="1" applyFill="1" applyBorder="1" applyAlignment="1" applyProtection="1">
      <alignment horizontal="left" vertical="center"/>
    </xf>
    <xf numFmtId="0" fontId="10" fillId="25" borderId="47" xfId="55" applyFont="1" applyFill="1" applyBorder="1" applyAlignment="1" applyProtection="1">
      <alignment horizontal="center" vertical="center"/>
    </xf>
    <xf numFmtId="43" fontId="10" fillId="25" borderId="51" xfId="55" applyNumberFormat="1" applyFont="1" applyFill="1" applyBorder="1" applyAlignment="1" applyProtection="1">
      <alignment vertical="center"/>
      <protection locked="0"/>
    </xf>
    <xf numFmtId="43" fontId="11" fillId="25" borderId="49" xfId="55" applyNumberFormat="1" applyFont="1" applyFill="1" applyBorder="1" applyAlignment="1" applyProtection="1">
      <alignment vertical="center"/>
      <protection locked="0"/>
    </xf>
    <xf numFmtId="0" fontId="11" fillId="25" borderId="71" xfId="55" applyFont="1" applyFill="1" applyBorder="1" applyAlignment="1">
      <alignment horizontal="center" vertical="center"/>
    </xf>
    <xf numFmtId="0" fontId="11" fillId="25" borderId="55" xfId="55" applyFont="1" applyFill="1" applyBorder="1" applyAlignment="1" applyProtection="1">
      <alignment vertical="center"/>
    </xf>
    <xf numFmtId="0" fontId="11" fillId="25" borderId="55" xfId="55" applyFont="1" applyFill="1" applyBorder="1" applyAlignment="1" applyProtection="1">
      <alignment horizontal="center" vertical="center"/>
    </xf>
    <xf numFmtId="43" fontId="11" fillId="25" borderId="64" xfId="55" applyNumberFormat="1" applyFont="1" applyFill="1" applyBorder="1" applyAlignment="1" applyProtection="1">
      <alignment vertical="center"/>
      <protection locked="0"/>
    </xf>
    <xf numFmtId="0" fontId="11" fillId="25" borderId="65" xfId="55" applyFont="1" applyFill="1" applyBorder="1" applyAlignment="1">
      <alignment horizontal="right" vertical="center"/>
    </xf>
    <xf numFmtId="0" fontId="11" fillId="25" borderId="66" xfId="55" applyFont="1" applyFill="1" applyBorder="1" applyAlignment="1" applyProtection="1">
      <alignment vertical="center"/>
    </xf>
    <xf numFmtId="0" fontId="11" fillId="25" borderId="66" xfId="55" applyFont="1" applyFill="1" applyBorder="1" applyAlignment="1" applyProtection="1">
      <alignment horizontal="center" vertical="center"/>
    </xf>
    <xf numFmtId="43" fontId="11" fillId="25" borderId="50" xfId="55" applyNumberFormat="1" applyFont="1" applyFill="1" applyBorder="1" applyAlignment="1" applyProtection="1">
      <alignment vertical="center"/>
      <protection locked="0"/>
    </xf>
    <xf numFmtId="0" fontId="11" fillId="25" borderId="48" xfId="55" applyFont="1" applyFill="1" applyBorder="1" applyAlignment="1" applyProtection="1">
      <alignment horizontal="left" vertical="center" wrapText="1" indent="2" shrinkToFit="1"/>
    </xf>
    <xf numFmtId="0" fontId="11" fillId="25" borderId="48" xfId="55" applyFont="1" applyFill="1" applyBorder="1" applyAlignment="1" applyProtection="1">
      <alignment horizontal="left" vertical="center" indent="2"/>
    </xf>
    <xf numFmtId="0" fontId="11" fillId="25" borderId="53" xfId="55" applyFont="1" applyFill="1" applyBorder="1" applyAlignment="1" applyProtection="1">
      <alignment horizontal="left" vertical="center"/>
    </xf>
    <xf numFmtId="0" fontId="12" fillId="25" borderId="43" xfId="55" applyFont="1" applyFill="1" applyBorder="1" applyAlignment="1" applyProtection="1">
      <alignment horizontal="left" vertical="center"/>
    </xf>
    <xf numFmtId="0" fontId="12" fillId="25" borderId="48" xfId="55" applyFont="1" applyFill="1" applyBorder="1" applyAlignment="1" applyProtection="1">
      <alignment horizontal="left" vertical="center"/>
    </xf>
    <xf numFmtId="43" fontId="10" fillId="25" borderId="45" xfId="55" applyNumberFormat="1" applyFont="1" applyFill="1" applyBorder="1" applyAlignment="1" applyProtection="1">
      <alignment vertical="center"/>
      <protection locked="0"/>
    </xf>
    <xf numFmtId="0" fontId="10" fillId="25" borderId="48" xfId="55" applyFont="1" applyFill="1" applyBorder="1" applyAlignment="1" applyProtection="1">
      <alignment vertical="center"/>
    </xf>
    <xf numFmtId="4" fontId="34" fillId="25" borderId="94" xfId="55" applyNumberFormat="1" applyFont="1" applyFill="1" applyBorder="1" applyAlignment="1">
      <alignment vertical="center"/>
    </xf>
    <xf numFmtId="0" fontId="11" fillId="25" borderId="48" xfId="55" applyFont="1" applyFill="1" applyBorder="1" applyAlignment="1" applyProtection="1">
      <alignment horizontal="left" vertical="center" wrapText="1" indent="1" shrinkToFit="1"/>
    </xf>
    <xf numFmtId="0" fontId="10" fillId="27" borderId="24" xfId="55" applyFont="1" applyFill="1" applyBorder="1" applyAlignment="1">
      <alignment horizontal="center" vertical="center"/>
    </xf>
    <xf numFmtId="0" fontId="10" fillId="27" borderId="25" xfId="55" applyFont="1" applyFill="1" applyBorder="1" applyAlignment="1" applyProtection="1">
      <alignment horizontal="center" vertical="center"/>
    </xf>
    <xf numFmtId="43" fontId="10" fillId="27" borderId="26" xfId="55" applyNumberFormat="1" applyFont="1" applyFill="1" applyBorder="1" applyAlignment="1" applyProtection="1">
      <alignment vertical="center"/>
      <protection locked="0"/>
    </xf>
    <xf numFmtId="0" fontId="11" fillId="24" borderId="0" xfId="55" applyFont="1" applyFill="1" applyBorder="1" applyAlignment="1">
      <alignment vertical="center"/>
    </xf>
    <xf numFmtId="0" fontId="11" fillId="24" borderId="0" xfId="55" applyFont="1" applyFill="1" applyBorder="1" applyAlignment="1">
      <alignment horizontal="right" vertical="center"/>
    </xf>
    <xf numFmtId="0" fontId="11" fillId="0" borderId="0" xfId="55" applyFont="1"/>
    <xf numFmtId="0" fontId="11" fillId="0" borderId="0" xfId="55" applyFont="1" applyBorder="1"/>
    <xf numFmtId="0" fontId="10" fillId="0" borderId="48" xfId="0" applyFont="1" applyFill="1" applyBorder="1" applyAlignment="1">
      <alignment horizontal="center" vertical="center"/>
    </xf>
    <xf numFmtId="10" fontId="13" fillId="24" borderId="18" xfId="56" applyNumberFormat="1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0" fontId="14" fillId="0" borderId="48" xfId="56" applyNumberFormat="1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  <protection locked="0"/>
    </xf>
    <xf numFmtId="169" fontId="16" fillId="0" borderId="48" xfId="57" applyNumberFormat="1" applyFont="1" applyFill="1" applyBorder="1" applyAlignment="1" applyProtection="1">
      <alignment vertical="center"/>
      <protection locked="0"/>
    </xf>
    <xf numFmtId="164" fontId="11" fillId="0" borderId="48" xfId="57" applyFont="1" applyFill="1" applyBorder="1" applyAlignment="1" applyProtection="1">
      <alignment horizontal="left" vertical="center"/>
      <protection locked="0"/>
    </xf>
    <xf numFmtId="164" fontId="11" fillId="0" borderId="48" xfId="57" applyFont="1" applyFill="1" applyBorder="1" applyAlignment="1" applyProtection="1">
      <alignment vertical="center"/>
    </xf>
    <xf numFmtId="10" fontId="14" fillId="25" borderId="48" xfId="56" applyNumberFormat="1" applyFont="1" applyFill="1" applyBorder="1" applyAlignment="1" applyProtection="1">
      <alignment horizontal="center" vertical="center"/>
    </xf>
    <xf numFmtId="164" fontId="11" fillId="25" borderId="48" xfId="57" applyFont="1" applyFill="1" applyBorder="1" applyAlignment="1" applyProtection="1">
      <alignment horizontal="center" vertical="center"/>
    </xf>
    <xf numFmtId="164" fontId="11" fillId="25" borderId="48" xfId="57" applyFont="1" applyFill="1" applyBorder="1" applyAlignment="1" applyProtection="1">
      <alignment horizontal="center" vertical="center"/>
      <protection locked="0"/>
    </xf>
    <xf numFmtId="164" fontId="11" fillId="25" borderId="48" xfId="57" applyFont="1" applyFill="1" applyBorder="1" applyAlignment="1" applyProtection="1">
      <alignment vertical="center"/>
      <protection locked="0"/>
    </xf>
    <xf numFmtId="164" fontId="11" fillId="25" borderId="48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vertical="center"/>
      <protection locked="0"/>
    </xf>
    <xf numFmtId="10" fontId="14" fillId="27" borderId="30" xfId="56" applyNumberFormat="1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vertical="center"/>
      <protection locked="0"/>
    </xf>
    <xf numFmtId="164" fontId="10" fillId="27" borderId="30" xfId="57" applyFont="1" applyFill="1" applyBorder="1" applyAlignment="1" applyProtection="1">
      <alignment vertical="center"/>
      <protection locked="0"/>
    </xf>
    <xf numFmtId="10" fontId="13" fillId="25" borderId="43" xfId="56" applyNumberFormat="1" applyFont="1" applyFill="1" applyBorder="1" applyAlignment="1" applyProtection="1">
      <alignment horizontal="center" vertical="center"/>
    </xf>
    <xf numFmtId="164" fontId="11" fillId="25" borderId="43" xfId="57" applyFont="1" applyFill="1" applyBorder="1" applyAlignment="1" applyProtection="1">
      <alignment horizontal="center" vertical="center"/>
    </xf>
    <xf numFmtId="164" fontId="11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vertical="center"/>
      <protection locked="0"/>
    </xf>
    <xf numFmtId="164" fontId="10" fillId="25" borderId="43" xfId="57" applyFont="1" applyFill="1" applyBorder="1" applyAlignment="1" applyProtection="1">
      <alignment vertical="center"/>
    </xf>
    <xf numFmtId="0" fontId="11" fillId="0" borderId="48" xfId="0" applyFont="1" applyFill="1" applyBorder="1" applyAlignment="1" applyProtection="1">
      <alignment horizontal="left" vertical="center" wrapText="1" shrinkToFit="1"/>
    </xf>
    <xf numFmtId="0" fontId="10" fillId="0" borderId="43" xfId="0" applyFont="1" applyFill="1" applyBorder="1" applyAlignment="1" applyProtection="1">
      <alignment horizontal="center" vertical="center"/>
    </xf>
    <xf numFmtId="10" fontId="13" fillId="0" borderId="43" xfId="56" applyNumberFormat="1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vertical="center"/>
      <protection locked="0"/>
    </xf>
    <xf numFmtId="164" fontId="10" fillId="0" borderId="43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horizontal="right" vertical="center"/>
      <protection locked="0"/>
    </xf>
    <xf numFmtId="165" fontId="11" fillId="0" borderId="48" xfId="0" applyNumberFormat="1" applyFont="1" applyFill="1" applyBorder="1" applyAlignment="1" applyProtection="1">
      <alignment horizontal="center" vertical="center"/>
    </xf>
    <xf numFmtId="10" fontId="13" fillId="31" borderId="25" xfId="56" applyNumberFormat="1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vertical="center"/>
      <protection locked="0"/>
    </xf>
    <xf numFmtId="43" fontId="10" fillId="31" borderId="25" xfId="57" applyNumberFormat="1" applyFont="1" applyFill="1" applyBorder="1" applyAlignment="1" applyProtection="1">
      <alignment vertical="center"/>
      <protection locked="0"/>
    </xf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5"/>
    <cellStyle name="Note" xfId="47"/>
    <cellStyle name="Output" xfId="48"/>
    <cellStyle name="Percent" xfId="54" builtinId="5"/>
    <cellStyle name="Percent 2" xfId="56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4;&#3636;&#3609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4;&#3636;&#3609;%202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บ้านดีดีรักษ์ดิน 2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8" sqref="D18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59" t="s">
        <v>2</v>
      </c>
      <c r="B1" s="460"/>
      <c r="C1" s="460"/>
      <c r="D1" s="460"/>
      <c r="E1" s="461"/>
    </row>
    <row r="2" spans="1:10" ht="20.100000000000001" customHeight="1">
      <c r="A2" s="136" t="s">
        <v>230</v>
      </c>
      <c r="B2" s="137"/>
      <c r="C2" s="137"/>
      <c r="D2" s="467" t="s">
        <v>255</v>
      </c>
      <c r="E2" s="468"/>
    </row>
    <row r="3" spans="1:10" ht="20.100000000000001" customHeight="1">
      <c r="A3" s="136" t="s">
        <v>231</v>
      </c>
      <c r="B3" s="138"/>
      <c r="C3" s="469" t="s">
        <v>256</v>
      </c>
      <c r="D3" s="469"/>
      <c r="E3" s="470"/>
    </row>
    <row r="4" spans="1:10" ht="14.4" thickBot="1">
      <c r="A4" s="136" t="s">
        <v>394</v>
      </c>
      <c r="B4" s="149"/>
      <c r="C4" s="149"/>
      <c r="D4" s="149"/>
      <c r="E4" s="152"/>
    </row>
    <row r="5" spans="1:10" ht="20.100000000000001" customHeight="1" thickBot="1">
      <c r="A5" s="67" t="s">
        <v>3</v>
      </c>
      <c r="B5" s="68" t="s">
        <v>4</v>
      </c>
      <c r="C5" s="68" t="s">
        <v>5</v>
      </c>
      <c r="D5" s="68" t="s">
        <v>6</v>
      </c>
      <c r="E5" s="69" t="s">
        <v>7</v>
      </c>
    </row>
    <row r="6" spans="1:10">
      <c r="A6" s="376"/>
      <c r="B6" s="373"/>
      <c r="C6" s="374"/>
      <c r="D6" s="374"/>
      <c r="E6" s="375"/>
    </row>
    <row r="7" spans="1:10">
      <c r="A7" s="70"/>
      <c r="B7" s="351" t="s">
        <v>8</v>
      </c>
      <c r="C7" s="71"/>
      <c r="D7" s="71"/>
      <c r="E7" s="72"/>
    </row>
    <row r="8" spans="1:10">
      <c r="A8" s="391" t="s">
        <v>9</v>
      </c>
      <c r="B8" s="389" t="s">
        <v>10</v>
      </c>
      <c r="C8" s="381"/>
      <c r="D8" s="386">
        <f>หมวดงานโครงสร้าง!L69</f>
        <v>842212.98566936899</v>
      </c>
      <c r="E8" s="392"/>
      <c r="F8" s="260"/>
      <c r="G8" s="4"/>
    </row>
    <row r="9" spans="1:10">
      <c r="A9" s="393"/>
      <c r="B9" s="353"/>
      <c r="C9" s="382"/>
      <c r="D9" s="145"/>
      <c r="E9" s="394"/>
      <c r="I9" s="261"/>
      <c r="J9" s="261"/>
    </row>
    <row r="10" spans="1:10">
      <c r="A10" s="395" t="s">
        <v>14</v>
      </c>
      <c r="B10" s="348" t="s">
        <v>15</v>
      </c>
      <c r="C10" s="383"/>
      <c r="D10" s="419">
        <v>704283.1</v>
      </c>
      <c r="E10" s="396"/>
      <c r="F10" s="260"/>
      <c r="G10" s="4"/>
      <c r="I10" s="261"/>
      <c r="J10" s="261"/>
    </row>
    <row r="11" spans="1:10" ht="21.75" customHeight="1">
      <c r="A11" s="393"/>
      <c r="B11" s="354"/>
      <c r="C11" s="382"/>
      <c r="D11" s="145"/>
      <c r="E11" s="394"/>
      <c r="I11" s="261"/>
      <c r="J11" s="261"/>
    </row>
    <row r="12" spans="1:10">
      <c r="A12" s="395" t="s">
        <v>24</v>
      </c>
      <c r="B12" s="348" t="s">
        <v>25</v>
      </c>
      <c r="C12" s="383"/>
      <c r="D12" s="419">
        <f>งานระบบไฟฟ้า!L67</f>
        <v>79289.842000000004</v>
      </c>
      <c r="E12" s="396"/>
      <c r="F12" s="260"/>
      <c r="G12" s="4"/>
      <c r="I12" s="261"/>
      <c r="J12" s="261"/>
    </row>
    <row r="13" spans="1:10">
      <c r="A13" s="393"/>
      <c r="B13" s="353"/>
      <c r="C13" s="384"/>
      <c r="D13" s="145"/>
      <c r="E13" s="396"/>
      <c r="I13" s="261"/>
      <c r="J13" s="261"/>
    </row>
    <row r="14" spans="1:10" s="334" customFormat="1">
      <c r="A14" s="395" t="s">
        <v>27</v>
      </c>
      <c r="B14" s="348" t="s">
        <v>183</v>
      </c>
      <c r="C14" s="383"/>
      <c r="D14" s="419">
        <f>งานระบบประปา!L93</f>
        <v>86319.973837500002</v>
      </c>
      <c r="E14" s="396"/>
      <c r="F14" s="349"/>
      <c r="G14" s="350"/>
      <c r="I14" s="28"/>
      <c r="J14" s="28"/>
    </row>
    <row r="15" spans="1:10" ht="14.4" thickBot="1">
      <c r="A15" s="367"/>
      <c r="B15" s="390"/>
      <c r="C15" s="385"/>
      <c r="D15" s="356"/>
      <c r="E15" s="397"/>
      <c r="J15" s="261"/>
    </row>
    <row r="16" spans="1:10" ht="20.100000000000001" customHeight="1" thickTop="1">
      <c r="A16" s="352"/>
      <c r="B16" s="387" t="s">
        <v>28</v>
      </c>
      <c r="C16" s="355"/>
      <c r="D16" s="355">
        <f>SUM(D8:D15)</f>
        <v>1712105.9015068689</v>
      </c>
      <c r="E16" s="388"/>
      <c r="I16" s="2"/>
    </row>
    <row r="17" spans="1:14" ht="20.100000000000001" customHeight="1">
      <c r="A17" s="56" t="s">
        <v>30</v>
      </c>
      <c r="B17" s="57" t="s">
        <v>29</v>
      </c>
      <c r="C17" s="58" t="s">
        <v>184</v>
      </c>
      <c r="D17" s="58">
        <v>0</v>
      </c>
      <c r="E17" s="59"/>
      <c r="F17" s="4"/>
      <c r="I17" s="3"/>
    </row>
    <row r="18" spans="1:14" ht="20.100000000000001" customHeight="1">
      <c r="A18" s="56" t="s">
        <v>167</v>
      </c>
      <c r="B18" s="60" t="s">
        <v>186</v>
      </c>
      <c r="C18" s="100"/>
      <c r="D18" s="58">
        <f>ROUNDUP(D16*0.1,0)</f>
        <v>171211</v>
      </c>
      <c r="E18" s="61"/>
      <c r="F18" s="462"/>
      <c r="G18" s="462"/>
      <c r="H18" s="262"/>
      <c r="I18" s="3"/>
      <c r="J18" s="464"/>
      <c r="K18" s="465"/>
    </row>
    <row r="19" spans="1:14" ht="20.100000000000001" customHeight="1" thickBot="1">
      <c r="A19" s="62"/>
      <c r="B19" s="63" t="s">
        <v>31</v>
      </c>
      <c r="C19" s="64"/>
      <c r="D19" s="64">
        <f>SUM(D16:D18)</f>
        <v>1883316.9015068689</v>
      </c>
      <c r="E19" s="65"/>
      <c r="F19" s="463"/>
      <c r="G19" s="463"/>
      <c r="I19" s="6"/>
      <c r="J19" s="466"/>
      <c r="K19" s="463"/>
    </row>
    <row r="20" spans="1:14" ht="20.100000000000001" customHeight="1" outlineLevel="1" thickTop="1">
      <c r="A20" s="53"/>
      <c r="B20" s="54" t="s">
        <v>32</v>
      </c>
      <c r="C20" s="66"/>
      <c r="D20" s="66">
        <f>ROUNDUP(D19*7%,2)</f>
        <v>131832.19</v>
      </c>
      <c r="E20" s="55"/>
      <c r="N20" s="5">
        <v>515921.81</v>
      </c>
    </row>
    <row r="21" spans="1:14" ht="20.100000000000001" customHeight="1" outlineLevel="1" thickBot="1">
      <c r="A21" s="377"/>
      <c r="B21" s="378" t="s">
        <v>33</v>
      </c>
      <c r="C21" s="379"/>
      <c r="D21" s="379">
        <f>SUM(D19:D20)</f>
        <v>2015149.0915068688</v>
      </c>
      <c r="E21" s="380"/>
    </row>
    <row r="22" spans="1:14">
      <c r="A22" s="146" t="s">
        <v>34</v>
      </c>
      <c r="B22" s="147"/>
      <c r="C22" s="147"/>
      <c r="D22" s="147"/>
      <c r="E22" s="148"/>
    </row>
    <row r="24" spans="1:14">
      <c r="B24" s="144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4"/>
  <sheetViews>
    <sheetView view="pageBreakPreview" zoomScaleNormal="75" zoomScaleSheetLayoutView="100" workbookViewId="0">
      <pane xSplit="7" ySplit="8" topLeftCell="H51" activePane="bottomRight" state="frozen"/>
      <selection activeCell="P4" sqref="P4"/>
      <selection pane="topRight" activeCell="P4" sqref="P4"/>
      <selection pane="bottomLeft" activeCell="P4" sqref="P4"/>
      <selection pane="bottomRight" activeCell="M11" sqref="M11"/>
    </sheetView>
  </sheetViews>
  <sheetFormatPr defaultColWidth="9.109375" defaultRowHeight="13.8" outlineLevelCol="1"/>
  <cols>
    <col min="1" max="1" width="9.5546875" style="561" customWidth="1"/>
    <col min="2" max="2" width="56.5546875" style="561" customWidth="1"/>
    <col min="3" max="3" width="7.5546875" style="561" customWidth="1"/>
    <col min="4" max="4" width="11.44140625" style="561" hidden="1" customWidth="1" outlineLevel="1"/>
    <col min="5" max="5" width="11.5546875" style="561" hidden="1" customWidth="1" outlineLevel="1"/>
    <col min="6" max="6" width="9.109375" style="561" hidden="1" customWidth="1" outlineLevel="1"/>
    <col min="7" max="7" width="10.6640625" style="561" customWidth="1" collapsed="1"/>
    <col min="8" max="11" width="13.5546875" style="561" customWidth="1"/>
    <col min="12" max="12" width="15.5546875" style="561" customWidth="1"/>
    <col min="13" max="13" width="21.5546875" style="561" customWidth="1"/>
    <col min="14" max="15" width="9.109375" style="561"/>
    <col min="16" max="16" width="9.109375" style="562"/>
    <col min="17" max="256" width="9.109375" style="561"/>
    <col min="257" max="257" width="9.5546875" style="561" customWidth="1"/>
    <col min="258" max="258" width="56.5546875" style="561" customWidth="1"/>
    <col min="259" max="259" width="7.5546875" style="561" customWidth="1"/>
    <col min="260" max="262" width="0" style="561" hidden="1" customWidth="1"/>
    <col min="263" max="263" width="10.6640625" style="561" customWidth="1"/>
    <col min="264" max="267" width="13.5546875" style="561" customWidth="1"/>
    <col min="268" max="268" width="15.5546875" style="561" customWidth="1"/>
    <col min="269" max="269" width="21.5546875" style="561" customWidth="1"/>
    <col min="270" max="512" width="9.109375" style="561"/>
    <col min="513" max="513" width="9.5546875" style="561" customWidth="1"/>
    <col min="514" max="514" width="56.5546875" style="561" customWidth="1"/>
    <col min="515" max="515" width="7.5546875" style="561" customWidth="1"/>
    <col min="516" max="518" width="0" style="561" hidden="1" customWidth="1"/>
    <col min="519" max="519" width="10.6640625" style="561" customWidth="1"/>
    <col min="520" max="523" width="13.5546875" style="561" customWidth="1"/>
    <col min="524" max="524" width="15.5546875" style="561" customWidth="1"/>
    <col min="525" max="525" width="21.5546875" style="561" customWidth="1"/>
    <col min="526" max="768" width="9.109375" style="561"/>
    <col min="769" max="769" width="9.5546875" style="561" customWidth="1"/>
    <col min="770" max="770" width="56.5546875" style="561" customWidth="1"/>
    <col min="771" max="771" width="7.5546875" style="561" customWidth="1"/>
    <col min="772" max="774" width="0" style="561" hidden="1" customWidth="1"/>
    <col min="775" max="775" width="10.6640625" style="561" customWidth="1"/>
    <col min="776" max="779" width="13.5546875" style="561" customWidth="1"/>
    <col min="780" max="780" width="15.5546875" style="561" customWidth="1"/>
    <col min="781" max="781" width="21.5546875" style="561" customWidth="1"/>
    <col min="782" max="1024" width="9.109375" style="561"/>
    <col min="1025" max="1025" width="9.5546875" style="561" customWidth="1"/>
    <col min="1026" max="1026" width="56.5546875" style="561" customWidth="1"/>
    <col min="1027" max="1027" width="7.5546875" style="561" customWidth="1"/>
    <col min="1028" max="1030" width="0" style="561" hidden="1" customWidth="1"/>
    <col min="1031" max="1031" width="10.6640625" style="561" customWidth="1"/>
    <col min="1032" max="1035" width="13.5546875" style="561" customWidth="1"/>
    <col min="1036" max="1036" width="15.5546875" style="561" customWidth="1"/>
    <col min="1037" max="1037" width="21.5546875" style="561" customWidth="1"/>
    <col min="1038" max="1280" width="9.109375" style="561"/>
    <col min="1281" max="1281" width="9.5546875" style="561" customWidth="1"/>
    <col min="1282" max="1282" width="56.5546875" style="561" customWidth="1"/>
    <col min="1283" max="1283" width="7.5546875" style="561" customWidth="1"/>
    <col min="1284" max="1286" width="0" style="561" hidden="1" customWidth="1"/>
    <col min="1287" max="1287" width="10.6640625" style="561" customWidth="1"/>
    <col min="1288" max="1291" width="13.5546875" style="561" customWidth="1"/>
    <col min="1292" max="1292" width="15.5546875" style="561" customWidth="1"/>
    <col min="1293" max="1293" width="21.5546875" style="561" customWidth="1"/>
    <col min="1294" max="1536" width="9.109375" style="561"/>
    <col min="1537" max="1537" width="9.5546875" style="561" customWidth="1"/>
    <col min="1538" max="1538" width="56.5546875" style="561" customWidth="1"/>
    <col min="1539" max="1539" width="7.5546875" style="561" customWidth="1"/>
    <col min="1540" max="1542" width="0" style="561" hidden="1" customWidth="1"/>
    <col min="1543" max="1543" width="10.6640625" style="561" customWidth="1"/>
    <col min="1544" max="1547" width="13.5546875" style="561" customWidth="1"/>
    <col min="1548" max="1548" width="15.5546875" style="561" customWidth="1"/>
    <col min="1549" max="1549" width="21.5546875" style="561" customWidth="1"/>
    <col min="1550" max="1792" width="9.109375" style="561"/>
    <col min="1793" max="1793" width="9.5546875" style="561" customWidth="1"/>
    <col min="1794" max="1794" width="56.5546875" style="561" customWidth="1"/>
    <col min="1795" max="1795" width="7.5546875" style="561" customWidth="1"/>
    <col min="1796" max="1798" width="0" style="561" hidden="1" customWidth="1"/>
    <col min="1799" max="1799" width="10.6640625" style="561" customWidth="1"/>
    <col min="1800" max="1803" width="13.5546875" style="561" customWidth="1"/>
    <col min="1804" max="1804" width="15.5546875" style="561" customWidth="1"/>
    <col min="1805" max="1805" width="21.5546875" style="561" customWidth="1"/>
    <col min="1806" max="2048" width="9.109375" style="561"/>
    <col min="2049" max="2049" width="9.5546875" style="561" customWidth="1"/>
    <col min="2050" max="2050" width="56.5546875" style="561" customWidth="1"/>
    <col min="2051" max="2051" width="7.5546875" style="561" customWidth="1"/>
    <col min="2052" max="2054" width="0" style="561" hidden="1" customWidth="1"/>
    <col min="2055" max="2055" width="10.6640625" style="561" customWidth="1"/>
    <col min="2056" max="2059" width="13.5546875" style="561" customWidth="1"/>
    <col min="2060" max="2060" width="15.5546875" style="561" customWidth="1"/>
    <col min="2061" max="2061" width="21.5546875" style="561" customWidth="1"/>
    <col min="2062" max="2304" width="9.109375" style="561"/>
    <col min="2305" max="2305" width="9.5546875" style="561" customWidth="1"/>
    <col min="2306" max="2306" width="56.5546875" style="561" customWidth="1"/>
    <col min="2307" max="2307" width="7.5546875" style="561" customWidth="1"/>
    <col min="2308" max="2310" width="0" style="561" hidden="1" customWidth="1"/>
    <col min="2311" max="2311" width="10.6640625" style="561" customWidth="1"/>
    <col min="2312" max="2315" width="13.5546875" style="561" customWidth="1"/>
    <col min="2316" max="2316" width="15.5546875" style="561" customWidth="1"/>
    <col min="2317" max="2317" width="21.5546875" style="561" customWidth="1"/>
    <col min="2318" max="2560" width="9.109375" style="561"/>
    <col min="2561" max="2561" width="9.5546875" style="561" customWidth="1"/>
    <col min="2562" max="2562" width="56.5546875" style="561" customWidth="1"/>
    <col min="2563" max="2563" width="7.5546875" style="561" customWidth="1"/>
    <col min="2564" max="2566" width="0" style="561" hidden="1" customWidth="1"/>
    <col min="2567" max="2567" width="10.6640625" style="561" customWidth="1"/>
    <col min="2568" max="2571" width="13.5546875" style="561" customWidth="1"/>
    <col min="2572" max="2572" width="15.5546875" style="561" customWidth="1"/>
    <col min="2573" max="2573" width="21.5546875" style="561" customWidth="1"/>
    <col min="2574" max="2816" width="9.109375" style="561"/>
    <col min="2817" max="2817" width="9.5546875" style="561" customWidth="1"/>
    <col min="2818" max="2818" width="56.5546875" style="561" customWidth="1"/>
    <col min="2819" max="2819" width="7.5546875" style="561" customWidth="1"/>
    <col min="2820" max="2822" width="0" style="561" hidden="1" customWidth="1"/>
    <col min="2823" max="2823" width="10.6640625" style="561" customWidth="1"/>
    <col min="2824" max="2827" width="13.5546875" style="561" customWidth="1"/>
    <col min="2828" max="2828" width="15.5546875" style="561" customWidth="1"/>
    <col min="2829" max="2829" width="21.5546875" style="561" customWidth="1"/>
    <col min="2830" max="3072" width="9.109375" style="561"/>
    <col min="3073" max="3073" width="9.5546875" style="561" customWidth="1"/>
    <col min="3074" max="3074" width="56.5546875" style="561" customWidth="1"/>
    <col min="3075" max="3075" width="7.5546875" style="561" customWidth="1"/>
    <col min="3076" max="3078" width="0" style="561" hidden="1" customWidth="1"/>
    <col min="3079" max="3079" width="10.6640625" style="561" customWidth="1"/>
    <col min="3080" max="3083" width="13.5546875" style="561" customWidth="1"/>
    <col min="3084" max="3084" width="15.5546875" style="561" customWidth="1"/>
    <col min="3085" max="3085" width="21.5546875" style="561" customWidth="1"/>
    <col min="3086" max="3328" width="9.109375" style="561"/>
    <col min="3329" max="3329" width="9.5546875" style="561" customWidth="1"/>
    <col min="3330" max="3330" width="56.5546875" style="561" customWidth="1"/>
    <col min="3331" max="3331" width="7.5546875" style="561" customWidth="1"/>
    <col min="3332" max="3334" width="0" style="561" hidden="1" customWidth="1"/>
    <col min="3335" max="3335" width="10.6640625" style="561" customWidth="1"/>
    <col min="3336" max="3339" width="13.5546875" style="561" customWidth="1"/>
    <col min="3340" max="3340" width="15.5546875" style="561" customWidth="1"/>
    <col min="3341" max="3341" width="21.5546875" style="561" customWidth="1"/>
    <col min="3342" max="3584" width="9.109375" style="561"/>
    <col min="3585" max="3585" width="9.5546875" style="561" customWidth="1"/>
    <col min="3586" max="3586" width="56.5546875" style="561" customWidth="1"/>
    <col min="3587" max="3587" width="7.5546875" style="561" customWidth="1"/>
    <col min="3588" max="3590" width="0" style="561" hidden="1" customWidth="1"/>
    <col min="3591" max="3591" width="10.6640625" style="561" customWidth="1"/>
    <col min="3592" max="3595" width="13.5546875" style="561" customWidth="1"/>
    <col min="3596" max="3596" width="15.5546875" style="561" customWidth="1"/>
    <col min="3597" max="3597" width="21.5546875" style="561" customWidth="1"/>
    <col min="3598" max="3840" width="9.109375" style="561"/>
    <col min="3841" max="3841" width="9.5546875" style="561" customWidth="1"/>
    <col min="3842" max="3842" width="56.5546875" style="561" customWidth="1"/>
    <col min="3843" max="3843" width="7.5546875" style="561" customWidth="1"/>
    <col min="3844" max="3846" width="0" style="561" hidden="1" customWidth="1"/>
    <col min="3847" max="3847" width="10.6640625" style="561" customWidth="1"/>
    <col min="3848" max="3851" width="13.5546875" style="561" customWidth="1"/>
    <col min="3852" max="3852" width="15.5546875" style="561" customWidth="1"/>
    <col min="3853" max="3853" width="21.5546875" style="561" customWidth="1"/>
    <col min="3854" max="4096" width="9.109375" style="561"/>
    <col min="4097" max="4097" width="9.5546875" style="561" customWidth="1"/>
    <col min="4098" max="4098" width="56.5546875" style="561" customWidth="1"/>
    <col min="4099" max="4099" width="7.5546875" style="561" customWidth="1"/>
    <col min="4100" max="4102" width="0" style="561" hidden="1" customWidth="1"/>
    <col min="4103" max="4103" width="10.6640625" style="561" customWidth="1"/>
    <col min="4104" max="4107" width="13.5546875" style="561" customWidth="1"/>
    <col min="4108" max="4108" width="15.5546875" style="561" customWidth="1"/>
    <col min="4109" max="4109" width="21.5546875" style="561" customWidth="1"/>
    <col min="4110" max="4352" width="9.109375" style="561"/>
    <col min="4353" max="4353" width="9.5546875" style="561" customWidth="1"/>
    <col min="4354" max="4354" width="56.5546875" style="561" customWidth="1"/>
    <col min="4355" max="4355" width="7.5546875" style="561" customWidth="1"/>
    <col min="4356" max="4358" width="0" style="561" hidden="1" customWidth="1"/>
    <col min="4359" max="4359" width="10.6640625" style="561" customWidth="1"/>
    <col min="4360" max="4363" width="13.5546875" style="561" customWidth="1"/>
    <col min="4364" max="4364" width="15.5546875" style="561" customWidth="1"/>
    <col min="4365" max="4365" width="21.5546875" style="561" customWidth="1"/>
    <col min="4366" max="4608" width="9.109375" style="561"/>
    <col min="4609" max="4609" width="9.5546875" style="561" customWidth="1"/>
    <col min="4610" max="4610" width="56.5546875" style="561" customWidth="1"/>
    <col min="4611" max="4611" width="7.5546875" style="561" customWidth="1"/>
    <col min="4612" max="4614" width="0" style="561" hidden="1" customWidth="1"/>
    <col min="4615" max="4615" width="10.6640625" style="561" customWidth="1"/>
    <col min="4616" max="4619" width="13.5546875" style="561" customWidth="1"/>
    <col min="4620" max="4620" width="15.5546875" style="561" customWidth="1"/>
    <col min="4621" max="4621" width="21.5546875" style="561" customWidth="1"/>
    <col min="4622" max="4864" width="9.109375" style="561"/>
    <col min="4865" max="4865" width="9.5546875" style="561" customWidth="1"/>
    <col min="4866" max="4866" width="56.5546875" style="561" customWidth="1"/>
    <col min="4867" max="4867" width="7.5546875" style="561" customWidth="1"/>
    <col min="4868" max="4870" width="0" style="561" hidden="1" customWidth="1"/>
    <col min="4871" max="4871" width="10.6640625" style="561" customWidth="1"/>
    <col min="4872" max="4875" width="13.5546875" style="561" customWidth="1"/>
    <col min="4876" max="4876" width="15.5546875" style="561" customWidth="1"/>
    <col min="4877" max="4877" width="21.5546875" style="561" customWidth="1"/>
    <col min="4878" max="5120" width="9.109375" style="561"/>
    <col min="5121" max="5121" width="9.5546875" style="561" customWidth="1"/>
    <col min="5122" max="5122" width="56.5546875" style="561" customWidth="1"/>
    <col min="5123" max="5123" width="7.5546875" style="561" customWidth="1"/>
    <col min="5124" max="5126" width="0" style="561" hidden="1" customWidth="1"/>
    <col min="5127" max="5127" width="10.6640625" style="561" customWidth="1"/>
    <col min="5128" max="5131" width="13.5546875" style="561" customWidth="1"/>
    <col min="5132" max="5132" width="15.5546875" style="561" customWidth="1"/>
    <col min="5133" max="5133" width="21.5546875" style="561" customWidth="1"/>
    <col min="5134" max="5376" width="9.109375" style="561"/>
    <col min="5377" max="5377" width="9.5546875" style="561" customWidth="1"/>
    <col min="5378" max="5378" width="56.5546875" style="561" customWidth="1"/>
    <col min="5379" max="5379" width="7.5546875" style="561" customWidth="1"/>
    <col min="5380" max="5382" width="0" style="561" hidden="1" customWidth="1"/>
    <col min="5383" max="5383" width="10.6640625" style="561" customWidth="1"/>
    <col min="5384" max="5387" width="13.5546875" style="561" customWidth="1"/>
    <col min="5388" max="5388" width="15.5546875" style="561" customWidth="1"/>
    <col min="5389" max="5389" width="21.5546875" style="561" customWidth="1"/>
    <col min="5390" max="5632" width="9.109375" style="561"/>
    <col min="5633" max="5633" width="9.5546875" style="561" customWidth="1"/>
    <col min="5634" max="5634" width="56.5546875" style="561" customWidth="1"/>
    <col min="5635" max="5635" width="7.5546875" style="561" customWidth="1"/>
    <col min="5636" max="5638" width="0" style="561" hidden="1" customWidth="1"/>
    <col min="5639" max="5639" width="10.6640625" style="561" customWidth="1"/>
    <col min="5640" max="5643" width="13.5546875" style="561" customWidth="1"/>
    <col min="5644" max="5644" width="15.5546875" style="561" customWidth="1"/>
    <col min="5645" max="5645" width="21.5546875" style="561" customWidth="1"/>
    <col min="5646" max="5888" width="9.109375" style="561"/>
    <col min="5889" max="5889" width="9.5546875" style="561" customWidth="1"/>
    <col min="5890" max="5890" width="56.5546875" style="561" customWidth="1"/>
    <col min="5891" max="5891" width="7.5546875" style="561" customWidth="1"/>
    <col min="5892" max="5894" width="0" style="561" hidden="1" customWidth="1"/>
    <col min="5895" max="5895" width="10.6640625" style="561" customWidth="1"/>
    <col min="5896" max="5899" width="13.5546875" style="561" customWidth="1"/>
    <col min="5900" max="5900" width="15.5546875" style="561" customWidth="1"/>
    <col min="5901" max="5901" width="21.5546875" style="561" customWidth="1"/>
    <col min="5902" max="6144" width="9.109375" style="561"/>
    <col min="6145" max="6145" width="9.5546875" style="561" customWidth="1"/>
    <col min="6146" max="6146" width="56.5546875" style="561" customWidth="1"/>
    <col min="6147" max="6147" width="7.5546875" style="561" customWidth="1"/>
    <col min="6148" max="6150" width="0" style="561" hidden="1" customWidth="1"/>
    <col min="6151" max="6151" width="10.6640625" style="561" customWidth="1"/>
    <col min="6152" max="6155" width="13.5546875" style="561" customWidth="1"/>
    <col min="6156" max="6156" width="15.5546875" style="561" customWidth="1"/>
    <col min="6157" max="6157" width="21.5546875" style="561" customWidth="1"/>
    <col min="6158" max="6400" width="9.109375" style="561"/>
    <col min="6401" max="6401" width="9.5546875" style="561" customWidth="1"/>
    <col min="6402" max="6402" width="56.5546875" style="561" customWidth="1"/>
    <col min="6403" max="6403" width="7.5546875" style="561" customWidth="1"/>
    <col min="6404" max="6406" width="0" style="561" hidden="1" customWidth="1"/>
    <col min="6407" max="6407" width="10.6640625" style="561" customWidth="1"/>
    <col min="6408" max="6411" width="13.5546875" style="561" customWidth="1"/>
    <col min="6412" max="6412" width="15.5546875" style="561" customWidth="1"/>
    <col min="6413" max="6413" width="21.5546875" style="561" customWidth="1"/>
    <col min="6414" max="6656" width="9.109375" style="561"/>
    <col min="6657" max="6657" width="9.5546875" style="561" customWidth="1"/>
    <col min="6658" max="6658" width="56.5546875" style="561" customWidth="1"/>
    <col min="6659" max="6659" width="7.5546875" style="561" customWidth="1"/>
    <col min="6660" max="6662" width="0" style="561" hidden="1" customWidth="1"/>
    <col min="6663" max="6663" width="10.6640625" style="561" customWidth="1"/>
    <col min="6664" max="6667" width="13.5546875" style="561" customWidth="1"/>
    <col min="6668" max="6668" width="15.5546875" style="561" customWidth="1"/>
    <col min="6669" max="6669" width="21.5546875" style="561" customWidth="1"/>
    <col min="6670" max="6912" width="9.109375" style="561"/>
    <col min="6913" max="6913" width="9.5546875" style="561" customWidth="1"/>
    <col min="6914" max="6914" width="56.5546875" style="561" customWidth="1"/>
    <col min="6915" max="6915" width="7.5546875" style="561" customWidth="1"/>
    <col min="6916" max="6918" width="0" style="561" hidden="1" customWidth="1"/>
    <col min="6919" max="6919" width="10.6640625" style="561" customWidth="1"/>
    <col min="6920" max="6923" width="13.5546875" style="561" customWidth="1"/>
    <col min="6924" max="6924" width="15.5546875" style="561" customWidth="1"/>
    <col min="6925" max="6925" width="21.5546875" style="561" customWidth="1"/>
    <col min="6926" max="7168" width="9.109375" style="561"/>
    <col min="7169" max="7169" width="9.5546875" style="561" customWidth="1"/>
    <col min="7170" max="7170" width="56.5546875" style="561" customWidth="1"/>
    <col min="7171" max="7171" width="7.5546875" style="561" customWidth="1"/>
    <col min="7172" max="7174" width="0" style="561" hidden="1" customWidth="1"/>
    <col min="7175" max="7175" width="10.6640625" style="561" customWidth="1"/>
    <col min="7176" max="7179" width="13.5546875" style="561" customWidth="1"/>
    <col min="7180" max="7180" width="15.5546875" style="561" customWidth="1"/>
    <col min="7181" max="7181" width="21.5546875" style="561" customWidth="1"/>
    <col min="7182" max="7424" width="9.109375" style="561"/>
    <col min="7425" max="7425" width="9.5546875" style="561" customWidth="1"/>
    <col min="7426" max="7426" width="56.5546875" style="561" customWidth="1"/>
    <col min="7427" max="7427" width="7.5546875" style="561" customWidth="1"/>
    <col min="7428" max="7430" width="0" style="561" hidden="1" customWidth="1"/>
    <col min="7431" max="7431" width="10.6640625" style="561" customWidth="1"/>
    <col min="7432" max="7435" width="13.5546875" style="561" customWidth="1"/>
    <col min="7436" max="7436" width="15.5546875" style="561" customWidth="1"/>
    <col min="7437" max="7437" width="21.5546875" style="561" customWidth="1"/>
    <col min="7438" max="7680" width="9.109375" style="561"/>
    <col min="7681" max="7681" width="9.5546875" style="561" customWidth="1"/>
    <col min="7682" max="7682" width="56.5546875" style="561" customWidth="1"/>
    <col min="7683" max="7683" width="7.5546875" style="561" customWidth="1"/>
    <col min="7684" max="7686" width="0" style="561" hidden="1" customWidth="1"/>
    <col min="7687" max="7687" width="10.6640625" style="561" customWidth="1"/>
    <col min="7688" max="7691" width="13.5546875" style="561" customWidth="1"/>
    <col min="7692" max="7692" width="15.5546875" style="561" customWidth="1"/>
    <col min="7693" max="7693" width="21.5546875" style="561" customWidth="1"/>
    <col min="7694" max="7936" width="9.109375" style="561"/>
    <col min="7937" max="7937" width="9.5546875" style="561" customWidth="1"/>
    <col min="7938" max="7938" width="56.5546875" style="561" customWidth="1"/>
    <col min="7939" max="7939" width="7.5546875" style="561" customWidth="1"/>
    <col min="7940" max="7942" width="0" style="561" hidden="1" customWidth="1"/>
    <col min="7943" max="7943" width="10.6640625" style="561" customWidth="1"/>
    <col min="7944" max="7947" width="13.5546875" style="561" customWidth="1"/>
    <col min="7948" max="7948" width="15.5546875" style="561" customWidth="1"/>
    <col min="7949" max="7949" width="21.5546875" style="561" customWidth="1"/>
    <col min="7950" max="8192" width="9.109375" style="561"/>
    <col min="8193" max="8193" width="9.5546875" style="561" customWidth="1"/>
    <col min="8194" max="8194" width="56.5546875" style="561" customWidth="1"/>
    <col min="8195" max="8195" width="7.5546875" style="561" customWidth="1"/>
    <col min="8196" max="8198" width="0" style="561" hidden="1" customWidth="1"/>
    <col min="8199" max="8199" width="10.6640625" style="561" customWidth="1"/>
    <col min="8200" max="8203" width="13.5546875" style="561" customWidth="1"/>
    <col min="8204" max="8204" width="15.5546875" style="561" customWidth="1"/>
    <col min="8205" max="8205" width="21.5546875" style="561" customWidth="1"/>
    <col min="8206" max="8448" width="9.109375" style="561"/>
    <col min="8449" max="8449" width="9.5546875" style="561" customWidth="1"/>
    <col min="8450" max="8450" width="56.5546875" style="561" customWidth="1"/>
    <col min="8451" max="8451" width="7.5546875" style="561" customWidth="1"/>
    <col min="8452" max="8454" width="0" style="561" hidden="1" customWidth="1"/>
    <col min="8455" max="8455" width="10.6640625" style="561" customWidth="1"/>
    <col min="8456" max="8459" width="13.5546875" style="561" customWidth="1"/>
    <col min="8460" max="8460" width="15.5546875" style="561" customWidth="1"/>
    <col min="8461" max="8461" width="21.5546875" style="561" customWidth="1"/>
    <col min="8462" max="8704" width="9.109375" style="561"/>
    <col min="8705" max="8705" width="9.5546875" style="561" customWidth="1"/>
    <col min="8706" max="8706" width="56.5546875" style="561" customWidth="1"/>
    <col min="8707" max="8707" width="7.5546875" style="561" customWidth="1"/>
    <col min="8708" max="8710" width="0" style="561" hidden="1" customWidth="1"/>
    <col min="8711" max="8711" width="10.6640625" style="561" customWidth="1"/>
    <col min="8712" max="8715" width="13.5546875" style="561" customWidth="1"/>
    <col min="8716" max="8716" width="15.5546875" style="561" customWidth="1"/>
    <col min="8717" max="8717" width="21.5546875" style="561" customWidth="1"/>
    <col min="8718" max="8960" width="9.109375" style="561"/>
    <col min="8961" max="8961" width="9.5546875" style="561" customWidth="1"/>
    <col min="8962" max="8962" width="56.5546875" style="561" customWidth="1"/>
    <col min="8963" max="8963" width="7.5546875" style="561" customWidth="1"/>
    <col min="8964" max="8966" width="0" style="561" hidden="1" customWidth="1"/>
    <col min="8967" max="8967" width="10.6640625" style="561" customWidth="1"/>
    <col min="8968" max="8971" width="13.5546875" style="561" customWidth="1"/>
    <col min="8972" max="8972" width="15.5546875" style="561" customWidth="1"/>
    <col min="8973" max="8973" width="21.5546875" style="561" customWidth="1"/>
    <col min="8974" max="9216" width="9.109375" style="561"/>
    <col min="9217" max="9217" width="9.5546875" style="561" customWidth="1"/>
    <col min="9218" max="9218" width="56.5546875" style="561" customWidth="1"/>
    <col min="9219" max="9219" width="7.5546875" style="561" customWidth="1"/>
    <col min="9220" max="9222" width="0" style="561" hidden="1" customWidth="1"/>
    <col min="9223" max="9223" width="10.6640625" style="561" customWidth="1"/>
    <col min="9224" max="9227" width="13.5546875" style="561" customWidth="1"/>
    <col min="9228" max="9228" width="15.5546875" style="561" customWidth="1"/>
    <col min="9229" max="9229" width="21.5546875" style="561" customWidth="1"/>
    <col min="9230" max="9472" width="9.109375" style="561"/>
    <col min="9473" max="9473" width="9.5546875" style="561" customWidth="1"/>
    <col min="9474" max="9474" width="56.5546875" style="561" customWidth="1"/>
    <col min="9475" max="9475" width="7.5546875" style="561" customWidth="1"/>
    <col min="9476" max="9478" width="0" style="561" hidden="1" customWidth="1"/>
    <col min="9479" max="9479" width="10.6640625" style="561" customWidth="1"/>
    <col min="9480" max="9483" width="13.5546875" style="561" customWidth="1"/>
    <col min="9484" max="9484" width="15.5546875" style="561" customWidth="1"/>
    <col min="9485" max="9485" width="21.5546875" style="561" customWidth="1"/>
    <col min="9486" max="9728" width="9.109375" style="561"/>
    <col min="9729" max="9729" width="9.5546875" style="561" customWidth="1"/>
    <col min="9730" max="9730" width="56.5546875" style="561" customWidth="1"/>
    <col min="9731" max="9731" width="7.5546875" style="561" customWidth="1"/>
    <col min="9732" max="9734" width="0" style="561" hidden="1" customWidth="1"/>
    <col min="9735" max="9735" width="10.6640625" style="561" customWidth="1"/>
    <col min="9736" max="9739" width="13.5546875" style="561" customWidth="1"/>
    <col min="9740" max="9740" width="15.5546875" style="561" customWidth="1"/>
    <col min="9741" max="9741" width="21.5546875" style="561" customWidth="1"/>
    <col min="9742" max="9984" width="9.109375" style="561"/>
    <col min="9985" max="9985" width="9.5546875" style="561" customWidth="1"/>
    <col min="9986" max="9986" width="56.5546875" style="561" customWidth="1"/>
    <col min="9987" max="9987" width="7.5546875" style="561" customWidth="1"/>
    <col min="9988" max="9990" width="0" style="561" hidden="1" customWidth="1"/>
    <col min="9991" max="9991" width="10.6640625" style="561" customWidth="1"/>
    <col min="9992" max="9995" width="13.5546875" style="561" customWidth="1"/>
    <col min="9996" max="9996" width="15.5546875" style="561" customWidth="1"/>
    <col min="9997" max="9997" width="21.5546875" style="561" customWidth="1"/>
    <col min="9998" max="10240" width="9.109375" style="561"/>
    <col min="10241" max="10241" width="9.5546875" style="561" customWidth="1"/>
    <col min="10242" max="10242" width="56.5546875" style="561" customWidth="1"/>
    <col min="10243" max="10243" width="7.5546875" style="561" customWidth="1"/>
    <col min="10244" max="10246" width="0" style="561" hidden="1" customWidth="1"/>
    <col min="10247" max="10247" width="10.6640625" style="561" customWidth="1"/>
    <col min="10248" max="10251" width="13.5546875" style="561" customWidth="1"/>
    <col min="10252" max="10252" width="15.5546875" style="561" customWidth="1"/>
    <col min="10253" max="10253" width="21.5546875" style="561" customWidth="1"/>
    <col min="10254" max="10496" width="9.109375" style="561"/>
    <col min="10497" max="10497" width="9.5546875" style="561" customWidth="1"/>
    <col min="10498" max="10498" width="56.5546875" style="561" customWidth="1"/>
    <col min="10499" max="10499" width="7.5546875" style="561" customWidth="1"/>
    <col min="10500" max="10502" width="0" style="561" hidden="1" customWidth="1"/>
    <col min="10503" max="10503" width="10.6640625" style="561" customWidth="1"/>
    <col min="10504" max="10507" width="13.5546875" style="561" customWidth="1"/>
    <col min="10508" max="10508" width="15.5546875" style="561" customWidth="1"/>
    <col min="10509" max="10509" width="21.5546875" style="561" customWidth="1"/>
    <col min="10510" max="10752" width="9.109375" style="561"/>
    <col min="10753" max="10753" width="9.5546875" style="561" customWidth="1"/>
    <col min="10754" max="10754" width="56.5546875" style="561" customWidth="1"/>
    <col min="10755" max="10755" width="7.5546875" style="561" customWidth="1"/>
    <col min="10756" max="10758" width="0" style="561" hidden="1" customWidth="1"/>
    <col min="10759" max="10759" width="10.6640625" style="561" customWidth="1"/>
    <col min="10760" max="10763" width="13.5546875" style="561" customWidth="1"/>
    <col min="10764" max="10764" width="15.5546875" style="561" customWidth="1"/>
    <col min="10765" max="10765" width="21.5546875" style="561" customWidth="1"/>
    <col min="10766" max="11008" width="9.109375" style="561"/>
    <col min="11009" max="11009" width="9.5546875" style="561" customWidth="1"/>
    <col min="11010" max="11010" width="56.5546875" style="561" customWidth="1"/>
    <col min="11011" max="11011" width="7.5546875" style="561" customWidth="1"/>
    <col min="11012" max="11014" width="0" style="561" hidden="1" customWidth="1"/>
    <col min="11015" max="11015" width="10.6640625" style="561" customWidth="1"/>
    <col min="11016" max="11019" width="13.5546875" style="561" customWidth="1"/>
    <col min="11020" max="11020" width="15.5546875" style="561" customWidth="1"/>
    <col min="11021" max="11021" width="21.5546875" style="561" customWidth="1"/>
    <col min="11022" max="11264" width="9.109375" style="561"/>
    <col min="11265" max="11265" width="9.5546875" style="561" customWidth="1"/>
    <col min="11266" max="11266" width="56.5546875" style="561" customWidth="1"/>
    <col min="11267" max="11267" width="7.5546875" style="561" customWidth="1"/>
    <col min="11268" max="11270" width="0" style="561" hidden="1" customWidth="1"/>
    <col min="11271" max="11271" width="10.6640625" style="561" customWidth="1"/>
    <col min="11272" max="11275" width="13.5546875" style="561" customWidth="1"/>
    <col min="11276" max="11276" width="15.5546875" style="561" customWidth="1"/>
    <col min="11277" max="11277" width="21.5546875" style="561" customWidth="1"/>
    <col min="11278" max="11520" width="9.109375" style="561"/>
    <col min="11521" max="11521" width="9.5546875" style="561" customWidth="1"/>
    <col min="11522" max="11522" width="56.5546875" style="561" customWidth="1"/>
    <col min="11523" max="11523" width="7.5546875" style="561" customWidth="1"/>
    <col min="11524" max="11526" width="0" style="561" hidden="1" customWidth="1"/>
    <col min="11527" max="11527" width="10.6640625" style="561" customWidth="1"/>
    <col min="11528" max="11531" width="13.5546875" style="561" customWidth="1"/>
    <col min="11532" max="11532" width="15.5546875" style="561" customWidth="1"/>
    <col min="11533" max="11533" width="21.5546875" style="561" customWidth="1"/>
    <col min="11534" max="11776" width="9.109375" style="561"/>
    <col min="11777" max="11777" width="9.5546875" style="561" customWidth="1"/>
    <col min="11778" max="11778" width="56.5546875" style="561" customWidth="1"/>
    <col min="11779" max="11779" width="7.5546875" style="561" customWidth="1"/>
    <col min="11780" max="11782" width="0" style="561" hidden="1" customWidth="1"/>
    <col min="11783" max="11783" width="10.6640625" style="561" customWidth="1"/>
    <col min="11784" max="11787" width="13.5546875" style="561" customWidth="1"/>
    <col min="11788" max="11788" width="15.5546875" style="561" customWidth="1"/>
    <col min="11789" max="11789" width="21.5546875" style="561" customWidth="1"/>
    <col min="11790" max="12032" width="9.109375" style="561"/>
    <col min="12033" max="12033" width="9.5546875" style="561" customWidth="1"/>
    <col min="12034" max="12034" width="56.5546875" style="561" customWidth="1"/>
    <col min="12035" max="12035" width="7.5546875" style="561" customWidth="1"/>
    <col min="12036" max="12038" width="0" style="561" hidden="1" customWidth="1"/>
    <col min="12039" max="12039" width="10.6640625" style="561" customWidth="1"/>
    <col min="12040" max="12043" width="13.5546875" style="561" customWidth="1"/>
    <col min="12044" max="12044" width="15.5546875" style="561" customWidth="1"/>
    <col min="12045" max="12045" width="21.5546875" style="561" customWidth="1"/>
    <col min="12046" max="12288" width="9.109375" style="561"/>
    <col min="12289" max="12289" width="9.5546875" style="561" customWidth="1"/>
    <col min="12290" max="12290" width="56.5546875" style="561" customWidth="1"/>
    <col min="12291" max="12291" width="7.5546875" style="561" customWidth="1"/>
    <col min="12292" max="12294" width="0" style="561" hidden="1" customWidth="1"/>
    <col min="12295" max="12295" width="10.6640625" style="561" customWidth="1"/>
    <col min="12296" max="12299" width="13.5546875" style="561" customWidth="1"/>
    <col min="12300" max="12300" width="15.5546875" style="561" customWidth="1"/>
    <col min="12301" max="12301" width="21.5546875" style="561" customWidth="1"/>
    <col min="12302" max="12544" width="9.109375" style="561"/>
    <col min="12545" max="12545" width="9.5546875" style="561" customWidth="1"/>
    <col min="12546" max="12546" width="56.5546875" style="561" customWidth="1"/>
    <col min="12547" max="12547" width="7.5546875" style="561" customWidth="1"/>
    <col min="12548" max="12550" width="0" style="561" hidden="1" customWidth="1"/>
    <col min="12551" max="12551" width="10.6640625" style="561" customWidth="1"/>
    <col min="12552" max="12555" width="13.5546875" style="561" customWidth="1"/>
    <col min="12556" max="12556" width="15.5546875" style="561" customWidth="1"/>
    <col min="12557" max="12557" width="21.5546875" style="561" customWidth="1"/>
    <col min="12558" max="12800" width="9.109375" style="561"/>
    <col min="12801" max="12801" width="9.5546875" style="561" customWidth="1"/>
    <col min="12802" max="12802" width="56.5546875" style="561" customWidth="1"/>
    <col min="12803" max="12803" width="7.5546875" style="561" customWidth="1"/>
    <col min="12804" max="12806" width="0" style="561" hidden="1" customWidth="1"/>
    <col min="12807" max="12807" width="10.6640625" style="561" customWidth="1"/>
    <col min="12808" max="12811" width="13.5546875" style="561" customWidth="1"/>
    <col min="12812" max="12812" width="15.5546875" style="561" customWidth="1"/>
    <col min="12813" max="12813" width="21.5546875" style="561" customWidth="1"/>
    <col min="12814" max="13056" width="9.109375" style="561"/>
    <col min="13057" max="13057" width="9.5546875" style="561" customWidth="1"/>
    <col min="13058" max="13058" width="56.5546875" style="561" customWidth="1"/>
    <col min="13059" max="13059" width="7.5546875" style="561" customWidth="1"/>
    <col min="13060" max="13062" width="0" style="561" hidden="1" customWidth="1"/>
    <col min="13063" max="13063" width="10.6640625" style="561" customWidth="1"/>
    <col min="13064" max="13067" width="13.5546875" style="561" customWidth="1"/>
    <col min="13068" max="13068" width="15.5546875" style="561" customWidth="1"/>
    <col min="13069" max="13069" width="21.5546875" style="561" customWidth="1"/>
    <col min="13070" max="13312" width="9.109375" style="561"/>
    <col min="13313" max="13313" width="9.5546875" style="561" customWidth="1"/>
    <col min="13314" max="13314" width="56.5546875" style="561" customWidth="1"/>
    <col min="13315" max="13315" width="7.5546875" style="561" customWidth="1"/>
    <col min="13316" max="13318" width="0" style="561" hidden="1" customWidth="1"/>
    <col min="13319" max="13319" width="10.6640625" style="561" customWidth="1"/>
    <col min="13320" max="13323" width="13.5546875" style="561" customWidth="1"/>
    <col min="13324" max="13324" width="15.5546875" style="561" customWidth="1"/>
    <col min="13325" max="13325" width="21.5546875" style="561" customWidth="1"/>
    <col min="13326" max="13568" width="9.109375" style="561"/>
    <col min="13569" max="13569" width="9.5546875" style="561" customWidth="1"/>
    <col min="13570" max="13570" width="56.5546875" style="561" customWidth="1"/>
    <col min="13571" max="13571" width="7.5546875" style="561" customWidth="1"/>
    <col min="13572" max="13574" width="0" style="561" hidden="1" customWidth="1"/>
    <col min="13575" max="13575" width="10.6640625" style="561" customWidth="1"/>
    <col min="13576" max="13579" width="13.5546875" style="561" customWidth="1"/>
    <col min="13580" max="13580" width="15.5546875" style="561" customWidth="1"/>
    <col min="13581" max="13581" width="21.5546875" style="561" customWidth="1"/>
    <col min="13582" max="13824" width="9.109375" style="561"/>
    <col min="13825" max="13825" width="9.5546875" style="561" customWidth="1"/>
    <col min="13826" max="13826" width="56.5546875" style="561" customWidth="1"/>
    <col min="13827" max="13827" width="7.5546875" style="561" customWidth="1"/>
    <col min="13828" max="13830" width="0" style="561" hidden="1" customWidth="1"/>
    <col min="13831" max="13831" width="10.6640625" style="561" customWidth="1"/>
    <col min="13832" max="13835" width="13.5546875" style="561" customWidth="1"/>
    <col min="13836" max="13836" width="15.5546875" style="561" customWidth="1"/>
    <col min="13837" max="13837" width="21.5546875" style="561" customWidth="1"/>
    <col min="13838" max="14080" width="9.109375" style="561"/>
    <col min="14081" max="14081" width="9.5546875" style="561" customWidth="1"/>
    <col min="14082" max="14082" width="56.5546875" style="561" customWidth="1"/>
    <col min="14083" max="14083" width="7.5546875" style="561" customWidth="1"/>
    <col min="14084" max="14086" width="0" style="561" hidden="1" customWidth="1"/>
    <col min="14087" max="14087" width="10.6640625" style="561" customWidth="1"/>
    <col min="14088" max="14091" width="13.5546875" style="561" customWidth="1"/>
    <col min="14092" max="14092" width="15.5546875" style="561" customWidth="1"/>
    <col min="14093" max="14093" width="21.5546875" style="561" customWidth="1"/>
    <col min="14094" max="14336" width="9.109375" style="561"/>
    <col min="14337" max="14337" width="9.5546875" style="561" customWidth="1"/>
    <col min="14338" max="14338" width="56.5546875" style="561" customWidth="1"/>
    <col min="14339" max="14339" width="7.5546875" style="561" customWidth="1"/>
    <col min="14340" max="14342" width="0" style="561" hidden="1" customWidth="1"/>
    <col min="14343" max="14343" width="10.6640625" style="561" customWidth="1"/>
    <col min="14344" max="14347" width="13.5546875" style="561" customWidth="1"/>
    <col min="14348" max="14348" width="15.5546875" style="561" customWidth="1"/>
    <col min="14349" max="14349" width="21.5546875" style="561" customWidth="1"/>
    <col min="14350" max="14592" width="9.109375" style="561"/>
    <col min="14593" max="14593" width="9.5546875" style="561" customWidth="1"/>
    <col min="14594" max="14594" width="56.5546875" style="561" customWidth="1"/>
    <col min="14595" max="14595" width="7.5546875" style="561" customWidth="1"/>
    <col min="14596" max="14598" width="0" style="561" hidden="1" customWidth="1"/>
    <col min="14599" max="14599" width="10.6640625" style="561" customWidth="1"/>
    <col min="14600" max="14603" width="13.5546875" style="561" customWidth="1"/>
    <col min="14604" max="14604" width="15.5546875" style="561" customWidth="1"/>
    <col min="14605" max="14605" width="21.5546875" style="561" customWidth="1"/>
    <col min="14606" max="14848" width="9.109375" style="561"/>
    <col min="14849" max="14849" width="9.5546875" style="561" customWidth="1"/>
    <col min="14850" max="14850" width="56.5546875" style="561" customWidth="1"/>
    <col min="14851" max="14851" width="7.5546875" style="561" customWidth="1"/>
    <col min="14852" max="14854" width="0" style="561" hidden="1" customWidth="1"/>
    <col min="14855" max="14855" width="10.6640625" style="561" customWidth="1"/>
    <col min="14856" max="14859" width="13.5546875" style="561" customWidth="1"/>
    <col min="14860" max="14860" width="15.5546875" style="561" customWidth="1"/>
    <col min="14861" max="14861" width="21.5546875" style="561" customWidth="1"/>
    <col min="14862" max="15104" width="9.109375" style="561"/>
    <col min="15105" max="15105" width="9.5546875" style="561" customWidth="1"/>
    <col min="15106" max="15106" width="56.5546875" style="561" customWidth="1"/>
    <col min="15107" max="15107" width="7.5546875" style="561" customWidth="1"/>
    <col min="15108" max="15110" width="0" style="561" hidden="1" customWidth="1"/>
    <col min="15111" max="15111" width="10.6640625" style="561" customWidth="1"/>
    <col min="15112" max="15115" width="13.5546875" style="561" customWidth="1"/>
    <col min="15116" max="15116" width="15.5546875" style="561" customWidth="1"/>
    <col min="15117" max="15117" width="21.5546875" style="561" customWidth="1"/>
    <col min="15118" max="15360" width="9.109375" style="561"/>
    <col min="15361" max="15361" width="9.5546875" style="561" customWidth="1"/>
    <col min="15362" max="15362" width="56.5546875" style="561" customWidth="1"/>
    <col min="15363" max="15363" width="7.5546875" style="561" customWidth="1"/>
    <col min="15364" max="15366" width="0" style="561" hidden="1" customWidth="1"/>
    <col min="15367" max="15367" width="10.6640625" style="561" customWidth="1"/>
    <col min="15368" max="15371" width="13.5546875" style="561" customWidth="1"/>
    <col min="15372" max="15372" width="15.5546875" style="561" customWidth="1"/>
    <col min="15373" max="15373" width="21.5546875" style="561" customWidth="1"/>
    <col min="15374" max="15616" width="9.109375" style="561"/>
    <col min="15617" max="15617" width="9.5546875" style="561" customWidth="1"/>
    <col min="15618" max="15618" width="56.5546875" style="561" customWidth="1"/>
    <col min="15619" max="15619" width="7.5546875" style="561" customWidth="1"/>
    <col min="15620" max="15622" width="0" style="561" hidden="1" customWidth="1"/>
    <col min="15623" max="15623" width="10.6640625" style="561" customWidth="1"/>
    <col min="15624" max="15627" width="13.5546875" style="561" customWidth="1"/>
    <col min="15628" max="15628" width="15.5546875" style="561" customWidth="1"/>
    <col min="15629" max="15629" width="21.5546875" style="561" customWidth="1"/>
    <col min="15630" max="15872" width="9.109375" style="561"/>
    <col min="15873" max="15873" width="9.5546875" style="561" customWidth="1"/>
    <col min="15874" max="15874" width="56.5546875" style="561" customWidth="1"/>
    <col min="15875" max="15875" width="7.5546875" style="561" customWidth="1"/>
    <col min="15876" max="15878" width="0" style="561" hidden="1" customWidth="1"/>
    <col min="15879" max="15879" width="10.6640625" style="561" customWidth="1"/>
    <col min="15880" max="15883" width="13.5546875" style="561" customWidth="1"/>
    <col min="15884" max="15884" width="15.5546875" style="561" customWidth="1"/>
    <col min="15885" max="15885" width="21.5546875" style="561" customWidth="1"/>
    <col min="15886" max="16128" width="9.109375" style="561"/>
    <col min="16129" max="16129" width="9.5546875" style="561" customWidth="1"/>
    <col min="16130" max="16130" width="56.5546875" style="561" customWidth="1"/>
    <col min="16131" max="16131" width="7.5546875" style="561" customWidth="1"/>
    <col min="16132" max="16134" width="0" style="561" hidden="1" customWidth="1"/>
    <col min="16135" max="16135" width="10.6640625" style="561" customWidth="1"/>
    <col min="16136" max="16139" width="13.5546875" style="561" customWidth="1"/>
    <col min="16140" max="16140" width="15.5546875" style="561" customWidth="1"/>
    <col min="16141" max="16141" width="21.5546875" style="561" customWidth="1"/>
    <col min="16142" max="16384" width="9.109375" style="561"/>
  </cols>
  <sheetData>
    <row r="1" spans="1:16" s="490" customFormat="1" ht="20.100000000000001" customHeight="1">
      <c r="A1" s="487" t="s">
        <v>37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9"/>
    </row>
    <row r="2" spans="1:16" s="490" customFormat="1" ht="20.100000000000001" customHeight="1">
      <c r="A2" s="491" t="s">
        <v>46</v>
      </c>
      <c r="B2" s="492"/>
      <c r="C2" s="492"/>
      <c r="D2" s="492"/>
      <c r="E2" s="492"/>
      <c r="F2" s="492"/>
      <c r="G2" s="492"/>
      <c r="H2" s="492"/>
      <c r="I2" s="492"/>
      <c r="J2" s="492"/>
      <c r="K2" s="492"/>
      <c r="L2" s="492"/>
      <c r="M2" s="493"/>
    </row>
    <row r="3" spans="1:16" s="490" customFormat="1" ht="20.100000000000001" customHeight="1">
      <c r="A3" s="494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495"/>
      <c r="C3" s="496"/>
      <c r="D3" s="165"/>
      <c r="E3" s="139"/>
      <c r="F3" s="139"/>
      <c r="G3" s="139"/>
      <c r="H3" s="140"/>
      <c r="I3" s="140"/>
      <c r="J3" s="166"/>
      <c r="K3" s="166"/>
      <c r="L3" s="142"/>
      <c r="M3" s="497" t="str">
        <f>'[2]cover '!D2</f>
        <v xml:space="preserve">จัดทำโดย คณะสถาปัตยกรรมศาสตร์ 
</v>
      </c>
    </row>
    <row r="4" spans="1:16" s="490" customFormat="1" ht="20.100000000000001" customHeight="1">
      <c r="A4" s="494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496"/>
      <c r="C4" s="496"/>
      <c r="D4" s="165"/>
      <c r="E4" s="139"/>
      <c r="F4" s="139"/>
      <c r="G4" s="139"/>
      <c r="H4" s="140"/>
      <c r="I4" s="140"/>
      <c r="J4" s="498" t="s">
        <v>256</v>
      </c>
      <c r="K4" s="498"/>
      <c r="L4" s="498"/>
      <c r="M4" s="499"/>
    </row>
    <row r="5" spans="1:16" s="490" customFormat="1" ht="20.100000000000001" customHeight="1" thickBot="1">
      <c r="A5" s="494" t="str">
        <f>'[2]cover '!A4</f>
        <v>แบบบ้าน  :  บ้านดีดีรักษ์ดิน 2</v>
      </c>
      <c r="B5" s="496"/>
      <c r="C5" s="496"/>
      <c r="D5" s="165"/>
      <c r="E5" s="139"/>
      <c r="F5" s="139"/>
      <c r="G5" s="139"/>
      <c r="H5" s="140"/>
      <c r="I5" s="140"/>
      <c r="J5" s="141"/>
      <c r="K5" s="141"/>
      <c r="L5" s="139"/>
      <c r="M5" s="497"/>
    </row>
    <row r="6" spans="1:16" s="505" customFormat="1" ht="20.100000000000001" customHeight="1">
      <c r="A6" s="500" t="s">
        <v>3</v>
      </c>
      <c r="B6" s="501" t="s">
        <v>4</v>
      </c>
      <c r="C6" s="501" t="s">
        <v>38</v>
      </c>
      <c r="D6" s="263" t="s">
        <v>47</v>
      </c>
      <c r="E6" s="428" t="s">
        <v>39</v>
      </c>
      <c r="F6" s="428" t="s">
        <v>39</v>
      </c>
      <c r="G6" s="471" t="s">
        <v>39</v>
      </c>
      <c r="H6" s="502" t="s">
        <v>40</v>
      </c>
      <c r="I6" s="503"/>
      <c r="J6" s="473" t="s">
        <v>41</v>
      </c>
      <c r="K6" s="474"/>
      <c r="L6" s="264" t="s">
        <v>6</v>
      </c>
      <c r="M6" s="504" t="s">
        <v>42</v>
      </c>
    </row>
    <row r="7" spans="1:16" s="505" customFormat="1" ht="20.100000000000001" customHeight="1" thickBot="1">
      <c r="A7" s="506"/>
      <c r="B7" s="507"/>
      <c r="C7" s="507"/>
      <c r="D7" s="265" t="s">
        <v>48</v>
      </c>
      <c r="E7" s="429"/>
      <c r="F7" s="266"/>
      <c r="G7" s="472"/>
      <c r="H7" s="267" t="s">
        <v>43</v>
      </c>
      <c r="I7" s="267" t="s">
        <v>44</v>
      </c>
      <c r="J7" s="267" t="s">
        <v>43</v>
      </c>
      <c r="K7" s="267" t="s">
        <v>44</v>
      </c>
      <c r="L7" s="268" t="s">
        <v>45</v>
      </c>
      <c r="M7" s="508"/>
    </row>
    <row r="8" spans="1:16" s="513" customFormat="1" ht="20.100000000000001" customHeight="1">
      <c r="A8" s="509" t="s">
        <v>49</v>
      </c>
      <c r="B8" s="510" t="s">
        <v>50</v>
      </c>
      <c r="C8" s="511"/>
      <c r="D8" s="153"/>
      <c r="E8" s="154"/>
      <c r="F8" s="155"/>
      <c r="G8" s="156"/>
      <c r="H8" s="156"/>
      <c r="I8" s="156"/>
      <c r="J8" s="156"/>
      <c r="K8" s="156"/>
      <c r="L8" s="157"/>
      <c r="M8" s="512"/>
    </row>
    <row r="9" spans="1:16" s="513" customFormat="1" ht="20.100000000000001" customHeight="1">
      <c r="A9" s="514" t="s">
        <v>11</v>
      </c>
      <c r="B9" s="515" t="s">
        <v>190</v>
      </c>
      <c r="C9" s="516"/>
      <c r="D9" s="160"/>
      <c r="E9" s="161"/>
      <c r="F9" s="161"/>
      <c r="G9" s="133"/>
      <c r="H9" s="133"/>
      <c r="I9" s="133"/>
      <c r="J9" s="133"/>
      <c r="K9" s="133"/>
      <c r="L9" s="163"/>
      <c r="M9" s="517"/>
    </row>
    <row r="10" spans="1:16" s="522" customFormat="1" ht="18.899999999999999" customHeight="1">
      <c r="A10" s="518" t="s">
        <v>51</v>
      </c>
      <c r="B10" s="519" t="s">
        <v>270</v>
      </c>
      <c r="C10" s="520" t="s">
        <v>52</v>
      </c>
      <c r="D10" s="115">
        <v>0</v>
      </c>
      <c r="E10" s="116">
        <v>58</v>
      </c>
      <c r="F10" s="117"/>
      <c r="G10" s="118">
        <v>23</v>
      </c>
      <c r="H10" s="117">
        <v>2940</v>
      </c>
      <c r="I10" s="118">
        <f>G10*H10</f>
        <v>67620</v>
      </c>
      <c r="J10" s="118">
        <v>0</v>
      </c>
      <c r="K10" s="118">
        <f>SUM(G10*J10)</f>
        <v>0</v>
      </c>
      <c r="L10" s="119">
        <f t="shared" ref="L10:L20" si="0">SUM(I10+K10)</f>
        <v>67620</v>
      </c>
      <c r="M10" s="521"/>
      <c r="O10" s="522">
        <v>1</v>
      </c>
      <c r="P10" s="166">
        <v>21</v>
      </c>
    </row>
    <row r="11" spans="1:16" s="522" customFormat="1" ht="18.899999999999999" customHeight="1">
      <c r="A11" s="518" t="s">
        <v>192</v>
      </c>
      <c r="B11" s="523" t="s">
        <v>271</v>
      </c>
      <c r="C11" s="520" t="s">
        <v>52</v>
      </c>
      <c r="D11" s="115">
        <v>0</v>
      </c>
      <c r="E11" s="116">
        <v>58</v>
      </c>
      <c r="F11" s="117"/>
      <c r="G11" s="118">
        <v>23</v>
      </c>
      <c r="H11" s="117">
        <v>0</v>
      </c>
      <c r="I11" s="118">
        <f>SUM(E11*H11)</f>
        <v>0</v>
      </c>
      <c r="J11" s="118">
        <v>230</v>
      </c>
      <c r="K11" s="118">
        <f t="shared" ref="K11:K20" si="1">SUM(G11*J11)</f>
        <v>5290</v>
      </c>
      <c r="L11" s="119">
        <f t="shared" si="0"/>
        <v>5290</v>
      </c>
      <c r="M11" s="521"/>
      <c r="O11" s="522">
        <v>1</v>
      </c>
      <c r="P11" s="166">
        <f>P10</f>
        <v>21</v>
      </c>
    </row>
    <row r="12" spans="1:16" s="522" customFormat="1" ht="18.899999999999999" customHeight="1">
      <c r="A12" s="518" t="s">
        <v>53</v>
      </c>
      <c r="B12" s="519" t="s">
        <v>272</v>
      </c>
      <c r="C12" s="520" t="s">
        <v>179</v>
      </c>
      <c r="D12" s="115">
        <v>0</v>
      </c>
      <c r="E12" s="116">
        <v>58</v>
      </c>
      <c r="F12" s="117"/>
      <c r="G12" s="118">
        <v>23</v>
      </c>
      <c r="H12" s="117">
        <v>0</v>
      </c>
      <c r="I12" s="118">
        <f>SUM(E12*H12)</f>
        <v>0</v>
      </c>
      <c r="J12" s="118">
        <v>1450</v>
      </c>
      <c r="K12" s="118">
        <f t="shared" si="1"/>
        <v>33350</v>
      </c>
      <c r="L12" s="119">
        <f t="shared" si="0"/>
        <v>33350</v>
      </c>
      <c r="M12" s="521"/>
      <c r="O12" s="522">
        <v>1</v>
      </c>
      <c r="P12" s="166">
        <f>P10</f>
        <v>21</v>
      </c>
    </row>
    <row r="13" spans="1:16" s="522" customFormat="1" ht="18.899999999999999" customHeight="1">
      <c r="A13" s="518" t="s">
        <v>56</v>
      </c>
      <c r="B13" s="523" t="s">
        <v>54</v>
      </c>
      <c r="C13" s="520" t="s">
        <v>55</v>
      </c>
      <c r="D13" s="115">
        <v>0</v>
      </c>
      <c r="E13" s="116">
        <v>153</v>
      </c>
      <c r="F13" s="117"/>
      <c r="G13" s="118">
        <v>13.357500000000002</v>
      </c>
      <c r="H13" s="117">
        <v>0</v>
      </c>
      <c r="I13" s="118">
        <f>SUM(E13*H13)</f>
        <v>0</v>
      </c>
      <c r="J13" s="118">
        <v>125</v>
      </c>
      <c r="K13" s="118">
        <f t="shared" si="1"/>
        <v>1669.6875000000002</v>
      </c>
      <c r="L13" s="119">
        <f t="shared" si="0"/>
        <v>1669.6875000000002</v>
      </c>
      <c r="M13" s="521"/>
      <c r="O13" s="522">
        <v>1</v>
      </c>
      <c r="P13" s="166">
        <v>22</v>
      </c>
    </row>
    <row r="14" spans="1:16" s="522" customFormat="1" ht="18.899999999999999" customHeight="1">
      <c r="A14" s="518" t="s">
        <v>58</v>
      </c>
      <c r="B14" s="524" t="s">
        <v>57</v>
      </c>
      <c r="C14" s="520" t="s">
        <v>55</v>
      </c>
      <c r="D14" s="115">
        <v>0</v>
      </c>
      <c r="E14" s="116">
        <v>141</v>
      </c>
      <c r="F14" s="117"/>
      <c r="G14" s="118">
        <v>4.0072500000000009</v>
      </c>
      <c r="H14" s="117">
        <v>0</v>
      </c>
      <c r="I14" s="118">
        <f>SUM(E14*H14)</f>
        <v>0</v>
      </c>
      <c r="J14" s="118">
        <v>99</v>
      </c>
      <c r="K14" s="118">
        <f t="shared" si="1"/>
        <v>396.71775000000008</v>
      </c>
      <c r="L14" s="119">
        <f t="shared" si="0"/>
        <v>396.71775000000008</v>
      </c>
      <c r="M14" s="521"/>
      <c r="O14" s="522">
        <v>1</v>
      </c>
      <c r="P14" s="166">
        <v>14</v>
      </c>
    </row>
    <row r="15" spans="1:16" s="522" customFormat="1" ht="18.899999999999999" customHeight="1">
      <c r="A15" s="518" t="s">
        <v>59</v>
      </c>
      <c r="B15" s="524" t="s">
        <v>191</v>
      </c>
      <c r="C15" s="520" t="s">
        <v>55</v>
      </c>
      <c r="D15" s="115">
        <v>0.3</v>
      </c>
      <c r="E15" s="116">
        <v>0.85</v>
      </c>
      <c r="F15" s="117"/>
      <c r="G15" s="118">
        <v>2.140625</v>
      </c>
      <c r="H15" s="117">
        <v>453.33</v>
      </c>
      <c r="I15" s="118">
        <f t="shared" ref="I15:I20" si="2">SUM(G15*H15)</f>
        <v>970.40953124999999</v>
      </c>
      <c r="J15" s="118">
        <v>91</v>
      </c>
      <c r="K15" s="118">
        <f t="shared" si="1"/>
        <v>194.796875</v>
      </c>
      <c r="L15" s="119">
        <f t="shared" si="0"/>
        <v>1165.2064062499999</v>
      </c>
      <c r="M15" s="521"/>
      <c r="O15" s="522">
        <v>1</v>
      </c>
      <c r="P15" s="166">
        <v>0.5</v>
      </c>
    </row>
    <row r="16" spans="1:16" s="522" customFormat="1" ht="18.899999999999999" customHeight="1">
      <c r="A16" s="518" t="s">
        <v>60</v>
      </c>
      <c r="B16" s="524" t="s">
        <v>61</v>
      </c>
      <c r="C16" s="520" t="s">
        <v>55</v>
      </c>
      <c r="D16" s="115">
        <v>0.1</v>
      </c>
      <c r="E16" s="116">
        <v>0.85</v>
      </c>
      <c r="F16" s="117"/>
      <c r="G16" s="118">
        <v>1.7124999999999999</v>
      </c>
      <c r="H16" s="117">
        <v>2034</v>
      </c>
      <c r="I16" s="118">
        <f t="shared" si="2"/>
        <v>3483.2249999999999</v>
      </c>
      <c r="J16" s="118">
        <v>398</v>
      </c>
      <c r="K16" s="118">
        <f t="shared" si="1"/>
        <v>681.57499999999993</v>
      </c>
      <c r="L16" s="119">
        <f t="shared" si="0"/>
        <v>4164.8</v>
      </c>
      <c r="M16" s="521"/>
      <c r="O16" s="522">
        <v>1</v>
      </c>
      <c r="P16" s="166">
        <v>0.3</v>
      </c>
    </row>
    <row r="17" spans="1:16" s="522" customFormat="1" ht="18.899999999999999" customHeight="1">
      <c r="A17" s="518" t="s">
        <v>62</v>
      </c>
      <c r="B17" s="524" t="s">
        <v>94</v>
      </c>
      <c r="C17" s="520" t="s">
        <v>55</v>
      </c>
      <c r="D17" s="115">
        <v>0.05</v>
      </c>
      <c r="E17" s="116">
        <v>29</v>
      </c>
      <c r="F17" s="117"/>
      <c r="G17" s="118">
        <v>10.275</v>
      </c>
      <c r="H17" s="117">
        <v>2259</v>
      </c>
      <c r="I17" s="118">
        <f t="shared" si="2"/>
        <v>23211.225000000002</v>
      </c>
      <c r="J17" s="118">
        <v>391</v>
      </c>
      <c r="K17" s="118">
        <f t="shared" si="1"/>
        <v>4017.5250000000001</v>
      </c>
      <c r="L17" s="119">
        <f t="shared" si="0"/>
        <v>27228.750000000004</v>
      </c>
      <c r="M17" s="521"/>
      <c r="O17" s="522">
        <v>1</v>
      </c>
      <c r="P17" s="166">
        <v>2.5</v>
      </c>
    </row>
    <row r="18" spans="1:16" s="522" customFormat="1" ht="18.899999999999999" customHeight="1">
      <c r="A18" s="518" t="s">
        <v>63</v>
      </c>
      <c r="B18" s="524" t="s">
        <v>200</v>
      </c>
      <c r="C18" s="520" t="s">
        <v>64</v>
      </c>
      <c r="D18" s="115">
        <v>0</v>
      </c>
      <c r="E18" s="116">
        <v>423</v>
      </c>
      <c r="F18" s="117"/>
      <c r="G18" s="118">
        <v>26.400000000000002</v>
      </c>
      <c r="H18" s="117">
        <v>400</v>
      </c>
      <c r="I18" s="118">
        <f t="shared" si="2"/>
        <v>10560</v>
      </c>
      <c r="J18" s="118">
        <v>105</v>
      </c>
      <c r="K18" s="118">
        <f t="shared" si="1"/>
        <v>2772</v>
      </c>
      <c r="L18" s="119">
        <f t="shared" si="0"/>
        <v>13332</v>
      </c>
      <c r="M18" s="521"/>
      <c r="O18" s="522">
        <v>1</v>
      </c>
      <c r="P18" s="166">
        <v>19.899999999999999</v>
      </c>
    </row>
    <row r="19" spans="1:16" s="522" customFormat="1" ht="18.899999999999999" customHeight="1">
      <c r="A19" s="518" t="s">
        <v>65</v>
      </c>
      <c r="B19" s="525" t="s">
        <v>395</v>
      </c>
      <c r="C19" s="520" t="s">
        <v>64</v>
      </c>
      <c r="D19" s="217"/>
      <c r="E19" s="218"/>
      <c r="F19" s="219"/>
      <c r="G19" s="220">
        <v>33</v>
      </c>
      <c r="H19" s="219">
        <v>0</v>
      </c>
      <c r="I19" s="220">
        <f t="shared" si="2"/>
        <v>0</v>
      </c>
      <c r="J19" s="118">
        <v>105</v>
      </c>
      <c r="K19" s="118">
        <f t="shared" si="1"/>
        <v>3465</v>
      </c>
      <c r="L19" s="119">
        <f t="shared" si="0"/>
        <v>3465</v>
      </c>
      <c r="M19" s="521"/>
      <c r="P19" s="166"/>
    </row>
    <row r="20" spans="1:16" s="522" customFormat="1" ht="18.899999999999999" customHeight="1">
      <c r="A20" s="518" t="s">
        <v>70</v>
      </c>
      <c r="B20" s="524" t="s">
        <v>396</v>
      </c>
      <c r="C20" s="520" t="s">
        <v>64</v>
      </c>
      <c r="D20" s="115">
        <v>0</v>
      </c>
      <c r="E20" s="116">
        <v>423</v>
      </c>
      <c r="F20" s="117"/>
      <c r="G20" s="118">
        <f>G18*0.3</f>
        <v>7.92</v>
      </c>
      <c r="H20" s="117">
        <v>400</v>
      </c>
      <c r="I20" s="118">
        <f t="shared" si="2"/>
        <v>3168</v>
      </c>
      <c r="J20" s="118">
        <v>0</v>
      </c>
      <c r="K20" s="118">
        <f t="shared" si="1"/>
        <v>0</v>
      </c>
      <c r="L20" s="119">
        <f t="shared" si="0"/>
        <v>3168</v>
      </c>
      <c r="M20" s="521"/>
      <c r="P20" s="166"/>
    </row>
    <row r="21" spans="1:16" s="522" customFormat="1" ht="18.899999999999999" customHeight="1">
      <c r="A21" s="518" t="s">
        <v>72</v>
      </c>
      <c r="B21" s="524" t="s">
        <v>66</v>
      </c>
      <c r="C21" s="520"/>
      <c r="D21" s="194"/>
      <c r="E21" s="117"/>
      <c r="F21" s="117"/>
      <c r="G21" s="118"/>
      <c r="H21" s="118"/>
      <c r="I21" s="118"/>
      <c r="J21" s="118"/>
      <c r="K21" s="118"/>
      <c r="L21" s="119"/>
      <c r="M21" s="521"/>
      <c r="O21" s="522">
        <v>1</v>
      </c>
      <c r="P21" s="166"/>
    </row>
    <row r="22" spans="1:16" s="522" customFormat="1" ht="18.899999999999999" customHeight="1">
      <c r="A22" s="526"/>
      <c r="B22" s="524" t="s">
        <v>166</v>
      </c>
      <c r="C22" s="520" t="s">
        <v>68</v>
      </c>
      <c r="D22" s="115">
        <v>0.11</v>
      </c>
      <c r="E22" s="116">
        <v>1174</v>
      </c>
      <c r="F22" s="117"/>
      <c r="G22" s="118">
        <v>934.42996800000003</v>
      </c>
      <c r="H22" s="117">
        <v>17.100000000000001</v>
      </c>
      <c r="I22" s="118">
        <f>SUM(G22*H22)</f>
        <v>15978.752452800001</v>
      </c>
      <c r="J22" s="118">
        <v>3.3</v>
      </c>
      <c r="K22" s="118">
        <f>SUM(G22*J22)</f>
        <v>3083.6188944</v>
      </c>
      <c r="L22" s="119">
        <f>SUM(I22+K22)</f>
        <v>19062.371347200002</v>
      </c>
      <c r="M22" s="521"/>
      <c r="O22" s="522">
        <v>1</v>
      </c>
      <c r="P22" s="166">
        <v>311</v>
      </c>
    </row>
    <row r="23" spans="1:16" s="522" customFormat="1" ht="18.899999999999999" customHeight="1">
      <c r="A23" s="518" t="s">
        <v>222</v>
      </c>
      <c r="B23" s="524" t="s">
        <v>71</v>
      </c>
      <c r="C23" s="520" t="s">
        <v>68</v>
      </c>
      <c r="D23" s="115">
        <v>0</v>
      </c>
      <c r="E23" s="117">
        <v>211</v>
      </c>
      <c r="F23" s="117"/>
      <c r="G23" s="118">
        <v>28.03289904</v>
      </c>
      <c r="H23" s="117">
        <v>21.11</v>
      </c>
      <c r="I23" s="118">
        <f>SUM(G23*H23)</f>
        <v>591.77449873440003</v>
      </c>
      <c r="J23" s="118">
        <v>0</v>
      </c>
      <c r="K23" s="118">
        <f>SUM(G23*J23)</f>
        <v>0</v>
      </c>
      <c r="L23" s="119">
        <f>SUM(I23+K23)</f>
        <v>591.77449873440003</v>
      </c>
      <c r="M23" s="521"/>
      <c r="O23" s="522">
        <v>1</v>
      </c>
      <c r="P23" s="166">
        <v>15</v>
      </c>
    </row>
    <row r="24" spans="1:16" s="522" customFormat="1" ht="18.899999999999999" customHeight="1">
      <c r="A24" s="518" t="s">
        <v>273</v>
      </c>
      <c r="B24" s="523" t="s">
        <v>73</v>
      </c>
      <c r="C24" s="520" t="s">
        <v>68</v>
      </c>
      <c r="D24" s="115">
        <v>0</v>
      </c>
      <c r="E24" s="117">
        <v>127</v>
      </c>
      <c r="F24" s="117"/>
      <c r="G24" s="118">
        <v>8.25</v>
      </c>
      <c r="H24" s="117">
        <v>23.7</v>
      </c>
      <c r="I24" s="118">
        <f>SUM(G24*H24)</f>
        <v>195.52500000000001</v>
      </c>
      <c r="J24" s="118">
        <v>0</v>
      </c>
      <c r="K24" s="118">
        <f>SUM(G24*J24)</f>
        <v>0</v>
      </c>
      <c r="L24" s="119">
        <f>SUM(I24+K24)</f>
        <v>195.52500000000001</v>
      </c>
      <c r="M24" s="521"/>
      <c r="O24" s="522">
        <v>1</v>
      </c>
      <c r="P24" s="166">
        <v>10</v>
      </c>
    </row>
    <row r="25" spans="1:16" s="522" customFormat="1" ht="18.899999999999999" customHeight="1" thickBot="1">
      <c r="A25" s="527"/>
      <c r="B25" s="528"/>
      <c r="C25" s="529"/>
      <c r="D25" s="122"/>
      <c r="E25" s="123"/>
      <c r="F25" s="124"/>
      <c r="G25" s="125"/>
      <c r="H25" s="125"/>
      <c r="I25" s="125"/>
      <c r="J25" s="125"/>
      <c r="K25" s="125"/>
      <c r="L25" s="126"/>
      <c r="M25" s="530" t="s">
        <v>34</v>
      </c>
      <c r="O25" s="522">
        <v>1</v>
      </c>
      <c r="P25" s="166"/>
    </row>
    <row r="26" spans="1:16" s="513" customFormat="1" ht="20.100000000000001" customHeight="1" thickTop="1">
      <c r="A26" s="531"/>
      <c r="B26" s="532"/>
      <c r="C26" s="532"/>
      <c r="D26" s="74"/>
      <c r="E26" s="151"/>
      <c r="F26" s="75"/>
      <c r="G26" s="76"/>
      <c r="H26" s="76"/>
      <c r="I26" s="76"/>
      <c r="J26" s="76"/>
      <c r="K26" s="76"/>
      <c r="L26" s="76"/>
      <c r="M26" s="533"/>
      <c r="O26" s="522">
        <v>1</v>
      </c>
      <c r="P26" s="141"/>
    </row>
    <row r="27" spans="1:16" s="513" customFormat="1" ht="20.100000000000001" customHeight="1">
      <c r="A27" s="534" t="s">
        <v>12</v>
      </c>
      <c r="B27" s="535" t="s">
        <v>274</v>
      </c>
      <c r="C27" s="536"/>
      <c r="D27" s="89"/>
      <c r="E27" s="164"/>
      <c r="F27" s="90"/>
      <c r="G27" s="91"/>
      <c r="H27" s="91"/>
      <c r="I27" s="91"/>
      <c r="J27" s="91"/>
      <c r="K27" s="91"/>
      <c r="L27" s="92"/>
      <c r="M27" s="537"/>
      <c r="O27" s="522">
        <v>1</v>
      </c>
      <c r="P27" s="141"/>
    </row>
    <row r="28" spans="1:16" s="522" customFormat="1" ht="18.899999999999999" customHeight="1">
      <c r="A28" s="518" t="s">
        <v>75</v>
      </c>
      <c r="B28" s="524" t="s">
        <v>225</v>
      </c>
      <c r="C28" s="520" t="s">
        <v>55</v>
      </c>
      <c r="D28" s="115">
        <v>0</v>
      </c>
      <c r="E28" s="116">
        <v>0</v>
      </c>
      <c r="F28" s="117"/>
      <c r="G28" s="118">
        <v>17.572099999999999</v>
      </c>
      <c r="H28" s="117">
        <v>0</v>
      </c>
      <c r="I28" s="118">
        <f t="shared" ref="I28:I35" si="3">SUM(G28*H28)</f>
        <v>0</v>
      </c>
      <c r="J28" s="118">
        <v>125</v>
      </c>
      <c r="K28" s="118">
        <f t="shared" ref="K28:K35" si="4">SUM(G28*J28)</f>
        <v>2196.5124999999998</v>
      </c>
      <c r="L28" s="119">
        <f t="shared" ref="L28:L35" si="5">SUM(I28+K28)</f>
        <v>2196.5124999999998</v>
      </c>
      <c r="M28" s="521" t="s">
        <v>34</v>
      </c>
      <c r="O28" s="522">
        <v>1</v>
      </c>
      <c r="P28" s="166">
        <v>10</v>
      </c>
    </row>
    <row r="29" spans="1:16" s="522" customFormat="1" ht="18.899999999999999" customHeight="1">
      <c r="A29" s="518" t="s">
        <v>76</v>
      </c>
      <c r="B29" s="524" t="s">
        <v>78</v>
      </c>
      <c r="C29" s="520" t="s">
        <v>55</v>
      </c>
      <c r="D29" s="115">
        <v>0.3</v>
      </c>
      <c r="E29" s="116">
        <v>21.7</v>
      </c>
      <c r="F29" s="117"/>
      <c r="G29" s="118">
        <v>3.3987500000000002</v>
      </c>
      <c r="H29" s="117">
        <v>453.33</v>
      </c>
      <c r="I29" s="118">
        <f t="shared" si="3"/>
        <v>1540.7553375</v>
      </c>
      <c r="J29" s="118">
        <v>91</v>
      </c>
      <c r="K29" s="118">
        <f t="shared" si="4"/>
        <v>309.28625</v>
      </c>
      <c r="L29" s="119">
        <f t="shared" si="5"/>
        <v>1850.0415874999999</v>
      </c>
      <c r="M29" s="521"/>
      <c r="O29" s="522">
        <v>1</v>
      </c>
      <c r="P29" s="166">
        <v>13</v>
      </c>
    </row>
    <row r="30" spans="1:16" s="522" customFormat="1" ht="18.899999999999999" customHeight="1">
      <c r="A30" s="518" t="s">
        <v>77</v>
      </c>
      <c r="B30" s="523" t="s">
        <v>397</v>
      </c>
      <c r="C30" s="520" t="s">
        <v>64</v>
      </c>
      <c r="D30" s="115">
        <v>0.15</v>
      </c>
      <c r="E30" s="116">
        <v>217</v>
      </c>
      <c r="F30" s="117"/>
      <c r="G30" s="118">
        <v>1.554</v>
      </c>
      <c r="H30" s="117">
        <v>2034</v>
      </c>
      <c r="I30" s="118">
        <f t="shared" si="3"/>
        <v>3160.8360000000002</v>
      </c>
      <c r="J30" s="118">
        <v>398</v>
      </c>
      <c r="K30" s="118">
        <f t="shared" si="4"/>
        <v>618.49200000000008</v>
      </c>
      <c r="L30" s="119">
        <f t="shared" si="5"/>
        <v>3779.3280000000004</v>
      </c>
      <c r="M30" s="521"/>
      <c r="O30" s="522">
        <v>1</v>
      </c>
      <c r="P30" s="166">
        <v>40</v>
      </c>
    </row>
    <row r="31" spans="1:16" s="522" customFormat="1" ht="18.899999999999999" customHeight="1">
      <c r="A31" s="518" t="s">
        <v>79</v>
      </c>
      <c r="B31" s="524" t="s">
        <v>94</v>
      </c>
      <c r="C31" s="520" t="s">
        <v>55</v>
      </c>
      <c r="D31" s="115">
        <v>0.05</v>
      </c>
      <c r="E31" s="116">
        <v>46</v>
      </c>
      <c r="F31" s="117"/>
      <c r="G31" s="118">
        <v>17.712000000000003</v>
      </c>
      <c r="H31" s="117">
        <v>2259</v>
      </c>
      <c r="I31" s="118">
        <f t="shared" si="3"/>
        <v>40011.40800000001</v>
      </c>
      <c r="J31" s="118">
        <v>391</v>
      </c>
      <c r="K31" s="118">
        <f t="shared" si="4"/>
        <v>6925.3920000000016</v>
      </c>
      <c r="L31" s="119">
        <f t="shared" si="5"/>
        <v>46936.80000000001</v>
      </c>
      <c r="M31" s="521"/>
      <c r="O31" s="522">
        <v>1</v>
      </c>
      <c r="P31" s="166">
        <v>20</v>
      </c>
    </row>
    <row r="32" spans="1:16" s="522" customFormat="1" ht="18.899999999999999" customHeight="1">
      <c r="A32" s="518" t="s">
        <v>80</v>
      </c>
      <c r="B32" s="524" t="s">
        <v>398</v>
      </c>
      <c r="C32" s="520" t="s">
        <v>55</v>
      </c>
      <c r="D32" s="115"/>
      <c r="E32" s="116"/>
      <c r="F32" s="117"/>
      <c r="G32" s="118">
        <v>13.6425</v>
      </c>
      <c r="H32" s="117">
        <v>2417</v>
      </c>
      <c r="I32" s="118">
        <f t="shared" si="3"/>
        <v>32973.922500000001</v>
      </c>
      <c r="J32" s="118">
        <v>391</v>
      </c>
      <c r="K32" s="118">
        <f t="shared" si="4"/>
        <v>5334.2174999999997</v>
      </c>
      <c r="L32" s="119">
        <f t="shared" si="5"/>
        <v>38308.14</v>
      </c>
      <c r="M32" s="521"/>
      <c r="P32" s="166"/>
    </row>
    <row r="33" spans="1:16" s="522" customFormat="1" ht="18.899999999999999" customHeight="1">
      <c r="A33" s="518" t="s">
        <v>81</v>
      </c>
      <c r="B33" s="524" t="s">
        <v>200</v>
      </c>
      <c r="C33" s="520" t="s">
        <v>64</v>
      </c>
      <c r="D33" s="115">
        <v>0</v>
      </c>
      <c r="E33" s="116">
        <v>197</v>
      </c>
      <c r="F33" s="117"/>
      <c r="G33" s="118">
        <v>296.08960000000002</v>
      </c>
      <c r="H33" s="117">
        <v>400</v>
      </c>
      <c r="I33" s="118">
        <f t="shared" si="3"/>
        <v>118435.84000000001</v>
      </c>
      <c r="J33" s="118">
        <v>0</v>
      </c>
      <c r="K33" s="118">
        <f t="shared" si="4"/>
        <v>0</v>
      </c>
      <c r="L33" s="119">
        <f t="shared" si="5"/>
        <v>118435.84000000001</v>
      </c>
      <c r="M33" s="521"/>
      <c r="O33" s="522">
        <v>1</v>
      </c>
      <c r="P33" s="166">
        <v>138.5</v>
      </c>
    </row>
    <row r="34" spans="1:16" s="522" customFormat="1" ht="18.899999999999999" customHeight="1">
      <c r="A34" s="518" t="s">
        <v>82</v>
      </c>
      <c r="B34" s="525" t="s">
        <v>395</v>
      </c>
      <c r="C34" s="520" t="s">
        <v>64</v>
      </c>
      <c r="D34" s="217"/>
      <c r="E34" s="218"/>
      <c r="F34" s="219"/>
      <c r="G34" s="220">
        <v>370.11199999999997</v>
      </c>
      <c r="H34" s="219">
        <v>0</v>
      </c>
      <c r="I34" s="220">
        <f t="shared" si="3"/>
        <v>0</v>
      </c>
      <c r="J34" s="118">
        <v>105</v>
      </c>
      <c r="K34" s="118">
        <f t="shared" si="4"/>
        <v>38861.759999999995</v>
      </c>
      <c r="L34" s="119">
        <f t="shared" si="5"/>
        <v>38861.759999999995</v>
      </c>
      <c r="M34" s="538"/>
      <c r="P34" s="166"/>
    </row>
    <row r="35" spans="1:16" s="522" customFormat="1" ht="18.899999999999999" customHeight="1">
      <c r="A35" s="539" t="s">
        <v>83</v>
      </c>
      <c r="B35" s="524" t="s">
        <v>396</v>
      </c>
      <c r="C35" s="520" t="s">
        <v>64</v>
      </c>
      <c r="D35" s="115">
        <v>0</v>
      </c>
      <c r="E35" s="116">
        <v>423</v>
      </c>
      <c r="F35" s="117"/>
      <c r="G35" s="118">
        <f>G33*0.3</f>
        <v>88.826880000000003</v>
      </c>
      <c r="H35" s="117">
        <v>400</v>
      </c>
      <c r="I35" s="118">
        <f t="shared" si="3"/>
        <v>35530.752</v>
      </c>
      <c r="J35" s="118">
        <v>0</v>
      </c>
      <c r="K35" s="118">
        <f t="shared" si="4"/>
        <v>0</v>
      </c>
      <c r="L35" s="119">
        <f t="shared" si="5"/>
        <v>35530.752</v>
      </c>
      <c r="M35" s="538"/>
      <c r="P35" s="166"/>
    </row>
    <row r="36" spans="1:16" s="522" customFormat="1" ht="18.899999999999999" customHeight="1">
      <c r="A36" s="539" t="s">
        <v>84</v>
      </c>
      <c r="B36" s="540" t="s">
        <v>66</v>
      </c>
      <c r="C36" s="541"/>
      <c r="D36" s="269"/>
      <c r="E36" s="134"/>
      <c r="F36" s="134"/>
      <c r="G36" s="135"/>
      <c r="H36" s="135"/>
      <c r="I36" s="135"/>
      <c r="J36" s="135"/>
      <c r="K36" s="135"/>
      <c r="L36" s="195"/>
      <c r="M36" s="542"/>
      <c r="O36" s="522">
        <v>1</v>
      </c>
      <c r="P36" s="166"/>
    </row>
    <row r="37" spans="1:16" s="522" customFormat="1" ht="18.899999999999999" customHeight="1">
      <c r="A37" s="543"/>
      <c r="B37" s="544" t="s">
        <v>67</v>
      </c>
      <c r="C37" s="545" t="s">
        <v>68</v>
      </c>
      <c r="D37" s="198">
        <v>0.09</v>
      </c>
      <c r="E37" s="199">
        <v>473</v>
      </c>
      <c r="F37" s="200"/>
      <c r="G37" s="118">
        <v>544.95889560000001</v>
      </c>
      <c r="H37" s="200">
        <v>18.37</v>
      </c>
      <c r="I37" s="201">
        <f>SUM(G37*H37)</f>
        <v>10010.894912172</v>
      </c>
      <c r="J37" s="201">
        <v>4.0999999999999996</v>
      </c>
      <c r="K37" s="201">
        <f>SUM(G37*J37)</f>
        <v>2234.3314719599998</v>
      </c>
      <c r="L37" s="202">
        <f>SUM(I37+K37)</f>
        <v>12245.226384132</v>
      </c>
      <c r="M37" s="546"/>
      <c r="O37" s="522">
        <v>1</v>
      </c>
      <c r="P37" s="166">
        <v>20</v>
      </c>
    </row>
    <row r="38" spans="1:16" s="522" customFormat="1" ht="18.899999999999999" customHeight="1">
      <c r="A38" s="526"/>
      <c r="B38" s="524" t="s">
        <v>69</v>
      </c>
      <c r="C38" s="520" t="s">
        <v>68</v>
      </c>
      <c r="D38" s="115">
        <v>0.1</v>
      </c>
      <c r="E38" s="116">
        <v>199</v>
      </c>
      <c r="F38" s="117"/>
      <c r="G38" s="118">
        <v>1299.4040838000001</v>
      </c>
      <c r="H38" s="117">
        <v>17.54</v>
      </c>
      <c r="I38" s="118">
        <f>SUM(G38*H38)</f>
        <v>22791.547629852001</v>
      </c>
      <c r="J38" s="118">
        <v>4.0999999999999996</v>
      </c>
      <c r="K38" s="118">
        <f>SUM(G38*J38)</f>
        <v>5327.5567435799994</v>
      </c>
      <c r="L38" s="119">
        <f>SUM(I38+K38)</f>
        <v>28119.104373432001</v>
      </c>
      <c r="M38" s="521"/>
      <c r="O38" s="522">
        <v>1</v>
      </c>
      <c r="P38" s="166">
        <v>1098</v>
      </c>
    </row>
    <row r="39" spans="1:16" s="522" customFormat="1" ht="18.899999999999999" customHeight="1">
      <c r="A39" s="526"/>
      <c r="B39" s="524" t="s">
        <v>166</v>
      </c>
      <c r="C39" s="520" t="s">
        <v>68</v>
      </c>
      <c r="D39" s="115">
        <v>0.11</v>
      </c>
      <c r="E39" s="116">
        <v>257</v>
      </c>
      <c r="F39" s="117"/>
      <c r="G39" s="118">
        <v>2003.4830892000002</v>
      </c>
      <c r="H39" s="117">
        <v>17.100000000000001</v>
      </c>
      <c r="I39" s="118">
        <f>SUM(G39*H39)</f>
        <v>34259.560825320004</v>
      </c>
      <c r="J39" s="118">
        <v>3.3</v>
      </c>
      <c r="K39" s="118">
        <f>SUM(G39*J39)</f>
        <v>6611.4941943600006</v>
      </c>
      <c r="L39" s="119">
        <f>SUM(I39+K39)</f>
        <v>40871.055019680003</v>
      </c>
      <c r="M39" s="521"/>
      <c r="O39" s="522">
        <v>1</v>
      </c>
      <c r="P39" s="166">
        <v>586</v>
      </c>
    </row>
    <row r="40" spans="1:16" s="522" customFormat="1" ht="18.899999999999999" customHeight="1">
      <c r="A40" s="518" t="s">
        <v>85</v>
      </c>
      <c r="B40" s="524" t="s">
        <v>71</v>
      </c>
      <c r="C40" s="520" t="s">
        <v>68</v>
      </c>
      <c r="D40" s="115">
        <v>0</v>
      </c>
      <c r="E40" s="117">
        <v>89</v>
      </c>
      <c r="F40" s="117"/>
      <c r="G40" s="118">
        <v>115.211792538</v>
      </c>
      <c r="H40" s="117">
        <v>21.11</v>
      </c>
      <c r="I40" s="118">
        <f>SUM(G40*H40)</f>
        <v>2432.1209404771798</v>
      </c>
      <c r="J40" s="118">
        <v>0</v>
      </c>
      <c r="K40" s="118">
        <f>SUM(G40*J40)</f>
        <v>0</v>
      </c>
      <c r="L40" s="119">
        <f>SUM(I40+K40)</f>
        <v>2432.1209404771798</v>
      </c>
      <c r="M40" s="521"/>
      <c r="O40" s="522">
        <v>1</v>
      </c>
      <c r="P40" s="166">
        <v>60</v>
      </c>
    </row>
    <row r="41" spans="1:16" s="522" customFormat="1" ht="18.899999999999999" customHeight="1">
      <c r="A41" s="518" t="s">
        <v>399</v>
      </c>
      <c r="B41" s="523" t="s">
        <v>73</v>
      </c>
      <c r="C41" s="520" t="s">
        <v>68</v>
      </c>
      <c r="D41" s="115">
        <v>0</v>
      </c>
      <c r="E41" s="117">
        <v>59</v>
      </c>
      <c r="F41" s="117"/>
      <c r="G41" s="118">
        <v>92.527999999999992</v>
      </c>
      <c r="H41" s="117">
        <v>23.7</v>
      </c>
      <c r="I41" s="118">
        <f>SUM(G41*H41)</f>
        <v>2192.9135999999999</v>
      </c>
      <c r="J41" s="118">
        <v>0</v>
      </c>
      <c r="K41" s="118">
        <f>SUM(G41*J41)</f>
        <v>0</v>
      </c>
      <c r="L41" s="119">
        <f>SUM(I41+K41)</f>
        <v>2192.9135999999999</v>
      </c>
      <c r="M41" s="521"/>
      <c r="O41" s="522">
        <v>1</v>
      </c>
      <c r="P41" s="166">
        <v>55</v>
      </c>
    </row>
    <row r="42" spans="1:16" s="522" customFormat="1" ht="18.899999999999999" customHeight="1">
      <c r="A42" s="518" t="s">
        <v>400</v>
      </c>
      <c r="B42" s="519" t="s">
        <v>163</v>
      </c>
      <c r="C42" s="520"/>
      <c r="D42" s="115"/>
      <c r="E42" s="116"/>
      <c r="F42" s="117"/>
      <c r="G42" s="118"/>
      <c r="H42" s="118"/>
      <c r="I42" s="118"/>
      <c r="J42" s="118"/>
      <c r="K42" s="118"/>
      <c r="L42" s="119"/>
      <c r="M42" s="521"/>
      <c r="O42" s="522">
        <v>1</v>
      </c>
      <c r="P42" s="166"/>
    </row>
    <row r="43" spans="1:16" s="522" customFormat="1" ht="35.1" customHeight="1">
      <c r="A43" s="526"/>
      <c r="B43" s="547" t="s">
        <v>193</v>
      </c>
      <c r="C43" s="520" t="s">
        <v>64</v>
      </c>
      <c r="D43" s="115">
        <v>0</v>
      </c>
      <c r="E43" s="116">
        <v>108</v>
      </c>
      <c r="F43" s="117"/>
      <c r="G43" s="118">
        <v>69.34</v>
      </c>
      <c r="H43" s="117">
        <v>220</v>
      </c>
      <c r="I43" s="118">
        <f>SUM(G43*H43)</f>
        <v>15254.800000000001</v>
      </c>
      <c r="J43" s="118">
        <v>60</v>
      </c>
      <c r="K43" s="118">
        <f>SUM(G43*J43)</f>
        <v>4160.4000000000005</v>
      </c>
      <c r="L43" s="119">
        <f>SUM(I43+K43)</f>
        <v>19415.2</v>
      </c>
      <c r="M43" s="521"/>
      <c r="O43" s="522">
        <v>1</v>
      </c>
      <c r="P43" s="166">
        <v>40</v>
      </c>
    </row>
    <row r="44" spans="1:16" s="522" customFormat="1" ht="18.899999999999999" customHeight="1">
      <c r="A44" s="526"/>
      <c r="B44" s="548" t="s">
        <v>165</v>
      </c>
      <c r="C44" s="520" t="s">
        <v>55</v>
      </c>
      <c r="D44" s="115">
        <v>0.05</v>
      </c>
      <c r="E44" s="116">
        <f>+E43*0.05</f>
        <v>5.4</v>
      </c>
      <c r="F44" s="117"/>
      <c r="G44" s="118">
        <v>3.4670000000000005</v>
      </c>
      <c r="H44" s="117">
        <v>2259</v>
      </c>
      <c r="I44" s="118">
        <f>SUM(G44*H44)</f>
        <v>7831.9530000000013</v>
      </c>
      <c r="J44" s="118">
        <v>391</v>
      </c>
      <c r="K44" s="118">
        <f>SUM(G44*J44)</f>
        <v>1355.5970000000002</v>
      </c>
      <c r="L44" s="119">
        <f>SUM(I44+K44)</f>
        <v>9187.5500000000011</v>
      </c>
      <c r="M44" s="521"/>
      <c r="O44" s="522">
        <v>1</v>
      </c>
      <c r="P44" s="166">
        <v>2</v>
      </c>
    </row>
    <row r="45" spans="1:16" s="522" customFormat="1" ht="18.899999999999999" customHeight="1">
      <c r="A45" s="526"/>
      <c r="B45" s="524" t="s">
        <v>401</v>
      </c>
      <c r="C45" s="520" t="s">
        <v>68</v>
      </c>
      <c r="D45" s="115">
        <v>0.09</v>
      </c>
      <c r="E45" s="116">
        <v>473</v>
      </c>
      <c r="F45" s="117"/>
      <c r="G45" s="118">
        <v>193.95784800000004</v>
      </c>
      <c r="H45" s="117">
        <v>18.37</v>
      </c>
      <c r="I45" s="118">
        <f>SUM(G45*H45)</f>
        <v>3563.005667760001</v>
      </c>
      <c r="J45" s="118">
        <v>4.0999999999999996</v>
      </c>
      <c r="K45" s="118">
        <f>SUM(G45*J45)</f>
        <v>795.22717680000005</v>
      </c>
      <c r="L45" s="119">
        <f>SUM(I45+K45)</f>
        <v>4358.2328445600015</v>
      </c>
      <c r="M45" s="521"/>
      <c r="O45" s="522">
        <v>1</v>
      </c>
      <c r="P45" s="166">
        <v>105</v>
      </c>
    </row>
    <row r="46" spans="1:16" s="522" customFormat="1" ht="18.899999999999999" customHeight="1">
      <c r="A46" s="526"/>
      <c r="B46" s="547" t="s">
        <v>197</v>
      </c>
      <c r="C46" s="520" t="s">
        <v>68</v>
      </c>
      <c r="D46" s="115">
        <v>0.09</v>
      </c>
      <c r="E46" s="116">
        <v>0</v>
      </c>
      <c r="F46" s="117"/>
      <c r="G46" s="118">
        <v>14.809082480000002</v>
      </c>
      <c r="H46" s="117">
        <v>17.54</v>
      </c>
      <c r="I46" s="118">
        <f>SUM(G46*H46)</f>
        <v>259.75130669920003</v>
      </c>
      <c r="J46" s="118">
        <v>4.0999999999999996</v>
      </c>
      <c r="K46" s="118">
        <f>SUM(G46*J46)</f>
        <v>60.717238168000002</v>
      </c>
      <c r="L46" s="119">
        <f>SUM(I46+K46)</f>
        <v>320.46854486720002</v>
      </c>
      <c r="M46" s="521"/>
      <c r="O46" s="522">
        <v>1</v>
      </c>
      <c r="P46" s="166">
        <v>10</v>
      </c>
    </row>
    <row r="47" spans="1:16" s="522" customFormat="1" ht="18.899999999999999" customHeight="1">
      <c r="A47" s="518" t="s">
        <v>402</v>
      </c>
      <c r="B47" s="523" t="s">
        <v>86</v>
      </c>
      <c r="C47" s="520" t="s">
        <v>64</v>
      </c>
      <c r="D47" s="115">
        <v>0</v>
      </c>
      <c r="E47" s="116">
        <v>310</v>
      </c>
      <c r="F47" s="117"/>
      <c r="G47" s="118">
        <v>190</v>
      </c>
      <c r="H47" s="117">
        <v>120</v>
      </c>
      <c r="I47" s="118">
        <f>SUM(G47*H47)</f>
        <v>22800</v>
      </c>
      <c r="J47" s="118">
        <v>0</v>
      </c>
      <c r="K47" s="118">
        <f>SUM(G47*J47)</f>
        <v>0</v>
      </c>
      <c r="L47" s="119">
        <f>SUM(I47+K47)</f>
        <v>22800</v>
      </c>
      <c r="M47" s="521"/>
      <c r="O47" s="522">
        <v>1</v>
      </c>
      <c r="P47" s="166">
        <v>112</v>
      </c>
    </row>
    <row r="48" spans="1:16" s="522" customFormat="1" ht="18.899999999999999" customHeight="1" thickBot="1">
      <c r="A48" s="527"/>
      <c r="B48" s="549"/>
      <c r="C48" s="529"/>
      <c r="D48" s="122"/>
      <c r="E48" s="123"/>
      <c r="F48" s="124"/>
      <c r="G48" s="125"/>
      <c r="H48" s="125"/>
      <c r="I48" s="125"/>
      <c r="J48" s="125"/>
      <c r="K48" s="125"/>
      <c r="L48" s="126"/>
      <c r="M48" s="530"/>
      <c r="O48" s="522">
        <v>1</v>
      </c>
      <c r="P48" s="166"/>
    </row>
    <row r="49" spans="1:16" s="522" customFormat="1" ht="20.100000000000001" customHeight="1" thickTop="1" thickBot="1">
      <c r="A49" s="527"/>
      <c r="B49" s="549"/>
      <c r="C49" s="529"/>
      <c r="D49" s="122"/>
      <c r="E49" s="123"/>
      <c r="F49" s="124"/>
      <c r="G49" s="125"/>
      <c r="H49" s="125"/>
      <c r="I49" s="125"/>
      <c r="J49" s="125"/>
      <c r="K49" s="125"/>
      <c r="L49" s="126"/>
      <c r="M49" s="530"/>
      <c r="O49" s="522">
        <v>1</v>
      </c>
      <c r="P49" s="166"/>
    </row>
    <row r="50" spans="1:16" s="513" customFormat="1" ht="18.899999999999999" customHeight="1" thickTop="1">
      <c r="A50" s="531" t="s">
        <v>13</v>
      </c>
      <c r="B50" s="550" t="s">
        <v>201</v>
      </c>
      <c r="C50" s="532"/>
      <c r="D50" s="74"/>
      <c r="E50" s="151"/>
      <c r="F50" s="75"/>
      <c r="G50" s="76"/>
      <c r="H50" s="76"/>
      <c r="I50" s="76"/>
      <c r="J50" s="76"/>
      <c r="K50" s="76"/>
      <c r="L50" s="77"/>
      <c r="M50" s="533"/>
      <c r="O50" s="522">
        <v>1</v>
      </c>
      <c r="P50" s="141"/>
    </row>
    <row r="51" spans="1:16" s="522" customFormat="1" ht="18.899999999999999" customHeight="1">
      <c r="A51" s="518" t="s">
        <v>87</v>
      </c>
      <c r="B51" s="524" t="s">
        <v>94</v>
      </c>
      <c r="C51" s="520" t="s">
        <v>55</v>
      </c>
      <c r="D51" s="115">
        <v>0.05</v>
      </c>
      <c r="E51" s="116">
        <v>9.73</v>
      </c>
      <c r="F51" s="117"/>
      <c r="G51" s="118">
        <v>4.6239999999999997</v>
      </c>
      <c r="H51" s="117">
        <v>2259</v>
      </c>
      <c r="I51" s="118">
        <f>SUM(G51*H51)</f>
        <v>10445.616</v>
      </c>
      <c r="J51" s="118">
        <v>391</v>
      </c>
      <c r="K51" s="118">
        <f>SUM(G51*J51)</f>
        <v>1807.9839999999999</v>
      </c>
      <c r="L51" s="119">
        <f>SUM(I51+K51)</f>
        <v>12253.6</v>
      </c>
      <c r="M51" s="521"/>
      <c r="O51" s="522">
        <v>1</v>
      </c>
      <c r="P51" s="166">
        <v>10</v>
      </c>
    </row>
    <row r="52" spans="1:16" s="522" customFormat="1" ht="18.899999999999999" customHeight="1">
      <c r="A52" s="518" t="s">
        <v>88</v>
      </c>
      <c r="B52" s="524" t="s">
        <v>200</v>
      </c>
      <c r="C52" s="520" t="s">
        <v>64</v>
      </c>
      <c r="D52" s="115">
        <v>0</v>
      </c>
      <c r="E52" s="116">
        <v>251</v>
      </c>
      <c r="F52" s="117"/>
      <c r="G52" s="118">
        <v>46.24</v>
      </c>
      <c r="H52" s="117">
        <v>400</v>
      </c>
      <c r="I52" s="118">
        <f>SUM(G52*H52)</f>
        <v>18496</v>
      </c>
      <c r="J52" s="118">
        <v>0</v>
      </c>
      <c r="K52" s="118">
        <f>SUM(G52*J52)</f>
        <v>0</v>
      </c>
      <c r="L52" s="119">
        <f>SUM(I52+K52)</f>
        <v>18496</v>
      </c>
      <c r="M52" s="521"/>
      <c r="O52" s="522">
        <v>1</v>
      </c>
      <c r="P52" s="166">
        <v>91.5</v>
      </c>
    </row>
    <row r="53" spans="1:16" s="522" customFormat="1" ht="18.899999999999999" customHeight="1">
      <c r="A53" s="518" t="s">
        <v>89</v>
      </c>
      <c r="B53" s="525" t="s">
        <v>395</v>
      </c>
      <c r="C53" s="520" t="s">
        <v>64</v>
      </c>
      <c r="D53" s="217"/>
      <c r="E53" s="218"/>
      <c r="F53" s="219"/>
      <c r="G53" s="220">
        <v>57.8</v>
      </c>
      <c r="H53" s="219">
        <v>0</v>
      </c>
      <c r="I53" s="220">
        <f>SUM(G53*H53)</f>
        <v>0</v>
      </c>
      <c r="J53" s="118">
        <v>105</v>
      </c>
      <c r="K53" s="118">
        <f>SUM(G53*J53)</f>
        <v>6069</v>
      </c>
      <c r="L53" s="119">
        <f>SUM(I53+K53)</f>
        <v>6069</v>
      </c>
      <c r="M53" s="521"/>
      <c r="P53" s="166"/>
    </row>
    <row r="54" spans="1:16" s="522" customFormat="1" ht="18.899999999999999" customHeight="1">
      <c r="A54" s="518" t="s">
        <v>90</v>
      </c>
      <c r="B54" s="524" t="s">
        <v>396</v>
      </c>
      <c r="C54" s="520" t="s">
        <v>64</v>
      </c>
      <c r="D54" s="115">
        <v>0</v>
      </c>
      <c r="E54" s="116">
        <v>423</v>
      </c>
      <c r="F54" s="117"/>
      <c r="G54" s="118">
        <f>G52*0.3</f>
        <v>13.872</v>
      </c>
      <c r="H54" s="117">
        <v>400</v>
      </c>
      <c r="I54" s="118">
        <f>SUM(G54*H54)</f>
        <v>5548.8</v>
      </c>
      <c r="J54" s="118">
        <v>0</v>
      </c>
      <c r="K54" s="118">
        <f>SUM(G54*J54)</f>
        <v>0</v>
      </c>
      <c r="L54" s="119">
        <f>SUM(I54+K54)</f>
        <v>5548.8</v>
      </c>
      <c r="M54" s="521"/>
      <c r="P54" s="166"/>
    </row>
    <row r="55" spans="1:16" s="522" customFormat="1" ht="18.899999999999999" customHeight="1">
      <c r="A55" s="518" t="s">
        <v>91</v>
      </c>
      <c r="B55" s="524" t="s">
        <v>66</v>
      </c>
      <c r="C55" s="520"/>
      <c r="D55" s="194"/>
      <c r="E55" s="117"/>
      <c r="F55" s="117"/>
      <c r="G55" s="118"/>
      <c r="H55" s="118"/>
      <c r="I55" s="118"/>
      <c r="J55" s="118"/>
      <c r="K55" s="118"/>
      <c r="L55" s="119"/>
      <c r="M55" s="521"/>
      <c r="O55" s="522">
        <v>1</v>
      </c>
      <c r="P55" s="166"/>
    </row>
    <row r="56" spans="1:16" s="522" customFormat="1" ht="18.899999999999999" customHeight="1">
      <c r="A56" s="518"/>
      <c r="B56" s="524" t="s">
        <v>67</v>
      </c>
      <c r="C56" s="520" t="s">
        <v>68</v>
      </c>
      <c r="D56" s="115">
        <v>0.09</v>
      </c>
      <c r="E56" s="116">
        <v>494.03899999999999</v>
      </c>
      <c r="F56" s="117"/>
      <c r="G56" s="118">
        <v>97.006896000000012</v>
      </c>
      <c r="H56" s="117">
        <v>18.37</v>
      </c>
      <c r="I56" s="118">
        <f>SUM(G56*H56)</f>
        <v>1782.0166795200003</v>
      </c>
      <c r="J56" s="118">
        <v>4.0999999999999996</v>
      </c>
      <c r="K56" s="118">
        <f>SUM(G56*J56)</f>
        <v>397.72827360000002</v>
      </c>
      <c r="L56" s="119">
        <f>SUM(I56+K56)</f>
        <v>2179.7449531200004</v>
      </c>
      <c r="M56" s="521"/>
      <c r="O56" s="522">
        <v>1</v>
      </c>
      <c r="P56" s="166">
        <v>20</v>
      </c>
    </row>
    <row r="57" spans="1:16" s="522" customFormat="1" ht="18.899999999999999" customHeight="1">
      <c r="A57" s="518"/>
      <c r="B57" s="524" t="s">
        <v>166</v>
      </c>
      <c r="C57" s="520" t="s">
        <v>68</v>
      </c>
      <c r="D57" s="115">
        <v>0.11</v>
      </c>
      <c r="E57" s="116">
        <v>1092.24</v>
      </c>
      <c r="F57" s="117"/>
      <c r="G57" s="118">
        <v>335.67465600000003</v>
      </c>
      <c r="H57" s="117">
        <v>17.100000000000001</v>
      </c>
      <c r="I57" s="118">
        <f>SUM(G57*H57)</f>
        <v>5740.0366176000007</v>
      </c>
      <c r="J57" s="118">
        <v>4.0999999999999996</v>
      </c>
      <c r="K57" s="118">
        <f>SUM(G57*J57)</f>
        <v>1376.2660896</v>
      </c>
      <c r="L57" s="119">
        <f>SUM(I57+K57)</f>
        <v>7116.3027072000004</v>
      </c>
      <c r="M57" s="521"/>
      <c r="O57" s="522">
        <v>1</v>
      </c>
      <c r="P57" s="166">
        <v>373</v>
      </c>
    </row>
    <row r="58" spans="1:16" s="522" customFormat="1" ht="18.899999999999999" customHeight="1">
      <c r="A58" s="518" t="s">
        <v>92</v>
      </c>
      <c r="B58" s="524" t="s">
        <v>71</v>
      </c>
      <c r="C58" s="520" t="s">
        <v>68</v>
      </c>
      <c r="D58" s="115">
        <v>0</v>
      </c>
      <c r="E58" s="117">
        <v>54.274999999999999</v>
      </c>
      <c r="F58" s="117"/>
      <c r="G58" s="118">
        <v>12.980446560000001</v>
      </c>
      <c r="H58" s="117">
        <v>21.1</v>
      </c>
      <c r="I58" s="118">
        <f>SUM(G58*H58)</f>
        <v>273.88742241600005</v>
      </c>
      <c r="J58" s="118">
        <v>0</v>
      </c>
      <c r="K58" s="118">
        <f>SUM(G58*J58)</f>
        <v>0</v>
      </c>
      <c r="L58" s="119">
        <f>SUM(I58+K58)</f>
        <v>273.88742241600005</v>
      </c>
      <c r="M58" s="521" t="s">
        <v>34</v>
      </c>
      <c r="O58" s="522">
        <v>1</v>
      </c>
      <c r="P58" s="166">
        <v>27</v>
      </c>
    </row>
    <row r="59" spans="1:16" s="522" customFormat="1" ht="18.899999999999999" customHeight="1">
      <c r="A59" s="518" t="s">
        <v>275</v>
      </c>
      <c r="B59" s="523" t="s">
        <v>73</v>
      </c>
      <c r="C59" s="520" t="s">
        <v>68</v>
      </c>
      <c r="D59" s="115">
        <v>0</v>
      </c>
      <c r="E59" s="117">
        <v>64.596000000000004</v>
      </c>
      <c r="F59" s="117"/>
      <c r="G59" s="118">
        <v>14.45</v>
      </c>
      <c r="H59" s="117">
        <v>23.7</v>
      </c>
      <c r="I59" s="118">
        <f>SUM(G59*H59)</f>
        <v>342.46499999999997</v>
      </c>
      <c r="J59" s="118">
        <v>0</v>
      </c>
      <c r="K59" s="118">
        <f>SUM(G59*J59)</f>
        <v>0</v>
      </c>
      <c r="L59" s="119">
        <f>SUM(I59+K59)</f>
        <v>342.46499999999997</v>
      </c>
      <c r="M59" s="521" t="s">
        <v>34</v>
      </c>
      <c r="O59" s="522">
        <v>1</v>
      </c>
      <c r="P59" s="166">
        <v>37</v>
      </c>
    </row>
    <row r="60" spans="1:16" s="513" customFormat="1" ht="9.9" customHeight="1">
      <c r="A60" s="518"/>
      <c r="B60" s="551"/>
      <c r="C60" s="516"/>
      <c r="D60" s="160"/>
      <c r="E60" s="161"/>
      <c r="F60" s="162"/>
      <c r="G60" s="133"/>
      <c r="H60" s="133"/>
      <c r="I60" s="133"/>
      <c r="J60" s="133"/>
      <c r="K60" s="133"/>
      <c r="L60" s="163"/>
      <c r="M60" s="552" t="s">
        <v>34</v>
      </c>
      <c r="O60" s="522">
        <v>1</v>
      </c>
      <c r="P60" s="141"/>
    </row>
    <row r="61" spans="1:16" s="522" customFormat="1" ht="18.899999999999999" customHeight="1">
      <c r="A61" s="518" t="s">
        <v>276</v>
      </c>
      <c r="B61" s="553" t="s">
        <v>164</v>
      </c>
      <c r="C61" s="520"/>
      <c r="D61" s="115"/>
      <c r="E61" s="117"/>
      <c r="F61" s="117"/>
      <c r="G61" s="118"/>
      <c r="H61" s="118"/>
      <c r="I61" s="118"/>
      <c r="J61" s="118"/>
      <c r="K61" s="118"/>
      <c r="L61" s="119"/>
      <c r="M61" s="521"/>
      <c r="O61" s="522">
        <v>1</v>
      </c>
      <c r="P61" s="166"/>
    </row>
    <row r="62" spans="1:16" s="522" customFormat="1" ht="18.899999999999999" customHeight="1">
      <c r="A62" s="518"/>
      <c r="B62" s="554" t="s">
        <v>403</v>
      </c>
      <c r="C62" s="520" t="s">
        <v>68</v>
      </c>
      <c r="D62" s="115"/>
      <c r="E62" s="116"/>
      <c r="F62" s="117"/>
      <c r="G62" s="118">
        <v>159.29400000000001</v>
      </c>
      <c r="H62" s="117">
        <v>18.100000000000001</v>
      </c>
      <c r="I62" s="118">
        <f t="shared" ref="I62:I67" si="6">SUM(G62*H62)</f>
        <v>2883.2214000000004</v>
      </c>
      <c r="J62" s="118">
        <v>14</v>
      </c>
      <c r="K62" s="118">
        <f t="shared" ref="K62:K67" si="7">G62*J62</f>
        <v>2230.116</v>
      </c>
      <c r="L62" s="119">
        <f t="shared" ref="L62:L67" si="8">SUM(I62+K62)</f>
        <v>5113.3374000000003</v>
      </c>
      <c r="M62" s="521"/>
      <c r="P62" s="166"/>
    </row>
    <row r="63" spans="1:16" s="522" customFormat="1" ht="18.899999999999999" customHeight="1">
      <c r="A63" s="518"/>
      <c r="B63" s="554" t="s">
        <v>404</v>
      </c>
      <c r="C63" s="520" t="s">
        <v>68</v>
      </c>
      <c r="D63" s="115"/>
      <c r="E63" s="116"/>
      <c r="F63" s="117"/>
      <c r="G63" s="118">
        <v>1730.068</v>
      </c>
      <c r="H63" s="117">
        <v>18.100000000000001</v>
      </c>
      <c r="I63" s="118">
        <f t="shared" si="6"/>
        <v>31314.230800000001</v>
      </c>
      <c r="J63" s="118">
        <v>14</v>
      </c>
      <c r="K63" s="118">
        <f t="shared" si="7"/>
        <v>24220.952000000001</v>
      </c>
      <c r="L63" s="119">
        <f t="shared" si="8"/>
        <v>55535.182800000002</v>
      </c>
      <c r="M63" s="521"/>
      <c r="P63" s="166"/>
    </row>
    <row r="64" spans="1:16" s="522" customFormat="1" ht="18.899999999999999" customHeight="1">
      <c r="A64" s="518"/>
      <c r="B64" s="524" t="s">
        <v>405</v>
      </c>
      <c r="C64" s="520" t="s">
        <v>68</v>
      </c>
      <c r="D64" s="115">
        <v>7.0000000000000007E-2</v>
      </c>
      <c r="E64" s="116">
        <f>88.55*9.72</f>
        <v>860.70600000000002</v>
      </c>
      <c r="F64" s="117"/>
      <c r="G64" s="118">
        <v>1817.95</v>
      </c>
      <c r="H64" s="117">
        <v>18.100000000000001</v>
      </c>
      <c r="I64" s="118">
        <f t="shared" si="6"/>
        <v>32904.895000000004</v>
      </c>
      <c r="J64" s="118">
        <v>14</v>
      </c>
      <c r="K64" s="118">
        <f t="shared" si="7"/>
        <v>25451.3</v>
      </c>
      <c r="L64" s="119">
        <f t="shared" si="8"/>
        <v>58356.195000000007</v>
      </c>
      <c r="M64" s="521"/>
      <c r="O64" s="522">
        <v>1</v>
      </c>
      <c r="P64" s="166">
        <v>146.19999999999999</v>
      </c>
    </row>
    <row r="65" spans="1:16" s="522" customFormat="1" ht="18.899999999999999" customHeight="1">
      <c r="A65" s="518"/>
      <c r="B65" s="524" t="s">
        <v>406</v>
      </c>
      <c r="C65" s="520" t="s">
        <v>68</v>
      </c>
      <c r="D65" s="115">
        <v>7.0000000000000007E-2</v>
      </c>
      <c r="E65" s="116">
        <f>88.55*9.72</f>
        <v>860.70600000000002</v>
      </c>
      <c r="F65" s="117"/>
      <c r="G65" s="118">
        <v>1173.5360000000001</v>
      </c>
      <c r="H65" s="117">
        <v>18.100000000000001</v>
      </c>
      <c r="I65" s="118">
        <f t="shared" si="6"/>
        <v>21241.001600000003</v>
      </c>
      <c r="J65" s="118">
        <v>14</v>
      </c>
      <c r="K65" s="118">
        <f t="shared" si="7"/>
        <v>16429.504000000001</v>
      </c>
      <c r="L65" s="119">
        <f t="shared" si="8"/>
        <v>37670.505600000004</v>
      </c>
      <c r="M65" s="521"/>
      <c r="O65" s="522">
        <v>1</v>
      </c>
      <c r="P65" s="166">
        <v>441.4</v>
      </c>
    </row>
    <row r="66" spans="1:16" s="522" customFormat="1" ht="18.899999999999999" customHeight="1">
      <c r="A66" s="518"/>
      <c r="B66" s="555" t="s">
        <v>407</v>
      </c>
      <c r="C66" s="520" t="s">
        <v>68</v>
      </c>
      <c r="D66" s="115">
        <v>7.0000000000000007E-2</v>
      </c>
      <c r="E66" s="116">
        <v>8</v>
      </c>
      <c r="F66" s="117"/>
      <c r="G66" s="118">
        <v>19.429244999999998</v>
      </c>
      <c r="H66" s="117">
        <v>26.69</v>
      </c>
      <c r="I66" s="118">
        <f t="shared" si="6"/>
        <v>518.56654904999994</v>
      </c>
      <c r="J66" s="118">
        <v>9.35</v>
      </c>
      <c r="K66" s="118">
        <f t="shared" si="7"/>
        <v>181.66344074999998</v>
      </c>
      <c r="L66" s="119">
        <f t="shared" si="8"/>
        <v>700.22998979999988</v>
      </c>
      <c r="M66" s="521"/>
      <c r="O66" s="522">
        <v>1</v>
      </c>
      <c r="P66" s="166">
        <v>105</v>
      </c>
    </row>
    <row r="67" spans="1:16" s="522" customFormat="1" ht="18.899999999999999" customHeight="1">
      <c r="A67" s="518"/>
      <c r="B67" s="555" t="s">
        <v>408</v>
      </c>
      <c r="C67" s="520" t="s">
        <v>64</v>
      </c>
      <c r="D67" s="115">
        <v>7.0000000000000007E-2</v>
      </c>
      <c r="E67" s="116">
        <v>30</v>
      </c>
      <c r="F67" s="117"/>
      <c r="G67" s="118">
        <v>263.92149999999998</v>
      </c>
      <c r="H67" s="117">
        <v>56</v>
      </c>
      <c r="I67" s="118">
        <f t="shared" si="6"/>
        <v>14779.603999999999</v>
      </c>
      <c r="J67" s="118">
        <v>35</v>
      </c>
      <c r="K67" s="118">
        <f t="shared" si="7"/>
        <v>9237.2524999999987</v>
      </c>
      <c r="L67" s="119">
        <f t="shared" si="8"/>
        <v>24016.856499999998</v>
      </c>
      <c r="M67" s="521"/>
      <c r="O67" s="522">
        <v>1</v>
      </c>
      <c r="P67" s="166">
        <v>125</v>
      </c>
    </row>
    <row r="68" spans="1:16" s="522" customFormat="1" ht="18.899999999999999" customHeight="1" thickBot="1">
      <c r="A68" s="527"/>
      <c r="B68" s="549"/>
      <c r="C68" s="529"/>
      <c r="D68" s="122"/>
      <c r="E68" s="123"/>
      <c r="F68" s="124"/>
      <c r="G68" s="125"/>
      <c r="H68" s="125"/>
      <c r="I68" s="125"/>
      <c r="J68" s="125"/>
      <c r="K68" s="125"/>
      <c r="L68" s="126"/>
      <c r="M68" s="530"/>
      <c r="P68" s="166"/>
    </row>
    <row r="69" spans="1:16" s="513" customFormat="1" ht="20.100000000000001" customHeight="1" thickTop="1" thickBot="1">
      <c r="A69" s="556"/>
      <c r="B69" s="557" t="s">
        <v>93</v>
      </c>
      <c r="C69" s="557"/>
      <c r="D69" s="38"/>
      <c r="E69" s="39"/>
      <c r="F69" s="40"/>
      <c r="G69" s="41"/>
      <c r="H69" s="41"/>
      <c r="I69" s="41">
        <f>SUM(I10:I68)/2</f>
        <v>312549.65713557549</v>
      </c>
      <c r="J69" s="41"/>
      <c r="K69" s="41">
        <f>SUM(K10:K68)/2</f>
        <v>108556.835699109</v>
      </c>
      <c r="L69" s="41">
        <f>SUM(L8:L68)</f>
        <v>842212.98566936899</v>
      </c>
      <c r="M69" s="558"/>
    </row>
    <row r="70" spans="1:16" s="490" customFormat="1" ht="18" customHeight="1">
      <c r="D70" s="15"/>
      <c r="E70" s="16"/>
      <c r="F70" s="17"/>
      <c r="G70" s="18"/>
      <c r="H70" s="18"/>
      <c r="I70" s="18"/>
      <c r="J70" s="18"/>
      <c r="K70" s="18"/>
      <c r="L70" s="18"/>
    </row>
    <row r="71" spans="1:16" s="490" customFormat="1" ht="20.100000000000001" customHeight="1">
      <c r="B71" s="559"/>
      <c r="C71" s="19"/>
      <c r="D71" s="15"/>
      <c r="E71" s="20"/>
      <c r="F71" s="21"/>
      <c r="G71" s="18"/>
      <c r="H71" s="18"/>
      <c r="I71" s="18"/>
      <c r="J71" s="18"/>
      <c r="K71" s="18"/>
      <c r="L71" s="18"/>
    </row>
    <row r="72" spans="1:16" s="490" customFormat="1" ht="20.100000000000001" customHeight="1">
      <c r="B72" s="559"/>
      <c r="C72" s="22"/>
      <c r="D72" s="15"/>
      <c r="E72" s="16"/>
      <c r="F72" s="16"/>
      <c r="G72" s="18"/>
      <c r="H72" s="18"/>
      <c r="I72" s="18"/>
      <c r="J72" s="18"/>
      <c r="K72" s="18"/>
      <c r="L72" s="18"/>
    </row>
    <row r="73" spans="1:16" s="490" customFormat="1" ht="20.100000000000001" customHeight="1">
      <c r="B73" s="559"/>
      <c r="C73" s="22"/>
      <c r="D73" s="15"/>
      <c r="E73" s="16"/>
      <c r="F73" s="16"/>
      <c r="G73" s="18"/>
      <c r="H73" s="18"/>
      <c r="I73" s="18"/>
      <c r="J73" s="18"/>
      <c r="K73" s="18"/>
      <c r="L73" s="18"/>
    </row>
    <row r="74" spans="1:16" s="490" customFormat="1" ht="20.100000000000001" customHeight="1">
      <c r="B74" s="559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490" customFormat="1" ht="20.100000000000001" customHeight="1">
      <c r="B75" s="559"/>
      <c r="C75" s="22"/>
      <c r="D75" s="23"/>
      <c r="E75" s="16"/>
      <c r="F75" s="16"/>
      <c r="G75" s="18"/>
      <c r="H75" s="18"/>
      <c r="I75" s="18"/>
      <c r="J75" s="18"/>
      <c r="K75" s="18"/>
      <c r="L75" s="18"/>
    </row>
    <row r="76" spans="1:16" s="490" customFormat="1" ht="20.100000000000001" customHeight="1">
      <c r="B76" s="559"/>
      <c r="C76" s="22"/>
      <c r="D76" s="23"/>
      <c r="E76" s="16"/>
      <c r="F76" s="17"/>
      <c r="G76" s="18"/>
      <c r="H76" s="18"/>
      <c r="I76" s="18"/>
      <c r="J76" s="18"/>
      <c r="K76" s="18"/>
      <c r="L76" s="18"/>
    </row>
    <row r="77" spans="1:16" s="490" customFormat="1" ht="20.100000000000001" customHeight="1">
      <c r="B77" s="559"/>
      <c r="C77" s="22"/>
      <c r="D77" s="15"/>
      <c r="E77" s="16"/>
      <c r="F77" s="16"/>
      <c r="G77" s="18"/>
      <c r="H77" s="18"/>
      <c r="I77" s="18"/>
      <c r="J77" s="18"/>
      <c r="K77" s="18"/>
      <c r="L77" s="18"/>
    </row>
    <row r="78" spans="1:16" s="490" customFormat="1" ht="20.100000000000001" customHeight="1">
      <c r="B78" s="559"/>
      <c r="C78" s="22"/>
      <c r="D78" s="15"/>
      <c r="E78" s="16"/>
      <c r="F78" s="16"/>
      <c r="G78" s="18"/>
      <c r="H78" s="18"/>
      <c r="I78" s="18"/>
      <c r="J78" s="18"/>
      <c r="K78" s="18"/>
      <c r="L78" s="18"/>
    </row>
    <row r="79" spans="1:16" s="490" customFormat="1" ht="20.100000000000001" customHeight="1">
      <c r="B79" s="559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490" customFormat="1" ht="20.100000000000001" customHeight="1">
      <c r="B80" s="559"/>
      <c r="C80" s="22"/>
      <c r="D80" s="24"/>
      <c r="E80" s="16"/>
      <c r="F80" s="16"/>
      <c r="G80" s="18"/>
      <c r="H80" s="18"/>
      <c r="I80" s="18"/>
      <c r="J80" s="18"/>
      <c r="K80" s="18"/>
      <c r="L80" s="18"/>
    </row>
    <row r="81" spans="2:12" s="490" customFormat="1" ht="20.100000000000001" customHeight="1">
      <c r="B81" s="559"/>
      <c r="C81" s="560"/>
      <c r="D81" s="15"/>
      <c r="E81" s="16"/>
      <c r="F81" s="17"/>
      <c r="G81" s="18"/>
      <c r="H81" s="18"/>
      <c r="I81" s="18"/>
      <c r="J81" s="18"/>
      <c r="K81" s="18"/>
      <c r="L81" s="18"/>
    </row>
    <row r="382" spans="2:7">
      <c r="B382" s="561">
        <v>676.7</v>
      </c>
      <c r="G382" s="561" t="s">
        <v>194</v>
      </c>
    </row>
    <row r="384" spans="2:7">
      <c r="B384" s="561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59"/>
  <sheetViews>
    <sheetView view="pageBreakPreview" zoomScale="80" zoomScaleNormal="75" workbookViewId="0">
      <selection activeCell="S85" sqref="S85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109375" style="449" customWidth="1"/>
    <col min="16" max="16" width="11.109375" style="449" customWidth="1"/>
    <col min="17" max="17" width="9.6640625" style="444" bestFit="1" customWidth="1"/>
    <col min="18" max="18" width="9.77734375" style="444" customWidth="1"/>
    <col min="19" max="19" width="10.88671875" style="450" customWidth="1"/>
    <col min="20" max="20" width="9.109375" style="450"/>
    <col min="21" max="21" width="11.21875" style="451" bestFit="1" customWidth="1"/>
    <col min="22" max="16384" width="9.109375" style="5"/>
  </cols>
  <sheetData>
    <row r="1" spans="1:21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  <c r="O1" s="430"/>
      <c r="P1" s="430"/>
      <c r="Q1" s="430"/>
      <c r="R1" s="430"/>
      <c r="S1" s="431"/>
      <c r="T1" s="431"/>
      <c r="U1" s="431"/>
    </row>
    <row r="2" spans="1:21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  <c r="O2" s="430"/>
      <c r="P2" s="430"/>
      <c r="Q2" s="430"/>
      <c r="R2" s="430"/>
      <c r="S2" s="431"/>
      <c r="T2" s="431"/>
      <c r="U2" s="431"/>
    </row>
    <row r="3" spans="1:21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  <c r="O3" s="430"/>
      <c r="P3" s="430"/>
      <c r="Q3" s="430"/>
      <c r="R3" s="430"/>
      <c r="S3" s="431"/>
      <c r="T3" s="431"/>
      <c r="U3" s="431"/>
    </row>
    <row r="4" spans="1:21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69" t="s">
        <v>256</v>
      </c>
      <c r="K4" s="469"/>
      <c r="L4" s="469"/>
      <c r="M4" s="470"/>
      <c r="O4" s="430"/>
      <c r="P4" s="430"/>
      <c r="Q4" s="430"/>
      <c r="R4" s="430"/>
      <c r="S4" s="431"/>
      <c r="T4" s="431"/>
      <c r="U4" s="431"/>
    </row>
    <row r="5" spans="1:21" s="1" customFormat="1" ht="20.100000000000001" customHeight="1" thickBot="1">
      <c r="A5" s="136" t="s">
        <v>394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  <c r="O5" s="430"/>
      <c r="P5" s="430"/>
      <c r="Q5" s="430"/>
      <c r="R5" s="430"/>
      <c r="S5" s="431"/>
      <c r="T5" s="431"/>
      <c r="U5" s="431"/>
    </row>
    <row r="6" spans="1:21" s="25" customFormat="1" ht="20.100000000000001" customHeight="1">
      <c r="A6" s="481" t="s">
        <v>3</v>
      </c>
      <c r="B6" s="483" t="s">
        <v>4</v>
      </c>
      <c r="C6" s="483" t="s">
        <v>38</v>
      </c>
      <c r="D6" s="30" t="s">
        <v>47</v>
      </c>
      <c r="E6" s="31" t="s">
        <v>39</v>
      </c>
      <c r="F6" s="31" t="s">
        <v>39</v>
      </c>
      <c r="G6" s="485" t="s">
        <v>39</v>
      </c>
      <c r="H6" s="477" t="s">
        <v>40</v>
      </c>
      <c r="I6" s="478"/>
      <c r="J6" s="479" t="s">
        <v>41</v>
      </c>
      <c r="K6" s="480"/>
      <c r="L6" s="32" t="s">
        <v>6</v>
      </c>
      <c r="M6" s="475" t="s">
        <v>42</v>
      </c>
      <c r="O6" s="432"/>
      <c r="P6" s="432"/>
      <c r="Q6" s="433"/>
      <c r="R6" s="433"/>
      <c r="S6" s="434"/>
      <c r="T6" s="434"/>
      <c r="U6" s="435"/>
    </row>
    <row r="7" spans="1:21" s="25" customFormat="1" ht="20.100000000000001" customHeight="1" thickBot="1">
      <c r="A7" s="482"/>
      <c r="B7" s="484"/>
      <c r="C7" s="484"/>
      <c r="D7" s="33" t="s">
        <v>48</v>
      </c>
      <c r="E7" s="189"/>
      <c r="F7" s="189"/>
      <c r="G7" s="486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6"/>
      <c r="O7" s="432"/>
      <c r="P7" s="432"/>
      <c r="Q7" s="433"/>
      <c r="R7" s="433"/>
      <c r="S7" s="434"/>
      <c r="T7" s="434"/>
      <c r="U7" s="435"/>
    </row>
    <row r="8" spans="1:21" s="1" customFormat="1" ht="20.100000000000001" customHeight="1">
      <c r="A8" s="167" t="s">
        <v>95</v>
      </c>
      <c r="B8" s="168" t="s">
        <v>168</v>
      </c>
      <c r="C8" s="169"/>
      <c r="D8" s="170"/>
      <c r="E8" s="171"/>
      <c r="F8" s="172"/>
      <c r="G8" s="172"/>
      <c r="H8" s="173"/>
      <c r="I8" s="173"/>
      <c r="J8" s="173"/>
      <c r="K8" s="173"/>
      <c r="L8" s="174"/>
      <c r="M8" s="175"/>
      <c r="O8" s="430"/>
      <c r="P8" s="430"/>
      <c r="Q8" s="430"/>
      <c r="R8" s="430"/>
      <c r="S8" s="431"/>
      <c r="T8" s="431"/>
      <c r="U8" s="431"/>
    </row>
    <row r="9" spans="1:21" s="1" customFormat="1" ht="20.100000000000001" customHeight="1">
      <c r="A9" s="86" t="s">
        <v>16</v>
      </c>
      <c r="B9" s="87" t="s">
        <v>96</v>
      </c>
      <c r="C9" s="88"/>
      <c r="D9" s="89"/>
      <c r="E9" s="90" t="e">
        <f>SUM(E10:E15)</f>
        <v>#REF!</v>
      </c>
      <c r="F9" s="90">
        <f>SUM(F10:F15)</f>
        <v>0</v>
      </c>
      <c r="G9" s="90"/>
      <c r="H9" s="91"/>
      <c r="I9" s="91"/>
      <c r="J9" s="91"/>
      <c r="K9" s="91"/>
      <c r="L9" s="92"/>
      <c r="M9" s="111"/>
      <c r="O9" s="430"/>
      <c r="P9" s="430"/>
      <c r="Q9" s="430"/>
      <c r="R9" s="430"/>
      <c r="S9" s="431"/>
      <c r="T9" s="431"/>
      <c r="U9" s="431"/>
    </row>
    <row r="10" spans="1:21" s="7" customFormat="1" ht="20.25" customHeight="1">
      <c r="A10" s="190" t="s">
        <v>97</v>
      </c>
      <c r="B10" s="214" t="s">
        <v>226</v>
      </c>
      <c r="C10" s="114" t="s">
        <v>64</v>
      </c>
      <c r="D10" s="115">
        <v>0</v>
      </c>
      <c r="E10" s="116">
        <v>174</v>
      </c>
      <c r="F10" s="117"/>
      <c r="G10" s="117">
        <v>65</v>
      </c>
      <c r="H10" s="117">
        <v>350</v>
      </c>
      <c r="I10" s="118">
        <f>G10*H10</f>
        <v>22750</v>
      </c>
      <c r="J10" s="118">
        <v>250</v>
      </c>
      <c r="K10" s="118">
        <f>G10*J10</f>
        <v>16250</v>
      </c>
      <c r="L10" s="119">
        <f>K10+I10</f>
        <v>39000</v>
      </c>
      <c r="M10" s="120"/>
      <c r="O10" s="430"/>
      <c r="P10" s="430"/>
      <c r="Q10" s="436"/>
      <c r="R10" s="436"/>
      <c r="S10" s="431"/>
      <c r="T10" s="431"/>
      <c r="U10" s="437"/>
    </row>
    <row r="11" spans="1:21" s="7" customFormat="1" ht="20.100000000000001" customHeight="1">
      <c r="A11" s="230" t="s">
        <v>98</v>
      </c>
      <c r="B11" s="214" t="s">
        <v>227</v>
      </c>
      <c r="C11" s="114" t="s">
        <v>64</v>
      </c>
      <c r="D11" s="291">
        <v>0</v>
      </c>
      <c r="E11" s="292">
        <v>435</v>
      </c>
      <c r="F11" s="134"/>
      <c r="G11" s="134">
        <v>70</v>
      </c>
      <c r="H11" s="134">
        <v>300</v>
      </c>
      <c r="I11" s="118">
        <f>G11*H11</f>
        <v>21000</v>
      </c>
      <c r="J11" s="135">
        <v>250</v>
      </c>
      <c r="K11" s="118">
        <f>G11*J11</f>
        <v>17500</v>
      </c>
      <c r="L11" s="119">
        <f>K11+I11</f>
        <v>38500</v>
      </c>
      <c r="M11" s="196"/>
      <c r="O11" s="430"/>
      <c r="P11" s="430"/>
      <c r="Q11" s="436"/>
      <c r="R11" s="436"/>
      <c r="S11" s="431"/>
      <c r="T11" s="431"/>
      <c r="U11" s="437"/>
    </row>
    <row r="12" spans="1:21" s="7" customFormat="1" ht="20.100000000000001" customHeight="1">
      <c r="A12" s="190" t="s">
        <v>99</v>
      </c>
      <c r="B12" s="214" t="s">
        <v>228</v>
      </c>
      <c r="C12" s="114" t="s">
        <v>64</v>
      </c>
      <c r="D12" s="198">
        <v>0</v>
      </c>
      <c r="E12" s="199">
        <v>435</v>
      </c>
      <c r="F12" s="200"/>
      <c r="G12" s="200">
        <v>90</v>
      </c>
      <c r="H12" s="200">
        <v>280</v>
      </c>
      <c r="I12" s="118">
        <f>G12*H12</f>
        <v>25200</v>
      </c>
      <c r="J12" s="201">
        <v>180</v>
      </c>
      <c r="K12" s="118">
        <f>G12*J12</f>
        <v>16200</v>
      </c>
      <c r="L12" s="119">
        <f>K12+I12</f>
        <v>41400</v>
      </c>
      <c r="M12" s="203"/>
      <c r="O12" s="430"/>
      <c r="P12" s="430"/>
      <c r="Q12" s="436"/>
      <c r="R12" s="436"/>
      <c r="S12" s="431"/>
      <c r="T12" s="431"/>
      <c r="U12" s="437"/>
    </row>
    <row r="13" spans="1:21" s="7" customFormat="1" ht="20.100000000000001" customHeight="1">
      <c r="A13" s="190" t="s">
        <v>100</v>
      </c>
      <c r="B13" s="224" t="s">
        <v>202</v>
      </c>
      <c r="C13" s="114" t="s">
        <v>64</v>
      </c>
      <c r="D13" s="115">
        <v>0</v>
      </c>
      <c r="E13" s="116">
        <v>38</v>
      </c>
      <c r="F13" s="117"/>
      <c r="G13" s="117">
        <v>26</v>
      </c>
      <c r="H13" s="117">
        <v>20</v>
      </c>
      <c r="I13" s="118">
        <f>G13*H13</f>
        <v>520</v>
      </c>
      <c r="J13" s="118">
        <v>30</v>
      </c>
      <c r="K13" s="118">
        <f>G13*J13</f>
        <v>780</v>
      </c>
      <c r="L13" s="119">
        <f>K13+I13</f>
        <v>1300</v>
      </c>
      <c r="M13" s="120"/>
      <c r="O13" s="430"/>
      <c r="P13" s="430"/>
      <c r="Q13" s="436"/>
      <c r="R13" s="436"/>
      <c r="S13" s="431"/>
      <c r="T13" s="431"/>
      <c r="U13" s="437"/>
    </row>
    <row r="14" spans="1:21" s="7" customFormat="1" ht="20.100000000000001" customHeight="1">
      <c r="A14" s="190" t="s">
        <v>101</v>
      </c>
      <c r="B14" s="224" t="s">
        <v>254</v>
      </c>
      <c r="C14" s="114" t="s">
        <v>180</v>
      </c>
      <c r="D14" s="115">
        <v>0</v>
      </c>
      <c r="E14" s="116">
        <v>38</v>
      </c>
      <c r="F14" s="117"/>
      <c r="G14" s="117">
        <v>29</v>
      </c>
      <c r="H14" s="117">
        <v>60</v>
      </c>
      <c r="I14" s="118">
        <f>G14*H14</f>
        <v>1740</v>
      </c>
      <c r="J14" s="118">
        <v>45</v>
      </c>
      <c r="K14" s="118">
        <f>G14*J14</f>
        <v>1305</v>
      </c>
      <c r="L14" s="119">
        <f>K14+I14</f>
        <v>3045</v>
      </c>
      <c r="M14" s="120"/>
      <c r="O14" s="430"/>
      <c r="P14" s="430"/>
      <c r="Q14" s="436"/>
      <c r="R14" s="436"/>
      <c r="S14" s="431"/>
      <c r="T14" s="431"/>
      <c r="U14" s="437"/>
    </row>
    <row r="15" spans="1:21" s="7" customFormat="1" ht="20.100000000000001" customHeight="1">
      <c r="A15" s="190"/>
      <c r="B15" s="224"/>
      <c r="C15" s="114"/>
      <c r="D15" s="115">
        <v>0</v>
      </c>
      <c r="E15" s="116" t="e">
        <f>E14+#REF!+#REF!+#REF!</f>
        <v>#REF!</v>
      </c>
      <c r="F15" s="116"/>
      <c r="G15" s="117"/>
      <c r="H15" s="117"/>
      <c r="I15" s="118"/>
      <c r="J15" s="118"/>
      <c r="K15" s="118"/>
      <c r="L15" s="119"/>
      <c r="M15" s="120"/>
      <c r="O15" s="430"/>
      <c r="P15" s="430"/>
      <c r="Q15" s="436"/>
      <c r="R15" s="436"/>
      <c r="S15" s="431"/>
      <c r="T15" s="431"/>
      <c r="U15" s="437"/>
    </row>
    <row r="16" spans="1:21" s="7" customFormat="1" ht="20.100000000000001" customHeight="1" thickBot="1">
      <c r="A16" s="190"/>
      <c r="B16" s="307"/>
      <c r="C16" s="308"/>
      <c r="D16" s="115">
        <v>0</v>
      </c>
      <c r="E16" s="116" t="e">
        <f>#REF!</f>
        <v>#REF!</v>
      </c>
      <c r="F16" s="116"/>
      <c r="G16" s="117"/>
      <c r="H16" s="117"/>
      <c r="I16" s="118"/>
      <c r="J16" s="118"/>
      <c r="K16" s="118"/>
      <c r="L16" s="119"/>
      <c r="M16" s="120"/>
      <c r="O16" s="430"/>
      <c r="P16" s="430"/>
      <c r="Q16" s="436"/>
      <c r="R16" s="436"/>
      <c r="S16" s="431"/>
      <c r="T16" s="431"/>
      <c r="U16" s="437"/>
    </row>
    <row r="17" spans="1:21" s="7" customFormat="1" ht="20.100000000000001" customHeight="1" thickTop="1" thickBot="1">
      <c r="A17" s="52"/>
      <c r="B17" s="44" t="s">
        <v>103</v>
      </c>
      <c r="C17" s="48"/>
      <c r="D17" s="49"/>
      <c r="E17" s="50"/>
      <c r="F17" s="50"/>
      <c r="G17" s="50"/>
      <c r="H17" s="51"/>
      <c r="I17" s="36">
        <f>SUM(I10:I16)</f>
        <v>71210</v>
      </c>
      <c r="J17" s="51"/>
      <c r="K17" s="36">
        <f>SUM(K10:K16)</f>
        <v>52035</v>
      </c>
      <c r="L17" s="36">
        <f>SUM(L10:L16)</f>
        <v>123245</v>
      </c>
      <c r="M17" s="37"/>
      <c r="O17" s="430"/>
      <c r="P17" s="430"/>
      <c r="Q17" s="436"/>
      <c r="R17" s="436"/>
      <c r="S17" s="431"/>
      <c r="T17" s="431"/>
      <c r="U17" s="437"/>
    </row>
    <row r="18" spans="1:21" s="7" customFormat="1" ht="20.100000000000001" customHeight="1" thickTop="1">
      <c r="A18" s="357"/>
      <c r="B18" s="309"/>
      <c r="C18" s="310"/>
      <c r="D18" s="311"/>
      <c r="E18" s="312"/>
      <c r="F18" s="313"/>
      <c r="G18" s="313"/>
      <c r="H18" s="166"/>
      <c r="I18" s="166"/>
      <c r="J18" s="166"/>
      <c r="K18" s="166"/>
      <c r="L18" s="314"/>
      <c r="M18" s="358"/>
      <c r="O18" s="430"/>
      <c r="P18" s="430"/>
      <c r="Q18" s="436"/>
      <c r="R18" s="436"/>
      <c r="S18" s="431"/>
      <c r="T18" s="431"/>
      <c r="U18" s="437"/>
    </row>
    <row r="19" spans="1:21" s="7" customFormat="1" ht="20.100000000000001" customHeight="1">
      <c r="A19" s="359"/>
      <c r="B19" s="317"/>
      <c r="C19" s="317"/>
      <c r="D19" s="317"/>
      <c r="E19" s="317"/>
      <c r="F19" s="317"/>
      <c r="G19" s="317"/>
      <c r="H19" s="317"/>
      <c r="I19" s="317"/>
      <c r="J19" s="317"/>
      <c r="K19" s="317"/>
      <c r="L19" s="317"/>
      <c r="M19" s="360"/>
      <c r="O19" s="430"/>
      <c r="P19" s="430"/>
      <c r="Q19" s="436"/>
      <c r="R19" s="436"/>
      <c r="S19" s="431"/>
      <c r="T19" s="431"/>
      <c r="U19" s="437"/>
    </row>
    <row r="20" spans="1:21" s="1" customFormat="1" ht="20.100000000000001" customHeight="1">
      <c r="A20" s="167" t="s">
        <v>17</v>
      </c>
      <c r="B20" s="168" t="s">
        <v>169</v>
      </c>
      <c r="C20" s="169"/>
      <c r="D20" s="170"/>
      <c r="E20" s="172" t="e">
        <f>SUM(E21:E21)*2</f>
        <v>#REF!</v>
      </c>
      <c r="F20" s="172">
        <f>SUM(F21:F21)*2</f>
        <v>0</v>
      </c>
      <c r="G20" s="172"/>
      <c r="H20" s="173"/>
      <c r="I20" s="173"/>
      <c r="J20" s="173"/>
      <c r="K20" s="173"/>
      <c r="L20" s="174"/>
      <c r="M20" s="175"/>
      <c r="O20" s="430"/>
      <c r="P20" s="430"/>
      <c r="Q20" s="430"/>
      <c r="R20" s="430"/>
      <c r="S20" s="431"/>
      <c r="T20" s="431"/>
      <c r="U20" s="431"/>
    </row>
    <row r="21" spans="1:21" s="7" customFormat="1" ht="20.100000000000001" customHeight="1">
      <c r="A21" s="226" t="s">
        <v>104</v>
      </c>
      <c r="B21" s="227" t="s">
        <v>229</v>
      </c>
      <c r="C21" s="105" t="s">
        <v>64</v>
      </c>
      <c r="D21" s="106">
        <v>0</v>
      </c>
      <c r="E21" s="107" t="e">
        <f>#REF!*2-#REF!</f>
        <v>#REF!</v>
      </c>
      <c r="F21" s="108"/>
      <c r="G21" s="108">
        <v>175</v>
      </c>
      <c r="H21" s="108">
        <v>200</v>
      </c>
      <c r="I21" s="118">
        <f>G21*H21</f>
        <v>35000</v>
      </c>
      <c r="J21" s="109">
        <v>80</v>
      </c>
      <c r="K21" s="118">
        <f>G21*J21</f>
        <v>14000</v>
      </c>
      <c r="L21" s="119">
        <f>K21+I21</f>
        <v>49000</v>
      </c>
      <c r="M21" s="111"/>
      <c r="O21" s="430"/>
      <c r="P21" s="430"/>
      <c r="Q21" s="436"/>
      <c r="R21" s="436"/>
      <c r="S21" s="431"/>
      <c r="T21" s="431"/>
      <c r="U21" s="437"/>
    </row>
    <row r="22" spans="1:21" s="7" customFormat="1" ht="20.100000000000001" customHeight="1">
      <c r="A22" s="190" t="s">
        <v>105</v>
      </c>
      <c r="B22" s="228" t="s">
        <v>181</v>
      </c>
      <c r="C22" s="114" t="s">
        <v>64</v>
      </c>
      <c r="D22" s="115">
        <v>0</v>
      </c>
      <c r="E22" s="116">
        <f>35*2</f>
        <v>70</v>
      </c>
      <c r="F22" s="117"/>
      <c r="G22" s="117">
        <v>135</v>
      </c>
      <c r="H22" s="117">
        <v>45</v>
      </c>
      <c r="I22" s="118">
        <f t="shared" ref="I22:I27" si="0">G22*H22</f>
        <v>6075</v>
      </c>
      <c r="J22" s="118">
        <v>80</v>
      </c>
      <c r="K22" s="118">
        <f t="shared" ref="K22:K27" si="1">G22*J22</f>
        <v>10800</v>
      </c>
      <c r="L22" s="119">
        <f t="shared" ref="L22:L27" si="2">K22+I22</f>
        <v>16875</v>
      </c>
      <c r="M22" s="120"/>
      <c r="O22" s="430"/>
      <c r="P22" s="430"/>
      <c r="Q22" s="436"/>
      <c r="R22" s="436"/>
      <c r="S22" s="431"/>
      <c r="T22" s="431"/>
      <c r="U22" s="437"/>
    </row>
    <row r="23" spans="1:21" s="7" customFormat="1" ht="20.100000000000001" customHeight="1">
      <c r="A23" s="190" t="s">
        <v>106</v>
      </c>
      <c r="B23" s="228" t="s">
        <v>182</v>
      </c>
      <c r="C23" s="114" t="s">
        <v>64</v>
      </c>
      <c r="D23" s="115">
        <v>0</v>
      </c>
      <c r="E23" s="116">
        <f>35*2</f>
        <v>70</v>
      </c>
      <c r="F23" s="117"/>
      <c r="G23" s="117">
        <v>120</v>
      </c>
      <c r="H23" s="117">
        <v>45</v>
      </c>
      <c r="I23" s="118">
        <f t="shared" si="0"/>
        <v>5400</v>
      </c>
      <c r="J23" s="118">
        <v>80</v>
      </c>
      <c r="K23" s="118">
        <f t="shared" si="1"/>
        <v>9600</v>
      </c>
      <c r="L23" s="119">
        <f t="shared" si="2"/>
        <v>15000</v>
      </c>
      <c r="M23" s="120"/>
      <c r="O23" s="430">
        <v>250</v>
      </c>
      <c r="P23" s="430">
        <f>G23*O23</f>
        <v>30000</v>
      </c>
      <c r="Q23" s="438">
        <f>I21-P23</f>
        <v>5000</v>
      </c>
      <c r="R23" s="438"/>
      <c r="S23" s="431">
        <v>730</v>
      </c>
      <c r="T23" s="431">
        <f>G23*S23</f>
        <v>87600</v>
      </c>
      <c r="U23" s="439">
        <f>I21-T23</f>
        <v>-52600</v>
      </c>
    </row>
    <row r="24" spans="1:21" s="7" customFormat="1" ht="20.100000000000001" customHeight="1">
      <c r="A24" s="190" t="s">
        <v>107</v>
      </c>
      <c r="B24" s="229" t="s">
        <v>109</v>
      </c>
      <c r="C24" s="114" t="s">
        <v>102</v>
      </c>
      <c r="D24" s="115">
        <v>0</v>
      </c>
      <c r="E24" s="116" t="e">
        <f>E26</f>
        <v>#REF!</v>
      </c>
      <c r="F24" s="117"/>
      <c r="G24" s="117">
        <v>115</v>
      </c>
      <c r="H24" s="117">
        <v>70</v>
      </c>
      <c r="I24" s="118">
        <f t="shared" si="0"/>
        <v>8050</v>
      </c>
      <c r="J24" s="118">
        <v>50</v>
      </c>
      <c r="K24" s="118">
        <f t="shared" si="1"/>
        <v>5750</v>
      </c>
      <c r="L24" s="119">
        <f t="shared" si="2"/>
        <v>13800</v>
      </c>
      <c r="M24" s="120"/>
      <c r="O24" s="430"/>
      <c r="P24" s="430"/>
      <c r="Q24" s="436"/>
      <c r="R24" s="436"/>
      <c r="S24" s="431"/>
      <c r="T24" s="431"/>
      <c r="U24" s="437"/>
    </row>
    <row r="25" spans="1:21" s="7" customFormat="1" ht="20.100000000000001" customHeight="1">
      <c r="A25" s="190" t="s">
        <v>108</v>
      </c>
      <c r="B25" s="228" t="s">
        <v>262</v>
      </c>
      <c r="C25" s="114" t="s">
        <v>102</v>
      </c>
      <c r="D25" s="115">
        <v>0</v>
      </c>
      <c r="E25" s="116" t="e">
        <f>#REF!</f>
        <v>#REF!</v>
      </c>
      <c r="F25" s="117"/>
      <c r="G25" s="117">
        <v>206.5</v>
      </c>
      <c r="H25" s="117">
        <v>25</v>
      </c>
      <c r="I25" s="118">
        <f t="shared" si="0"/>
        <v>5162.5</v>
      </c>
      <c r="J25" s="118">
        <v>35</v>
      </c>
      <c r="K25" s="118">
        <f t="shared" si="1"/>
        <v>7227.5</v>
      </c>
      <c r="L25" s="119">
        <f t="shared" si="2"/>
        <v>12390</v>
      </c>
      <c r="M25" s="120"/>
      <c r="O25" s="430"/>
      <c r="P25" s="430"/>
      <c r="Q25" s="436"/>
      <c r="R25" s="436"/>
      <c r="S25" s="431"/>
      <c r="T25" s="431"/>
      <c r="U25" s="437"/>
    </row>
    <row r="26" spans="1:21" s="7" customFormat="1" ht="20.100000000000001" customHeight="1">
      <c r="A26" s="226" t="s">
        <v>110</v>
      </c>
      <c r="B26" s="325" t="s">
        <v>257</v>
      </c>
      <c r="C26" s="216" t="s">
        <v>64</v>
      </c>
      <c r="D26" s="115">
        <v>0</v>
      </c>
      <c r="E26" s="116" t="e">
        <f>#REF!</f>
        <v>#REF!</v>
      </c>
      <c r="F26" s="117"/>
      <c r="G26" s="117">
        <v>72</v>
      </c>
      <c r="H26" s="117">
        <v>280</v>
      </c>
      <c r="I26" s="118">
        <f t="shared" si="0"/>
        <v>20160</v>
      </c>
      <c r="J26" s="118">
        <v>180</v>
      </c>
      <c r="K26" s="118">
        <f t="shared" si="1"/>
        <v>12960</v>
      </c>
      <c r="L26" s="119">
        <f t="shared" si="2"/>
        <v>33120</v>
      </c>
      <c r="M26" s="120"/>
      <c r="O26" s="430"/>
      <c r="P26" s="430"/>
      <c r="Q26" s="436"/>
      <c r="R26" s="436"/>
      <c r="S26" s="431"/>
      <c r="T26" s="431"/>
      <c r="U26" s="437"/>
    </row>
    <row r="27" spans="1:21" s="7" customFormat="1" ht="20.100000000000001" customHeight="1">
      <c r="A27" s="361"/>
      <c r="B27" s="318" t="s">
        <v>221</v>
      </c>
      <c r="C27" s="255"/>
      <c r="D27" s="217">
        <v>0</v>
      </c>
      <c r="E27" s="218">
        <v>530</v>
      </c>
      <c r="F27" s="219"/>
      <c r="G27" s="134">
        <v>72</v>
      </c>
      <c r="H27" s="134">
        <v>60</v>
      </c>
      <c r="I27" s="118">
        <f t="shared" si="0"/>
        <v>4320</v>
      </c>
      <c r="J27" s="135">
        <v>70</v>
      </c>
      <c r="K27" s="118">
        <f t="shared" si="1"/>
        <v>5040</v>
      </c>
      <c r="L27" s="119">
        <f t="shared" si="2"/>
        <v>9360</v>
      </c>
      <c r="M27" s="196"/>
      <c r="O27" s="430"/>
      <c r="P27" s="430"/>
      <c r="Q27" s="436"/>
      <c r="R27" s="436"/>
      <c r="S27" s="431"/>
      <c r="T27" s="431"/>
      <c r="U27" s="437"/>
    </row>
    <row r="28" spans="1:21" s="7" customFormat="1" ht="20.100000000000001" customHeight="1">
      <c r="A28" s="362" t="s">
        <v>111</v>
      </c>
      <c r="B28" s="320" t="s">
        <v>189</v>
      </c>
      <c r="C28" s="321"/>
      <c r="G28" s="326"/>
      <c r="H28" s="322"/>
      <c r="I28" s="323"/>
      <c r="J28" s="323"/>
      <c r="K28" s="323"/>
      <c r="L28" s="324"/>
      <c r="M28" s="358"/>
      <c r="O28" s="430"/>
      <c r="P28" s="430"/>
      <c r="Q28" s="436"/>
      <c r="R28" s="436"/>
      <c r="S28" s="431"/>
      <c r="T28" s="431"/>
      <c r="U28" s="437"/>
    </row>
    <row r="29" spans="1:21" s="7" customFormat="1" ht="21" customHeight="1">
      <c r="A29" s="254"/>
      <c r="B29" s="319" t="s">
        <v>224</v>
      </c>
      <c r="C29" s="277" t="s">
        <v>102</v>
      </c>
      <c r="G29" s="327">
        <v>38</v>
      </c>
      <c r="H29" s="258">
        <v>110</v>
      </c>
      <c r="I29" s="118">
        <f>G29*H29</f>
        <v>4180</v>
      </c>
      <c r="J29" s="259">
        <v>70</v>
      </c>
      <c r="K29" s="118">
        <f>G29*J29</f>
        <v>2660</v>
      </c>
      <c r="L29" s="119">
        <f>K29+I29</f>
        <v>6840</v>
      </c>
      <c r="M29" s="358"/>
      <c r="O29" s="430"/>
      <c r="P29" s="430"/>
      <c r="Q29" s="436"/>
      <c r="R29" s="436"/>
      <c r="S29" s="431"/>
      <c r="T29" s="431"/>
      <c r="U29" s="437"/>
    </row>
    <row r="30" spans="1:21" s="7" customFormat="1" ht="20.100000000000001" customHeight="1">
      <c r="A30" s="363" t="s">
        <v>173</v>
      </c>
      <c r="B30" s="316" t="s">
        <v>374</v>
      </c>
      <c r="C30" s="303" t="s">
        <v>64</v>
      </c>
      <c r="D30" s="304"/>
      <c r="E30" s="305"/>
      <c r="F30" s="178"/>
      <c r="G30" s="178">
        <v>105</v>
      </c>
      <c r="H30" s="178">
        <v>100</v>
      </c>
      <c r="I30" s="315">
        <f>G30*H30</f>
        <v>10500</v>
      </c>
      <c r="J30" s="315"/>
      <c r="K30" s="315">
        <v>100</v>
      </c>
      <c r="L30" s="119">
        <f>K30+I30</f>
        <v>10600</v>
      </c>
      <c r="M30" s="364"/>
      <c r="O30" s="430"/>
      <c r="P30" s="430"/>
      <c r="Q30" s="436"/>
      <c r="R30" s="436"/>
      <c r="S30" s="431"/>
      <c r="T30" s="431"/>
      <c r="U30" s="437"/>
    </row>
    <row r="31" spans="1:21" s="7" customFormat="1" ht="20.100000000000001" customHeight="1">
      <c r="A31" s="365"/>
      <c r="B31" s="316"/>
      <c r="C31" s="316"/>
      <c r="D31" s="316"/>
      <c r="E31" s="316"/>
      <c r="F31" s="316"/>
      <c r="G31" s="316"/>
      <c r="H31" s="316"/>
      <c r="I31" s="316"/>
      <c r="J31" s="316"/>
      <c r="K31" s="316"/>
      <c r="L31" s="316"/>
      <c r="M31" s="366"/>
      <c r="O31" s="430"/>
      <c r="P31" s="430"/>
      <c r="Q31" s="436"/>
      <c r="R31" s="436"/>
      <c r="S31" s="431"/>
      <c r="T31" s="431"/>
      <c r="U31" s="437"/>
    </row>
    <row r="32" spans="1:21" s="7" customFormat="1" ht="20.100000000000001" customHeight="1" thickBot="1">
      <c r="A32" s="367"/>
      <c r="B32" s="328"/>
      <c r="C32" s="278"/>
      <c r="D32" s="279"/>
      <c r="E32" s="280"/>
      <c r="F32" s="281"/>
      <c r="G32" s="281"/>
      <c r="H32" s="329"/>
      <c r="I32" s="329"/>
      <c r="J32" s="329"/>
      <c r="K32" s="329"/>
      <c r="L32" s="282"/>
      <c r="M32" s="368" t="s">
        <v>34</v>
      </c>
      <c r="O32" s="430"/>
      <c r="P32" s="430"/>
      <c r="Q32" s="436"/>
      <c r="R32" s="436"/>
      <c r="S32" s="431"/>
      <c r="T32" s="431"/>
      <c r="U32" s="437"/>
    </row>
    <row r="33" spans="1:21" s="7" customFormat="1" ht="17.25" customHeight="1" thickTop="1" thickBot="1">
      <c r="A33" s="302"/>
      <c r="B33" s="284" t="s">
        <v>112</v>
      </c>
      <c r="C33" s="285"/>
      <c r="D33" s="286"/>
      <c r="E33" s="287"/>
      <c r="F33" s="287"/>
      <c r="G33" s="287"/>
      <c r="H33" s="288"/>
      <c r="I33" s="36">
        <f>SUM(I21:I32)</f>
        <v>98847.5</v>
      </c>
      <c r="J33" s="288"/>
      <c r="K33" s="289">
        <f>SUM(K21:K32)</f>
        <v>68137.5</v>
      </c>
      <c r="L33" s="289">
        <f>SUM(L21:L32)</f>
        <v>166985</v>
      </c>
      <c r="M33" s="290"/>
      <c r="O33" s="430"/>
      <c r="P33" s="430"/>
      <c r="Q33" s="436"/>
      <c r="R33" s="436"/>
      <c r="S33" s="431"/>
      <c r="T33" s="431"/>
      <c r="U33" s="437"/>
    </row>
    <row r="34" spans="1:21" s="7" customFormat="1" ht="21" customHeight="1" thickTop="1">
      <c r="A34" s="369"/>
      <c r="M34" s="370"/>
      <c r="O34" s="430"/>
      <c r="P34" s="430"/>
      <c r="Q34" s="436"/>
      <c r="R34" s="436"/>
      <c r="S34" s="431"/>
      <c r="T34" s="431"/>
      <c r="U34" s="437"/>
    </row>
    <row r="35" spans="1:21" s="7" customFormat="1" ht="20.100000000000001" customHeight="1">
      <c r="A35" s="369"/>
      <c r="M35" s="370"/>
      <c r="O35" s="430"/>
      <c r="P35" s="430"/>
      <c r="Q35" s="436"/>
      <c r="R35" s="436"/>
      <c r="S35" s="431"/>
      <c r="T35" s="431"/>
      <c r="U35" s="437"/>
    </row>
    <row r="36" spans="1:21" s="1" customFormat="1" ht="20.100000000000001" customHeight="1">
      <c r="A36" s="371"/>
      <c r="M36" s="372"/>
      <c r="O36" s="430"/>
      <c r="P36" s="430"/>
      <c r="Q36" s="430"/>
      <c r="R36" s="430"/>
      <c r="S36" s="431"/>
      <c r="T36" s="431"/>
      <c r="U36" s="431"/>
    </row>
    <row r="37" spans="1:21" s="7" customFormat="1" ht="23.25" customHeight="1">
      <c r="A37" s="129" t="s">
        <v>18</v>
      </c>
      <c r="B37" s="130" t="s">
        <v>170</v>
      </c>
      <c r="C37" s="101"/>
      <c r="D37" s="176"/>
      <c r="E37" s="178">
        <f>SUM(E38:E40)</f>
        <v>749</v>
      </c>
      <c r="F37" s="178">
        <f>SUM(F38:F40)</f>
        <v>0</v>
      </c>
      <c r="G37" s="81"/>
      <c r="H37" s="131"/>
      <c r="I37" s="131"/>
      <c r="J37" s="131"/>
      <c r="K37" s="131"/>
      <c r="L37" s="83"/>
      <c r="M37" s="132"/>
      <c r="O37" s="430"/>
      <c r="P37" s="430"/>
      <c r="Q37" s="436"/>
      <c r="R37" s="436"/>
      <c r="S37" s="431"/>
      <c r="T37" s="431"/>
      <c r="U37" s="437"/>
    </row>
    <row r="38" spans="1:21" s="7" customFormat="1" ht="52.5" customHeight="1">
      <c r="A38" s="226" t="s">
        <v>113</v>
      </c>
      <c r="B38" s="228" t="s">
        <v>233</v>
      </c>
      <c r="C38" s="105" t="s">
        <v>64</v>
      </c>
      <c r="D38" s="106">
        <v>0</v>
      </c>
      <c r="E38" s="107">
        <v>608</v>
      </c>
      <c r="F38" s="107"/>
      <c r="G38" s="117">
        <v>64.7</v>
      </c>
      <c r="H38" s="108">
        <v>510</v>
      </c>
      <c r="I38" s="118">
        <f>G38*H38</f>
        <v>32997</v>
      </c>
      <c r="J38" s="109"/>
      <c r="K38" s="118">
        <f>G38*J38</f>
        <v>0</v>
      </c>
      <c r="L38" s="119">
        <f>K38+I38</f>
        <v>32997</v>
      </c>
      <c r="M38" s="111"/>
      <c r="O38" s="440">
        <f>H38-250</f>
        <v>260</v>
      </c>
      <c r="P38" s="430">
        <f>G38*O38</f>
        <v>16822</v>
      </c>
      <c r="Q38" s="436"/>
      <c r="R38" s="436"/>
      <c r="S38" s="439">
        <f>H38+200</f>
        <v>710</v>
      </c>
      <c r="T38" s="431">
        <f>G38*S38</f>
        <v>45937</v>
      </c>
      <c r="U38" s="437"/>
    </row>
    <row r="39" spans="1:21" s="7" customFormat="1" ht="53.25" customHeight="1">
      <c r="A39" s="190" t="s">
        <v>114</v>
      </c>
      <c r="B39" s="231" t="s">
        <v>232</v>
      </c>
      <c r="C39" s="114" t="s">
        <v>64</v>
      </c>
      <c r="D39" s="115">
        <v>0</v>
      </c>
      <c r="E39" s="116">
        <v>110</v>
      </c>
      <c r="F39" s="116"/>
      <c r="G39" s="117">
        <v>74.599999999999994</v>
      </c>
      <c r="H39" s="117">
        <v>480</v>
      </c>
      <c r="I39" s="118">
        <f>G39*H39</f>
        <v>35808</v>
      </c>
      <c r="J39" s="118"/>
      <c r="K39" s="118">
        <f>G39*J39</f>
        <v>0</v>
      </c>
      <c r="L39" s="119">
        <f>K39+I39</f>
        <v>35808</v>
      </c>
      <c r="M39" s="399"/>
      <c r="O39" s="440">
        <f t="shared" ref="O39:O40" si="3">H39-250</f>
        <v>230</v>
      </c>
      <c r="P39" s="430">
        <f t="shared" ref="P39:P40" si="4">G39*O39</f>
        <v>17158</v>
      </c>
      <c r="Q39" s="436"/>
      <c r="R39" s="436"/>
      <c r="S39" s="439">
        <f t="shared" ref="S39:S40" si="5">H39+200</f>
        <v>680</v>
      </c>
      <c r="T39" s="431">
        <f t="shared" ref="T39:T40" si="6">G39*S39</f>
        <v>50727.999999999993</v>
      </c>
      <c r="U39" s="437"/>
    </row>
    <row r="40" spans="1:21" s="7" customFormat="1" ht="56.25" customHeight="1">
      <c r="A40" s="190" t="s">
        <v>115</v>
      </c>
      <c r="B40" s="191" t="s">
        <v>234</v>
      </c>
      <c r="C40" s="114" t="s">
        <v>64</v>
      </c>
      <c r="D40" s="115">
        <v>0</v>
      </c>
      <c r="E40" s="116">
        <v>31</v>
      </c>
      <c r="F40" s="116"/>
      <c r="G40" s="117">
        <v>93.5</v>
      </c>
      <c r="H40" s="117">
        <v>375</v>
      </c>
      <c r="I40" s="118">
        <f>G40*H40</f>
        <v>35062.5</v>
      </c>
      <c r="J40" s="118"/>
      <c r="K40" s="118">
        <f>G40*J40</f>
        <v>0</v>
      </c>
      <c r="L40" s="119">
        <f>K40+I40</f>
        <v>35062.5</v>
      </c>
      <c r="M40" s="120"/>
      <c r="O40" s="440">
        <f t="shared" si="3"/>
        <v>125</v>
      </c>
      <c r="P40" s="430">
        <f t="shared" si="4"/>
        <v>11687.5</v>
      </c>
      <c r="Q40" s="436"/>
      <c r="R40" s="436"/>
      <c r="S40" s="439">
        <f t="shared" si="5"/>
        <v>575</v>
      </c>
      <c r="T40" s="431">
        <f t="shared" si="6"/>
        <v>53762.5</v>
      </c>
      <c r="U40" s="437"/>
    </row>
    <row r="41" spans="1:21" s="7" customFormat="1" ht="20.100000000000001" customHeight="1" thickBot="1">
      <c r="A41" s="190"/>
      <c r="B41" s="191"/>
      <c r="C41" s="114"/>
      <c r="D41" s="122"/>
      <c r="E41" s="123"/>
      <c r="F41" s="124"/>
      <c r="G41" s="117"/>
      <c r="H41" s="117"/>
      <c r="I41" s="118"/>
      <c r="J41" s="232"/>
      <c r="K41" s="232"/>
      <c r="L41" s="119"/>
      <c r="M41" s="127" t="s">
        <v>34</v>
      </c>
      <c r="O41" s="430"/>
      <c r="P41" s="430"/>
      <c r="Q41" s="436"/>
      <c r="R41" s="436"/>
      <c r="S41" s="431"/>
      <c r="T41" s="431"/>
      <c r="U41" s="437"/>
    </row>
    <row r="42" spans="1:21" s="1" customFormat="1" ht="20.100000000000001" customHeight="1" thickTop="1" thickBot="1">
      <c r="A42" s="52"/>
      <c r="B42" s="44" t="s">
        <v>116</v>
      </c>
      <c r="C42" s="48"/>
      <c r="D42" s="49"/>
      <c r="E42" s="50"/>
      <c r="F42" s="50"/>
      <c r="G42" s="50"/>
      <c r="H42" s="51"/>
      <c r="I42" s="51">
        <f>SUM(I38:I41)</f>
        <v>103867.5</v>
      </c>
      <c r="J42" s="51"/>
      <c r="K42" s="36">
        <f>SUM(K38:K41)</f>
        <v>0</v>
      </c>
      <c r="L42" s="36">
        <f>SUM(L38:L41)</f>
        <v>103867.5</v>
      </c>
      <c r="M42" s="37" t="s">
        <v>34</v>
      </c>
      <c r="O42" s="430"/>
      <c r="P42" s="430">
        <f>SUM(P38:P41)</f>
        <v>45667.5</v>
      </c>
      <c r="Q42" s="438">
        <f>I42-P42</f>
        <v>58200</v>
      </c>
      <c r="R42" s="438"/>
      <c r="S42" s="431"/>
      <c r="T42" s="431">
        <f>SUM(T38:T41)</f>
        <v>150427.5</v>
      </c>
      <c r="U42" s="439">
        <f>I42-T42</f>
        <v>-46560</v>
      </c>
    </row>
    <row r="43" spans="1:21" s="7" customFormat="1" ht="20.100000000000001" customHeight="1" thickTop="1">
      <c r="A43" s="150" t="s">
        <v>19</v>
      </c>
      <c r="B43" s="99" t="s">
        <v>171</v>
      </c>
      <c r="C43" s="73"/>
      <c r="D43" s="74"/>
      <c r="E43" s="151"/>
      <c r="F43" s="128"/>
      <c r="G43" s="75"/>
      <c r="H43" s="187"/>
      <c r="I43" s="187"/>
      <c r="J43" s="187"/>
      <c r="K43" s="187"/>
      <c r="L43" s="77"/>
      <c r="M43" s="188"/>
      <c r="O43" s="430"/>
      <c r="P43" s="430"/>
      <c r="Q43" s="436"/>
      <c r="R43" s="436"/>
      <c r="S43" s="431"/>
      <c r="T43" s="431"/>
      <c r="U43" s="437"/>
    </row>
    <row r="44" spans="1:21" s="7" customFormat="1" ht="20.100000000000001" customHeight="1">
      <c r="A44" s="190" t="s">
        <v>117</v>
      </c>
      <c r="B44" s="214" t="s">
        <v>235</v>
      </c>
      <c r="C44" s="114" t="s">
        <v>64</v>
      </c>
      <c r="D44" s="115">
        <v>0</v>
      </c>
      <c r="E44" s="116" t="e">
        <f>E21/2</f>
        <v>#REF!</v>
      </c>
      <c r="F44" s="117"/>
      <c r="G44" s="117">
        <v>149</v>
      </c>
      <c r="H44" s="117">
        <v>27</v>
      </c>
      <c r="I44" s="118">
        <f t="shared" ref="I44:I51" si="7">G44*H44</f>
        <v>4023</v>
      </c>
      <c r="J44" s="118">
        <v>29</v>
      </c>
      <c r="K44" s="118">
        <f t="shared" ref="K44:K51" si="8">G44*J44</f>
        <v>4321</v>
      </c>
      <c r="L44" s="119">
        <f>K44+I44</f>
        <v>8344</v>
      </c>
      <c r="M44" s="85"/>
      <c r="O44" s="430"/>
      <c r="P44" s="430"/>
      <c r="Q44" s="436"/>
      <c r="R44" s="436"/>
      <c r="S44" s="431"/>
      <c r="T44" s="431"/>
      <c r="U44" s="437"/>
    </row>
    <row r="45" spans="1:21" s="7" customFormat="1" ht="20.100000000000001" customHeight="1">
      <c r="A45" s="190" t="s">
        <v>118</v>
      </c>
      <c r="B45" s="214" t="s">
        <v>236</v>
      </c>
      <c r="C45" s="114" t="s">
        <v>64</v>
      </c>
      <c r="D45" s="115">
        <v>0</v>
      </c>
      <c r="E45" s="116" t="e">
        <f>E21/2</f>
        <v>#REF!</v>
      </c>
      <c r="F45" s="117"/>
      <c r="G45" s="117">
        <v>120</v>
      </c>
      <c r="H45" s="117">
        <v>30</v>
      </c>
      <c r="I45" s="118">
        <f t="shared" si="7"/>
        <v>3600</v>
      </c>
      <c r="J45" s="118">
        <v>29</v>
      </c>
      <c r="K45" s="118">
        <f t="shared" si="8"/>
        <v>3480</v>
      </c>
      <c r="L45" s="119">
        <f t="shared" ref="L45:L50" si="9">K45+I45</f>
        <v>7080</v>
      </c>
      <c r="M45" s="85"/>
      <c r="O45" s="430"/>
      <c r="P45" s="430"/>
      <c r="Q45" s="436"/>
      <c r="R45" s="436"/>
      <c r="S45" s="431"/>
      <c r="T45" s="431"/>
      <c r="U45" s="437"/>
    </row>
    <row r="46" spans="1:21" s="7" customFormat="1" ht="20.100000000000001" customHeight="1">
      <c r="A46" s="190" t="s">
        <v>119</v>
      </c>
      <c r="B46" s="214" t="s">
        <v>237</v>
      </c>
      <c r="C46" s="114" t="s">
        <v>64</v>
      </c>
      <c r="D46" s="115">
        <v>0</v>
      </c>
      <c r="E46" s="116" t="e">
        <f>#REF!+#REF!+E38+#REF!-26</f>
        <v>#REF!</v>
      </c>
      <c r="F46" s="116"/>
      <c r="G46" s="117">
        <v>139.30000000000001</v>
      </c>
      <c r="H46" s="117">
        <v>30</v>
      </c>
      <c r="I46" s="118">
        <f t="shared" si="7"/>
        <v>4179</v>
      </c>
      <c r="J46" s="118">
        <v>30</v>
      </c>
      <c r="K46" s="118">
        <f t="shared" si="8"/>
        <v>4179</v>
      </c>
      <c r="L46" s="119">
        <f t="shared" si="9"/>
        <v>8358</v>
      </c>
      <c r="M46" s="85"/>
      <c r="O46" s="430"/>
      <c r="P46" s="430"/>
      <c r="Q46" s="436"/>
      <c r="R46" s="436"/>
      <c r="S46" s="431"/>
      <c r="T46" s="431"/>
      <c r="U46" s="437"/>
    </row>
    <row r="47" spans="1:21" s="7" customFormat="1" ht="20.100000000000001" customHeight="1">
      <c r="A47" s="190" t="s">
        <v>120</v>
      </c>
      <c r="B47" s="214" t="s">
        <v>238</v>
      </c>
      <c r="C47" s="114" t="s">
        <v>64</v>
      </c>
      <c r="D47" s="115">
        <v>0</v>
      </c>
      <c r="E47" s="116" t="e">
        <f>#REF!+#REF!+E39+#REF!-26</f>
        <v>#REF!</v>
      </c>
      <c r="F47" s="116"/>
      <c r="G47" s="117">
        <v>93.5</v>
      </c>
      <c r="H47" s="117">
        <v>35</v>
      </c>
      <c r="I47" s="118">
        <f t="shared" si="7"/>
        <v>3272.5</v>
      </c>
      <c r="J47" s="118">
        <v>36</v>
      </c>
      <c r="K47" s="118">
        <f t="shared" si="8"/>
        <v>3366</v>
      </c>
      <c r="L47" s="119">
        <f t="shared" si="9"/>
        <v>6638.5</v>
      </c>
      <c r="M47" s="85"/>
      <c r="O47" s="430"/>
      <c r="P47" s="430"/>
      <c r="Q47" s="436"/>
      <c r="R47" s="436"/>
      <c r="S47" s="431"/>
      <c r="T47" s="431"/>
      <c r="U47" s="437"/>
    </row>
    <row r="48" spans="1:21" s="7" customFormat="1" ht="19.5" customHeight="1">
      <c r="A48" s="215" t="s">
        <v>121</v>
      </c>
      <c r="B48" s="193" t="s">
        <v>188</v>
      </c>
      <c r="C48" s="114" t="s">
        <v>180</v>
      </c>
      <c r="D48" s="217">
        <v>0</v>
      </c>
      <c r="E48" s="218">
        <v>337</v>
      </c>
      <c r="F48" s="219"/>
      <c r="G48" s="219">
        <v>95</v>
      </c>
      <c r="H48" s="219">
        <v>35</v>
      </c>
      <c r="I48" s="118">
        <f t="shared" si="7"/>
        <v>3325</v>
      </c>
      <c r="J48" s="220">
        <v>25</v>
      </c>
      <c r="K48" s="118">
        <f t="shared" si="8"/>
        <v>2375</v>
      </c>
      <c r="L48" s="119">
        <f t="shared" si="9"/>
        <v>5700</v>
      </c>
      <c r="M48" s="95"/>
      <c r="O48" s="430"/>
      <c r="P48" s="430"/>
      <c r="Q48" s="436"/>
      <c r="R48" s="436"/>
      <c r="S48" s="431"/>
      <c r="T48" s="431"/>
      <c r="U48" s="437"/>
    </row>
    <row r="49" spans="1:21" s="7" customFormat="1" ht="0.75" customHeight="1">
      <c r="A49" s="223"/>
      <c r="B49" s="296"/>
      <c r="C49" s="197"/>
      <c r="D49" s="198">
        <v>0</v>
      </c>
      <c r="E49" s="199">
        <v>337</v>
      </c>
      <c r="F49" s="200"/>
      <c r="G49" s="200"/>
      <c r="H49" s="200"/>
      <c r="I49" s="118">
        <f t="shared" si="7"/>
        <v>0</v>
      </c>
      <c r="J49" s="201"/>
      <c r="K49" s="118">
        <f t="shared" si="8"/>
        <v>0</v>
      </c>
      <c r="L49" s="119">
        <f t="shared" si="9"/>
        <v>0</v>
      </c>
      <c r="M49" s="97"/>
      <c r="O49" s="430"/>
      <c r="P49" s="430"/>
      <c r="Q49" s="436"/>
      <c r="R49" s="436"/>
      <c r="S49" s="431"/>
      <c r="T49" s="431"/>
      <c r="U49" s="437"/>
    </row>
    <row r="50" spans="1:21" s="7" customFormat="1" ht="20.100000000000001" customHeight="1">
      <c r="A50" s="190" t="s">
        <v>0</v>
      </c>
      <c r="B50" s="224" t="s">
        <v>206</v>
      </c>
      <c r="C50" s="114" t="s">
        <v>180</v>
      </c>
      <c r="D50" s="115">
        <v>0</v>
      </c>
      <c r="E50" s="116" t="e">
        <f>#REF!</f>
        <v>#REF!</v>
      </c>
      <c r="F50" s="117"/>
      <c r="G50" s="117">
        <v>95</v>
      </c>
      <c r="H50" s="117">
        <v>30</v>
      </c>
      <c r="I50" s="118">
        <f t="shared" si="7"/>
        <v>2850</v>
      </c>
      <c r="J50" s="118">
        <v>20</v>
      </c>
      <c r="K50" s="118">
        <f t="shared" si="8"/>
        <v>1900</v>
      </c>
      <c r="L50" s="119">
        <f t="shared" si="9"/>
        <v>4750</v>
      </c>
      <c r="M50" s="85"/>
      <c r="O50" s="430"/>
      <c r="P50" s="430"/>
      <c r="Q50" s="436"/>
      <c r="R50" s="436"/>
      <c r="S50" s="431"/>
      <c r="T50" s="431"/>
      <c r="U50" s="437"/>
    </row>
    <row r="51" spans="1:21" s="7" customFormat="1" ht="20.100000000000001" customHeight="1">
      <c r="A51" s="190" t="s">
        <v>187</v>
      </c>
      <c r="B51" s="224" t="s">
        <v>178</v>
      </c>
      <c r="C51" s="114" t="s">
        <v>175</v>
      </c>
      <c r="D51" s="115">
        <v>0</v>
      </c>
      <c r="E51" s="116" t="e">
        <f>#REF!</f>
        <v>#REF!</v>
      </c>
      <c r="F51" s="116"/>
      <c r="G51" s="117"/>
      <c r="H51" s="117">
        <v>3000</v>
      </c>
      <c r="I51" s="118">
        <f t="shared" si="7"/>
        <v>0</v>
      </c>
      <c r="J51" s="118"/>
      <c r="K51" s="118">
        <f t="shared" si="8"/>
        <v>0</v>
      </c>
      <c r="L51" s="119">
        <v>3000</v>
      </c>
      <c r="M51" s="85"/>
      <c r="O51" s="430"/>
      <c r="P51" s="430"/>
      <c r="Q51" s="436"/>
      <c r="R51" s="436"/>
      <c r="S51" s="431"/>
      <c r="T51" s="431"/>
      <c r="U51" s="437"/>
    </row>
    <row r="52" spans="1:21" s="7" customFormat="1" ht="20.100000000000001" customHeight="1">
      <c r="A52" s="190"/>
      <c r="B52" s="224"/>
      <c r="C52" s="114"/>
      <c r="D52" s="115">
        <v>0</v>
      </c>
      <c r="E52" s="116" t="e">
        <f>#REF!</f>
        <v>#REF!</v>
      </c>
      <c r="F52" s="117"/>
      <c r="G52" s="117"/>
      <c r="H52" s="117"/>
      <c r="I52" s="118"/>
      <c r="J52" s="118"/>
      <c r="K52" s="118"/>
      <c r="L52" s="119"/>
      <c r="M52" s="120"/>
      <c r="O52" s="430"/>
      <c r="P52" s="430"/>
      <c r="Q52" s="436"/>
      <c r="R52" s="436"/>
      <c r="S52" s="431"/>
      <c r="T52" s="431"/>
      <c r="U52" s="437"/>
    </row>
    <row r="53" spans="1:21" s="1" customFormat="1" ht="20.100000000000001" customHeight="1" thickBot="1">
      <c r="A53" s="225"/>
      <c r="B53" s="295"/>
      <c r="C53" s="121"/>
      <c r="D53" s="122"/>
      <c r="E53" s="123"/>
      <c r="F53" s="124"/>
      <c r="G53" s="124"/>
      <c r="H53" s="124"/>
      <c r="I53" s="125"/>
      <c r="J53" s="125"/>
      <c r="K53" s="125"/>
      <c r="L53" s="126"/>
      <c r="M53" s="127"/>
      <c r="O53" s="430"/>
      <c r="P53" s="430"/>
      <c r="Q53" s="430"/>
      <c r="R53" s="430"/>
      <c r="S53" s="431"/>
      <c r="T53" s="431"/>
      <c r="U53" s="431"/>
    </row>
    <row r="54" spans="1:21" s="1" customFormat="1" ht="20.100000000000001" customHeight="1" thickTop="1" thickBot="1">
      <c r="A54" s="283"/>
      <c r="B54" s="284" t="s">
        <v>223</v>
      </c>
      <c r="C54" s="285"/>
      <c r="D54" s="286"/>
      <c r="E54" s="287"/>
      <c r="F54" s="287"/>
      <c r="G54" s="287"/>
      <c r="H54" s="288"/>
      <c r="I54" s="289">
        <f>SUM(I44:I53)</f>
        <v>21249.5</v>
      </c>
      <c r="J54" s="288"/>
      <c r="K54" s="289">
        <f>SUM(K44:K53)</f>
        <v>19621</v>
      </c>
      <c r="L54" s="289">
        <f>SUM(L44:L53)</f>
        <v>43870.5</v>
      </c>
      <c r="M54" s="290"/>
      <c r="O54" s="430"/>
      <c r="P54" s="430"/>
      <c r="Q54" s="430"/>
      <c r="R54" s="430"/>
      <c r="S54" s="431"/>
      <c r="T54" s="431"/>
      <c r="U54" s="431"/>
    </row>
    <row r="55" spans="1:21" s="1" customFormat="1" ht="20.100000000000001" customHeight="1" thickTop="1">
      <c r="A55" s="129" t="s">
        <v>20</v>
      </c>
      <c r="B55" s="130" t="s">
        <v>172</v>
      </c>
      <c r="C55" s="101"/>
      <c r="D55" s="102"/>
      <c r="E55" s="103"/>
      <c r="F55" s="81"/>
      <c r="G55" s="81"/>
      <c r="H55" s="131"/>
      <c r="I55" s="131"/>
      <c r="J55" s="131"/>
      <c r="K55" s="131"/>
      <c r="L55" s="83"/>
      <c r="M55" s="132"/>
      <c r="O55" s="430"/>
      <c r="P55" s="430"/>
      <c r="Q55" s="430"/>
      <c r="R55" s="430"/>
      <c r="S55" s="431"/>
      <c r="T55" s="431"/>
      <c r="U55" s="431"/>
    </row>
    <row r="56" spans="1:21" s="1" customFormat="1" ht="20.100000000000001" customHeight="1">
      <c r="A56" s="86" t="s">
        <v>122</v>
      </c>
      <c r="B56" s="104" t="s">
        <v>185</v>
      </c>
      <c r="C56" s="88"/>
      <c r="D56" s="89"/>
      <c r="E56" s="164"/>
      <c r="F56" s="108"/>
      <c r="G56" s="90"/>
      <c r="H56" s="177"/>
      <c r="I56" s="177"/>
      <c r="J56" s="177"/>
      <c r="K56" s="177"/>
      <c r="L56" s="92"/>
      <c r="M56" s="111"/>
      <c r="O56" s="430"/>
      <c r="P56" s="430"/>
      <c r="Q56" s="430"/>
      <c r="R56" s="430"/>
      <c r="S56" s="431"/>
      <c r="T56" s="431"/>
      <c r="U56" s="431"/>
    </row>
    <row r="57" spans="1:21" s="1" customFormat="1" ht="20.100000000000001" customHeight="1">
      <c r="A57" s="158" t="s">
        <v>123</v>
      </c>
      <c r="B57" s="452" t="s">
        <v>207</v>
      </c>
      <c r="C57" s="159" t="s">
        <v>124</v>
      </c>
      <c r="D57" s="160"/>
      <c r="E57" s="161"/>
      <c r="F57" s="162"/>
      <c r="G57" s="162">
        <v>1</v>
      </c>
      <c r="H57" s="162">
        <v>78000</v>
      </c>
      <c r="I57" s="133">
        <f t="shared" ref="I57:I65" si="10">G57*H57</f>
        <v>78000</v>
      </c>
      <c r="J57" s="133"/>
      <c r="K57" s="133">
        <f t="shared" ref="K57:K65" si="11">G57*J57</f>
        <v>0</v>
      </c>
      <c r="L57" s="163">
        <f>K57+I57</f>
        <v>78000</v>
      </c>
      <c r="M57" s="85" t="s">
        <v>34</v>
      </c>
      <c r="O57" s="438">
        <f>H57/2500</f>
        <v>31.2</v>
      </c>
      <c r="P57" s="438">
        <f>O57*2300</f>
        <v>71760</v>
      </c>
      <c r="Q57" s="430">
        <f>G57*P57</f>
        <v>71760</v>
      </c>
      <c r="R57" s="430"/>
      <c r="S57" s="439">
        <f>O57*3200</f>
        <v>99840</v>
      </c>
      <c r="T57" s="431">
        <f t="shared" ref="T57:T62" si="12">G57*S57</f>
        <v>99840</v>
      </c>
      <c r="U57" s="431"/>
    </row>
    <row r="58" spans="1:21" s="7" customFormat="1" ht="18.899999999999999" customHeight="1">
      <c r="A58" s="158" t="s">
        <v>125</v>
      </c>
      <c r="B58" s="452" t="s">
        <v>208</v>
      </c>
      <c r="C58" s="159" t="s">
        <v>124</v>
      </c>
      <c r="D58" s="160"/>
      <c r="E58" s="161"/>
      <c r="F58" s="162"/>
      <c r="G58" s="162">
        <v>1</v>
      </c>
      <c r="H58" s="162">
        <v>53750</v>
      </c>
      <c r="I58" s="133">
        <f t="shared" si="10"/>
        <v>53750</v>
      </c>
      <c r="J58" s="270"/>
      <c r="K58" s="133">
        <f t="shared" si="11"/>
        <v>0</v>
      </c>
      <c r="L58" s="163">
        <f t="shared" ref="L58:L65" si="13">K58+I58</f>
        <v>53750</v>
      </c>
      <c r="M58" s="85" t="s">
        <v>34</v>
      </c>
      <c r="O58" s="438">
        <f t="shared" ref="O58:O62" si="14">H58/2500</f>
        <v>21.5</v>
      </c>
      <c r="P58" s="438">
        <f t="shared" ref="P58:P62" si="15">O58*2300</f>
        <v>49450</v>
      </c>
      <c r="Q58" s="430">
        <f t="shared" ref="Q58:Q62" si="16">G58*P58</f>
        <v>49450</v>
      </c>
      <c r="R58" s="430"/>
      <c r="S58" s="439">
        <f t="shared" ref="S58:S62" si="17">O58*3200</f>
        <v>68800</v>
      </c>
      <c r="T58" s="431">
        <f t="shared" si="12"/>
        <v>68800</v>
      </c>
      <c r="U58" s="437"/>
    </row>
    <row r="59" spans="1:21" s="7" customFormat="1" ht="18.899999999999999" customHeight="1">
      <c r="A59" s="158" t="s">
        <v>126</v>
      </c>
      <c r="B59" s="452" t="s">
        <v>209</v>
      </c>
      <c r="C59" s="159" t="s">
        <v>124</v>
      </c>
      <c r="D59" s="160">
        <v>0</v>
      </c>
      <c r="E59" s="161">
        <v>6</v>
      </c>
      <c r="F59" s="162"/>
      <c r="G59" s="162">
        <v>1</v>
      </c>
      <c r="H59" s="162">
        <v>31500</v>
      </c>
      <c r="I59" s="133">
        <f t="shared" si="10"/>
        <v>31500</v>
      </c>
      <c r="J59" s="270"/>
      <c r="K59" s="133">
        <f t="shared" si="11"/>
        <v>0</v>
      </c>
      <c r="L59" s="163">
        <f t="shared" si="13"/>
        <v>31500</v>
      </c>
      <c r="M59" s="85"/>
      <c r="O59" s="438">
        <f t="shared" si="14"/>
        <v>12.6</v>
      </c>
      <c r="P59" s="438">
        <f t="shared" si="15"/>
        <v>28980</v>
      </c>
      <c r="Q59" s="430">
        <f t="shared" si="16"/>
        <v>28980</v>
      </c>
      <c r="R59" s="430"/>
      <c r="S59" s="439">
        <f t="shared" si="17"/>
        <v>40320</v>
      </c>
      <c r="T59" s="431">
        <f t="shared" si="12"/>
        <v>40320</v>
      </c>
      <c r="U59" s="437"/>
    </row>
    <row r="60" spans="1:21" s="7" customFormat="1" ht="18.899999999999999" customHeight="1">
      <c r="A60" s="158" t="s">
        <v>127</v>
      </c>
      <c r="B60" s="452" t="s">
        <v>210</v>
      </c>
      <c r="C60" s="159" t="s">
        <v>124</v>
      </c>
      <c r="D60" s="160"/>
      <c r="E60" s="161"/>
      <c r="F60" s="162"/>
      <c r="G60" s="162">
        <v>1</v>
      </c>
      <c r="H60" s="162">
        <v>16875</v>
      </c>
      <c r="I60" s="133">
        <f t="shared" si="10"/>
        <v>16875</v>
      </c>
      <c r="J60" s="270"/>
      <c r="K60" s="133">
        <f t="shared" si="11"/>
        <v>0</v>
      </c>
      <c r="L60" s="163">
        <f t="shared" si="13"/>
        <v>16875</v>
      </c>
      <c r="M60" s="85"/>
      <c r="O60" s="438">
        <f t="shared" si="14"/>
        <v>6.75</v>
      </c>
      <c r="P60" s="438">
        <f t="shared" si="15"/>
        <v>15525</v>
      </c>
      <c r="Q60" s="430">
        <f t="shared" si="16"/>
        <v>15525</v>
      </c>
      <c r="R60" s="430"/>
      <c r="S60" s="439">
        <f t="shared" si="17"/>
        <v>21600</v>
      </c>
      <c r="T60" s="431">
        <f t="shared" si="12"/>
        <v>21600</v>
      </c>
      <c r="U60" s="437"/>
    </row>
    <row r="61" spans="1:21" s="7" customFormat="1" ht="18.899999999999999" customHeight="1">
      <c r="A61" s="158" t="s">
        <v>128</v>
      </c>
      <c r="B61" s="452" t="s">
        <v>211</v>
      </c>
      <c r="C61" s="159" t="s">
        <v>124</v>
      </c>
      <c r="D61" s="160"/>
      <c r="E61" s="161"/>
      <c r="F61" s="162"/>
      <c r="G61" s="162">
        <v>2</v>
      </c>
      <c r="H61" s="162">
        <v>12600</v>
      </c>
      <c r="I61" s="133">
        <f t="shared" si="10"/>
        <v>25200</v>
      </c>
      <c r="J61" s="133"/>
      <c r="K61" s="133">
        <f t="shared" si="11"/>
        <v>0</v>
      </c>
      <c r="L61" s="163">
        <f t="shared" si="13"/>
        <v>25200</v>
      </c>
      <c r="M61" s="85"/>
      <c r="O61" s="438">
        <f t="shared" si="14"/>
        <v>5.04</v>
      </c>
      <c r="P61" s="438">
        <f t="shared" si="15"/>
        <v>11592</v>
      </c>
      <c r="Q61" s="430">
        <f t="shared" si="16"/>
        <v>23184</v>
      </c>
      <c r="R61" s="430"/>
      <c r="S61" s="439">
        <f t="shared" si="17"/>
        <v>16128</v>
      </c>
      <c r="T61" s="431">
        <f t="shared" si="12"/>
        <v>32256</v>
      </c>
      <c r="U61" s="437"/>
    </row>
    <row r="62" spans="1:21" s="7" customFormat="1" ht="18.899999999999999" customHeight="1">
      <c r="A62" s="158" t="s">
        <v>129</v>
      </c>
      <c r="B62" s="452" t="s">
        <v>212</v>
      </c>
      <c r="C62" s="159" t="s">
        <v>124</v>
      </c>
      <c r="D62" s="160">
        <v>0</v>
      </c>
      <c r="E62" s="161"/>
      <c r="F62" s="162"/>
      <c r="G62" s="162">
        <v>2</v>
      </c>
      <c r="H62" s="162">
        <v>10250</v>
      </c>
      <c r="I62" s="133">
        <f t="shared" si="10"/>
        <v>20500</v>
      </c>
      <c r="J62" s="133"/>
      <c r="K62" s="133">
        <f t="shared" si="11"/>
        <v>0</v>
      </c>
      <c r="L62" s="163">
        <f t="shared" si="13"/>
        <v>20500</v>
      </c>
      <c r="M62" s="85"/>
      <c r="O62" s="438">
        <f t="shared" si="14"/>
        <v>4.0999999999999996</v>
      </c>
      <c r="P62" s="438">
        <f t="shared" si="15"/>
        <v>9430</v>
      </c>
      <c r="Q62" s="430">
        <f t="shared" si="16"/>
        <v>18860</v>
      </c>
      <c r="R62" s="430"/>
      <c r="S62" s="439">
        <f t="shared" si="17"/>
        <v>13119.999999999998</v>
      </c>
      <c r="T62" s="431">
        <f t="shared" si="12"/>
        <v>26239.999999999996</v>
      </c>
      <c r="U62" s="437"/>
    </row>
    <row r="63" spans="1:21" s="7" customFormat="1" ht="18.899999999999999" customHeight="1">
      <c r="A63" s="190" t="s">
        <v>198</v>
      </c>
      <c r="B63" s="191" t="s">
        <v>213</v>
      </c>
      <c r="C63" s="114" t="s">
        <v>124</v>
      </c>
      <c r="D63" s="115">
        <v>0</v>
      </c>
      <c r="E63" s="116">
        <f>22+6</f>
        <v>28</v>
      </c>
      <c r="F63" s="117"/>
      <c r="G63" s="117">
        <v>2</v>
      </c>
      <c r="H63" s="117">
        <v>4800</v>
      </c>
      <c r="I63" s="118">
        <f t="shared" si="10"/>
        <v>9600</v>
      </c>
      <c r="J63" s="118"/>
      <c r="K63" s="118">
        <f t="shared" si="11"/>
        <v>0</v>
      </c>
      <c r="L63" s="119">
        <f t="shared" si="13"/>
        <v>9600</v>
      </c>
      <c r="M63" s="120"/>
      <c r="O63" s="441"/>
      <c r="P63" s="442"/>
      <c r="Q63" s="443"/>
      <c r="R63" s="443"/>
      <c r="S63" s="431"/>
      <c r="T63" s="431"/>
      <c r="U63" s="437"/>
    </row>
    <row r="64" spans="1:21" s="7" customFormat="1" ht="18.899999999999999" customHeight="1">
      <c r="A64" s="190" t="s">
        <v>216</v>
      </c>
      <c r="B64" s="191" t="s">
        <v>214</v>
      </c>
      <c r="C64" s="114" t="s">
        <v>124</v>
      </c>
      <c r="D64" s="115">
        <v>0</v>
      </c>
      <c r="E64" s="116">
        <f>22+6</f>
        <v>28</v>
      </c>
      <c r="F64" s="117"/>
      <c r="G64" s="117">
        <v>2</v>
      </c>
      <c r="H64" s="117">
        <v>3000</v>
      </c>
      <c r="I64" s="118">
        <f t="shared" si="10"/>
        <v>6000</v>
      </c>
      <c r="J64" s="118"/>
      <c r="K64" s="118">
        <f t="shared" si="11"/>
        <v>0</v>
      </c>
      <c r="L64" s="119">
        <f t="shared" si="13"/>
        <v>6000</v>
      </c>
      <c r="M64" s="120"/>
      <c r="O64" s="441"/>
      <c r="P64" s="442"/>
      <c r="Q64" s="443"/>
      <c r="R64" s="443"/>
      <c r="S64" s="431"/>
      <c r="T64" s="431"/>
      <c r="U64" s="437"/>
    </row>
    <row r="65" spans="1:21" s="7" customFormat="1" ht="18.899999999999999" customHeight="1">
      <c r="A65" s="215" t="s">
        <v>217</v>
      </c>
      <c r="B65" s="253" t="s">
        <v>215</v>
      </c>
      <c r="C65" s="216" t="s">
        <v>124</v>
      </c>
      <c r="D65" s="217">
        <v>0</v>
      </c>
      <c r="E65" s="218">
        <f>22+6</f>
        <v>28</v>
      </c>
      <c r="F65" s="219"/>
      <c r="G65" s="219">
        <v>1</v>
      </c>
      <c r="H65" s="117">
        <v>7800</v>
      </c>
      <c r="I65" s="118">
        <f t="shared" si="10"/>
        <v>7800</v>
      </c>
      <c r="J65" s="330"/>
      <c r="K65" s="118">
        <f t="shared" si="11"/>
        <v>0</v>
      </c>
      <c r="L65" s="119">
        <f t="shared" si="13"/>
        <v>7800</v>
      </c>
      <c r="M65" s="222"/>
      <c r="O65" s="441"/>
      <c r="P65" s="442"/>
      <c r="Q65" s="443"/>
      <c r="R65" s="443"/>
      <c r="S65" s="431"/>
      <c r="T65" s="431"/>
      <c r="U65" s="437"/>
    </row>
    <row r="66" spans="1:21" s="7" customFormat="1" ht="18.899999999999999" customHeight="1">
      <c r="A66" s="363"/>
      <c r="B66" s="331"/>
      <c r="C66" s="303"/>
      <c r="D66" s="304">
        <v>0</v>
      </c>
      <c r="E66" s="305">
        <f>22+6</f>
        <v>28</v>
      </c>
      <c r="F66" s="178"/>
      <c r="G66" s="178"/>
      <c r="H66" s="178"/>
      <c r="I66" s="315"/>
      <c r="J66" s="315"/>
      <c r="K66" s="315"/>
      <c r="L66" s="306"/>
      <c r="M66" s="364"/>
      <c r="O66" s="441"/>
      <c r="P66" s="442"/>
      <c r="Q66" s="444"/>
      <c r="R66" s="444"/>
      <c r="S66" s="431"/>
      <c r="T66" s="431"/>
      <c r="U66" s="437"/>
    </row>
    <row r="67" spans="1:21" s="7" customFormat="1" ht="18.899999999999999" customHeight="1">
      <c r="A67" s="369"/>
      <c r="M67" s="370"/>
      <c r="O67" s="441"/>
      <c r="P67" s="442"/>
      <c r="Q67" s="443"/>
      <c r="R67" s="443"/>
      <c r="S67" s="431"/>
      <c r="T67" s="431"/>
      <c r="U67" s="437"/>
    </row>
    <row r="68" spans="1:21" s="1" customFormat="1" ht="18.899999999999999" customHeight="1">
      <c r="A68" s="129" t="s">
        <v>130</v>
      </c>
      <c r="B68" s="130" t="s">
        <v>131</v>
      </c>
      <c r="C68" s="101"/>
      <c r="D68" s="102"/>
      <c r="E68" s="103"/>
      <c r="F68" s="178"/>
      <c r="G68" s="81"/>
      <c r="H68" s="131"/>
      <c r="I68" s="131"/>
      <c r="J68" s="131"/>
      <c r="K68" s="131"/>
      <c r="L68" s="83"/>
      <c r="M68" s="364"/>
      <c r="O68" s="441"/>
      <c r="P68" s="442"/>
      <c r="Q68" s="443"/>
      <c r="R68" s="443"/>
      <c r="S68" s="431"/>
      <c r="T68" s="431"/>
      <c r="U68" s="431"/>
    </row>
    <row r="69" spans="1:21" s="1" customFormat="1" ht="18.899999999999999" customHeight="1">
      <c r="A69" s="453" t="s">
        <v>132</v>
      </c>
      <c r="B69" s="454" t="s">
        <v>218</v>
      </c>
      <c r="C69" s="455" t="s">
        <v>124</v>
      </c>
      <c r="D69" s="456">
        <v>0</v>
      </c>
      <c r="E69" s="457">
        <v>4</v>
      </c>
      <c r="F69" s="458"/>
      <c r="G69" s="458">
        <v>2</v>
      </c>
      <c r="H69" s="162">
        <v>2012.5</v>
      </c>
      <c r="I69" s="133">
        <f>G69*H69</f>
        <v>4025</v>
      </c>
      <c r="J69" s="270"/>
      <c r="K69" s="133">
        <f>G69*J69</f>
        <v>0</v>
      </c>
      <c r="L69" s="163">
        <f>K69+I69</f>
        <v>4025</v>
      </c>
      <c r="M69" s="97"/>
      <c r="O69" s="438">
        <f t="shared" ref="O69:O71" si="18">H69/2500</f>
        <v>0.80500000000000005</v>
      </c>
      <c r="P69" s="438">
        <f t="shared" ref="P69:P71" si="19">O69*2300</f>
        <v>1851.5</v>
      </c>
      <c r="Q69" s="430">
        <f t="shared" ref="Q69:Q71" si="20">G69*P69</f>
        <v>3703</v>
      </c>
      <c r="R69" s="430"/>
      <c r="S69" s="439">
        <f t="shared" ref="S69:S71" si="21">O69*3200</f>
        <v>2576</v>
      </c>
      <c r="T69" s="431">
        <f t="shared" ref="T69:T71" si="22">G69*S69</f>
        <v>5152</v>
      </c>
      <c r="U69" s="431"/>
    </row>
    <row r="70" spans="1:21" s="1" customFormat="1" ht="18.899999999999999" customHeight="1">
      <c r="A70" s="158" t="s">
        <v>133</v>
      </c>
      <c r="B70" s="452" t="s">
        <v>219</v>
      </c>
      <c r="C70" s="159" t="s">
        <v>124</v>
      </c>
      <c r="D70" s="160"/>
      <c r="E70" s="161">
        <v>4</v>
      </c>
      <c r="F70" s="162"/>
      <c r="G70" s="162">
        <v>1</v>
      </c>
      <c r="H70" s="162">
        <v>4312.5</v>
      </c>
      <c r="I70" s="133">
        <f>G70*H70</f>
        <v>4312.5</v>
      </c>
      <c r="J70" s="270"/>
      <c r="K70" s="133">
        <f>G70*J70</f>
        <v>0</v>
      </c>
      <c r="L70" s="163">
        <f>K70+I70</f>
        <v>4312.5</v>
      </c>
      <c r="M70" s="85"/>
      <c r="O70" s="438">
        <f t="shared" si="18"/>
        <v>1.7250000000000001</v>
      </c>
      <c r="P70" s="438">
        <f t="shared" si="19"/>
        <v>3967.5</v>
      </c>
      <c r="Q70" s="430">
        <f t="shared" si="20"/>
        <v>3967.5</v>
      </c>
      <c r="R70" s="430"/>
      <c r="S70" s="439">
        <f t="shared" si="21"/>
        <v>5520</v>
      </c>
      <c r="T70" s="431">
        <f t="shared" si="22"/>
        <v>5520</v>
      </c>
      <c r="U70" s="431"/>
    </row>
    <row r="71" spans="1:21" s="1" customFormat="1" ht="18.899999999999999" customHeight="1">
      <c r="A71" s="158" t="s">
        <v>134</v>
      </c>
      <c r="B71" s="452" t="s">
        <v>220</v>
      </c>
      <c r="C71" s="159" t="s">
        <v>124</v>
      </c>
      <c r="D71" s="160"/>
      <c r="E71" s="161">
        <v>4</v>
      </c>
      <c r="F71" s="162"/>
      <c r="G71" s="162">
        <v>2</v>
      </c>
      <c r="H71" s="162">
        <v>750</v>
      </c>
      <c r="I71" s="133">
        <f>G71*H71</f>
        <v>1500</v>
      </c>
      <c r="J71" s="270"/>
      <c r="K71" s="133">
        <f>G71*J71</f>
        <v>0</v>
      </c>
      <c r="L71" s="163">
        <f>K71+I71</f>
        <v>1500</v>
      </c>
      <c r="M71" s="85"/>
      <c r="O71" s="438">
        <f t="shared" si="18"/>
        <v>0.3</v>
      </c>
      <c r="P71" s="438">
        <f t="shared" si="19"/>
        <v>690</v>
      </c>
      <c r="Q71" s="430">
        <f t="shared" si="20"/>
        <v>1380</v>
      </c>
      <c r="R71" s="430"/>
      <c r="S71" s="439">
        <f t="shared" si="21"/>
        <v>960</v>
      </c>
      <c r="T71" s="431">
        <f t="shared" si="22"/>
        <v>1920</v>
      </c>
      <c r="U71" s="431"/>
    </row>
    <row r="72" spans="1:21" s="1" customFormat="1" ht="18.899999999999999" customHeight="1" thickBot="1">
      <c r="A72" s="190"/>
      <c r="B72" s="191"/>
      <c r="C72" s="114"/>
      <c r="D72" s="115"/>
      <c r="E72" s="116">
        <v>4</v>
      </c>
      <c r="F72" s="117"/>
      <c r="G72" s="117"/>
      <c r="H72" s="297"/>
      <c r="I72" s="118"/>
      <c r="J72" s="270"/>
      <c r="K72" s="270"/>
      <c r="L72" s="119"/>
      <c r="M72" s="120"/>
      <c r="O72" s="441"/>
      <c r="P72" s="442"/>
      <c r="Q72" s="443"/>
      <c r="R72" s="443"/>
      <c r="S72" s="431"/>
      <c r="T72" s="431"/>
      <c r="U72" s="431"/>
    </row>
    <row r="73" spans="1:21" s="1" customFormat="1" ht="18.899999999999999" customHeight="1" thickTop="1" thickBot="1">
      <c r="A73" s="43"/>
      <c r="B73" s="44" t="s">
        <v>135</v>
      </c>
      <c r="C73" s="48"/>
      <c r="D73" s="49"/>
      <c r="E73" s="50"/>
      <c r="F73" s="50"/>
      <c r="G73" s="50"/>
      <c r="H73" s="51"/>
      <c r="I73" s="36">
        <f>SUM(I57:I72)</f>
        <v>259062.5</v>
      </c>
      <c r="J73" s="51"/>
      <c r="K73" s="36">
        <f>SUM(K69:K72)</f>
        <v>0</v>
      </c>
      <c r="L73" s="36">
        <f>SUM(L57:L72)</f>
        <v>259062.5</v>
      </c>
      <c r="M73" s="37"/>
      <c r="O73" s="445">
        <f>SUM(I57:I62,I69:I71)</f>
        <v>235662.5</v>
      </c>
      <c r="P73" s="442"/>
      <c r="Q73" s="443">
        <f>SUM(Q57:Q72)</f>
        <v>216809.5</v>
      </c>
      <c r="R73" s="446">
        <f>O73-Q73</f>
        <v>18853</v>
      </c>
      <c r="S73" s="439"/>
      <c r="T73" s="431">
        <f>SUM(T57:T72)</f>
        <v>301648</v>
      </c>
      <c r="U73" s="439">
        <f>O73-T73</f>
        <v>-65985.5</v>
      </c>
    </row>
    <row r="74" spans="1:21" s="1" customFormat="1" ht="18.899999999999999" customHeight="1" thickTop="1">
      <c r="A74" s="79" t="s">
        <v>21</v>
      </c>
      <c r="B74" s="80" t="s">
        <v>205</v>
      </c>
      <c r="C74" s="101"/>
      <c r="D74" s="102"/>
      <c r="E74" s="103"/>
      <c r="F74" s="81"/>
      <c r="G74" s="81"/>
      <c r="H74" s="82"/>
      <c r="I74" s="82"/>
      <c r="J74" s="82"/>
      <c r="K74" s="82"/>
      <c r="L74" s="83"/>
      <c r="M74" s="84"/>
      <c r="O74" s="441"/>
      <c r="P74" s="442"/>
      <c r="Q74" s="443"/>
      <c r="R74" s="443"/>
      <c r="S74" s="431"/>
      <c r="T74" s="431"/>
      <c r="U74" s="431"/>
    </row>
    <row r="75" spans="1:21" s="1" customFormat="1" ht="18.899999999999999" customHeight="1">
      <c r="A75" s="275" t="s">
        <v>136</v>
      </c>
      <c r="B75" s="104" t="s">
        <v>375</v>
      </c>
      <c r="C75" s="105"/>
      <c r="D75" s="106"/>
      <c r="E75" s="107"/>
      <c r="F75" s="108"/>
      <c r="G75" s="108"/>
      <c r="H75" s="109"/>
      <c r="I75" s="109"/>
      <c r="J75" s="109"/>
      <c r="K75" s="109"/>
      <c r="L75" s="110"/>
      <c r="M75" s="111"/>
      <c r="O75" s="441"/>
      <c r="P75" s="442"/>
      <c r="Q75" s="444"/>
      <c r="R75" s="447">
        <f>R73+Q42+Q23</f>
        <v>82053</v>
      </c>
      <c r="S75" s="431"/>
      <c r="T75" s="431"/>
      <c r="U75" s="439">
        <f>U73+U42+U23</f>
        <v>-165145.5</v>
      </c>
    </row>
    <row r="76" spans="1:21" s="7" customFormat="1" ht="18.899999999999999" customHeight="1">
      <c r="A76" s="112" t="s">
        <v>137</v>
      </c>
      <c r="B76" s="191" t="s">
        <v>239</v>
      </c>
      <c r="C76" s="114" t="s">
        <v>124</v>
      </c>
      <c r="D76" s="115">
        <v>0</v>
      </c>
      <c r="E76" s="116">
        <v>12</v>
      </c>
      <c r="F76" s="117"/>
      <c r="G76" s="117">
        <v>1</v>
      </c>
      <c r="H76" s="117">
        <v>4628</v>
      </c>
      <c r="I76" s="118">
        <f t="shared" ref="I76:I92" si="23">G76*H76</f>
        <v>4628</v>
      </c>
      <c r="J76" s="118"/>
      <c r="K76" s="118">
        <f t="shared" ref="K76:K92" si="24">G76*J76</f>
        <v>0</v>
      </c>
      <c r="L76" s="119">
        <f t="shared" ref="L76:L92" si="25">K76+I76</f>
        <v>4628</v>
      </c>
      <c r="M76" s="85"/>
      <c r="O76" s="441"/>
      <c r="P76" s="442"/>
      <c r="Q76" s="444"/>
      <c r="R76" s="447">
        <f>R75*1.1</f>
        <v>90258.3</v>
      </c>
      <c r="S76" s="431"/>
      <c r="T76" s="431"/>
      <c r="U76" s="447">
        <f>U75*1.1</f>
        <v>-181660.05000000002</v>
      </c>
    </row>
    <row r="77" spans="1:21" s="7" customFormat="1" ht="18.899999999999999" customHeight="1">
      <c r="A77" s="112" t="s">
        <v>138</v>
      </c>
      <c r="B77" s="228" t="s">
        <v>240</v>
      </c>
      <c r="C77" s="114" t="s">
        <v>124</v>
      </c>
      <c r="D77" s="115">
        <v>0</v>
      </c>
      <c r="E77" s="116">
        <v>28</v>
      </c>
      <c r="F77" s="117"/>
      <c r="G77" s="117">
        <v>1</v>
      </c>
      <c r="H77" s="117">
        <v>150</v>
      </c>
      <c r="I77" s="118">
        <f t="shared" si="23"/>
        <v>150</v>
      </c>
      <c r="J77" s="118"/>
      <c r="K77" s="118">
        <f t="shared" si="24"/>
        <v>0</v>
      </c>
      <c r="L77" s="119">
        <f t="shared" si="25"/>
        <v>150</v>
      </c>
      <c r="M77" s="85"/>
      <c r="O77" s="441"/>
      <c r="P77" s="442"/>
      <c r="Q77" s="444"/>
      <c r="R77" s="448">
        <f>R76*1.07</f>
        <v>96576.381000000008</v>
      </c>
      <c r="S77" s="431"/>
      <c r="T77" s="431"/>
      <c r="U77" s="448">
        <f>U76*1.07</f>
        <v>-194376.25350000002</v>
      </c>
    </row>
    <row r="78" spans="1:21" s="7" customFormat="1" ht="18.899999999999999" customHeight="1">
      <c r="A78" s="112" t="s">
        <v>139</v>
      </c>
      <c r="B78" s="228" t="s">
        <v>241</v>
      </c>
      <c r="C78" s="114" t="s">
        <v>124</v>
      </c>
      <c r="D78" s="115">
        <v>0</v>
      </c>
      <c r="E78" s="116">
        <v>28</v>
      </c>
      <c r="F78" s="117"/>
      <c r="G78" s="117">
        <v>1</v>
      </c>
      <c r="H78" s="117">
        <v>94</v>
      </c>
      <c r="I78" s="118">
        <f t="shared" si="23"/>
        <v>94</v>
      </c>
      <c r="J78" s="118"/>
      <c r="K78" s="118">
        <f t="shared" si="24"/>
        <v>0</v>
      </c>
      <c r="L78" s="119">
        <f t="shared" si="25"/>
        <v>94</v>
      </c>
      <c r="M78" s="85"/>
      <c r="O78" s="441"/>
      <c r="P78" s="442"/>
      <c r="Q78" s="443"/>
      <c r="R78" s="443"/>
      <c r="S78" s="431"/>
      <c r="T78" s="431"/>
      <c r="U78" s="437"/>
    </row>
    <row r="79" spans="1:21" s="7" customFormat="1" ht="20.100000000000001" customHeight="1">
      <c r="A79" s="112" t="s">
        <v>140</v>
      </c>
      <c r="B79" s="191" t="s">
        <v>242</v>
      </c>
      <c r="C79" s="114" t="s">
        <v>124</v>
      </c>
      <c r="D79" s="115">
        <v>0</v>
      </c>
      <c r="E79" s="116">
        <v>16</v>
      </c>
      <c r="F79" s="117"/>
      <c r="G79" s="117">
        <v>1</v>
      </c>
      <c r="H79" s="117">
        <v>2440</v>
      </c>
      <c r="I79" s="118">
        <f t="shared" si="23"/>
        <v>2440</v>
      </c>
      <c r="J79" s="118"/>
      <c r="K79" s="118">
        <f t="shared" si="24"/>
        <v>0</v>
      </c>
      <c r="L79" s="119">
        <f t="shared" si="25"/>
        <v>2440</v>
      </c>
      <c r="M79" s="85"/>
      <c r="O79" s="430"/>
      <c r="P79" s="430"/>
      <c r="Q79" s="436"/>
      <c r="R79" s="436"/>
      <c r="S79" s="431"/>
      <c r="T79" s="431"/>
      <c r="U79" s="437"/>
    </row>
    <row r="80" spans="1:21" s="1" customFormat="1" ht="20.100000000000001" customHeight="1">
      <c r="A80" s="112" t="s">
        <v>141</v>
      </c>
      <c r="B80" s="228" t="s">
        <v>243</v>
      </c>
      <c r="C80" s="114" t="s">
        <v>124</v>
      </c>
      <c r="D80" s="115">
        <v>0</v>
      </c>
      <c r="E80" s="116">
        <v>12</v>
      </c>
      <c r="F80" s="117"/>
      <c r="G80" s="117">
        <v>1</v>
      </c>
      <c r="H80" s="117">
        <v>894.6</v>
      </c>
      <c r="I80" s="118">
        <f t="shared" si="23"/>
        <v>894.6</v>
      </c>
      <c r="J80" s="118"/>
      <c r="K80" s="118">
        <f t="shared" si="24"/>
        <v>0</v>
      </c>
      <c r="L80" s="119">
        <f t="shared" si="25"/>
        <v>894.6</v>
      </c>
      <c r="M80" s="85"/>
      <c r="O80" s="430"/>
      <c r="P80" s="430"/>
      <c r="Q80" s="430"/>
      <c r="R80" s="430"/>
      <c r="S80" s="431"/>
      <c r="T80" s="431"/>
      <c r="U80" s="431"/>
    </row>
    <row r="81" spans="1:21" s="1" customFormat="1" ht="20.100000000000001" customHeight="1">
      <c r="A81" s="112" t="s">
        <v>142</v>
      </c>
      <c r="B81" s="192" t="s">
        <v>244</v>
      </c>
      <c r="C81" s="114" t="s">
        <v>124</v>
      </c>
      <c r="D81" s="115">
        <v>0</v>
      </c>
      <c r="E81" s="116">
        <v>20</v>
      </c>
      <c r="F81" s="117"/>
      <c r="G81" s="117">
        <v>1</v>
      </c>
      <c r="H81" s="117">
        <v>670</v>
      </c>
      <c r="I81" s="118">
        <f t="shared" si="23"/>
        <v>670</v>
      </c>
      <c r="J81" s="118"/>
      <c r="K81" s="118">
        <f t="shared" si="24"/>
        <v>0</v>
      </c>
      <c r="L81" s="119">
        <f t="shared" si="25"/>
        <v>670</v>
      </c>
      <c r="M81" s="85"/>
      <c r="O81" s="430"/>
      <c r="P81" s="430"/>
      <c r="Q81" s="430"/>
      <c r="R81" s="430"/>
      <c r="S81" s="431"/>
      <c r="T81" s="431"/>
      <c r="U81" s="431"/>
    </row>
    <row r="82" spans="1:21" s="1" customFormat="1" ht="20.100000000000001" customHeight="1">
      <c r="A82" s="112" t="s">
        <v>143</v>
      </c>
      <c r="B82" s="192" t="s">
        <v>245</v>
      </c>
      <c r="C82" s="114" t="s">
        <v>124</v>
      </c>
      <c r="D82" s="115">
        <v>0</v>
      </c>
      <c r="E82" s="116">
        <v>20</v>
      </c>
      <c r="F82" s="117"/>
      <c r="G82" s="117">
        <v>1</v>
      </c>
      <c r="H82" s="117">
        <v>300</v>
      </c>
      <c r="I82" s="118">
        <f t="shared" si="23"/>
        <v>300</v>
      </c>
      <c r="J82" s="118"/>
      <c r="K82" s="118">
        <f t="shared" si="24"/>
        <v>0</v>
      </c>
      <c r="L82" s="119">
        <f t="shared" si="25"/>
        <v>300</v>
      </c>
      <c r="M82" s="85"/>
      <c r="O82" s="430"/>
      <c r="P82" s="430"/>
      <c r="Q82" s="430"/>
      <c r="R82" s="430"/>
      <c r="S82" s="431"/>
      <c r="T82" s="431"/>
      <c r="U82" s="431"/>
    </row>
    <row r="83" spans="1:21" s="1" customFormat="1" ht="20.100000000000001" customHeight="1">
      <c r="A83" s="112" t="s">
        <v>144</v>
      </c>
      <c r="B83" s="192" t="s">
        <v>246</v>
      </c>
      <c r="C83" s="114" t="s">
        <v>124</v>
      </c>
      <c r="D83" s="115">
        <v>0</v>
      </c>
      <c r="E83" s="116">
        <v>20</v>
      </c>
      <c r="F83" s="117"/>
      <c r="G83" s="117">
        <v>1</v>
      </c>
      <c r="H83" s="117">
        <v>94</v>
      </c>
      <c r="I83" s="118">
        <f t="shared" si="23"/>
        <v>94</v>
      </c>
      <c r="J83" s="118"/>
      <c r="K83" s="118">
        <f t="shared" si="24"/>
        <v>0</v>
      </c>
      <c r="L83" s="119">
        <f t="shared" si="25"/>
        <v>94</v>
      </c>
      <c r="M83" s="85"/>
      <c r="O83" s="430"/>
      <c r="P83" s="430"/>
      <c r="Q83" s="430"/>
      <c r="R83" s="430"/>
      <c r="S83" s="431"/>
      <c r="T83" s="431"/>
      <c r="U83" s="431"/>
    </row>
    <row r="84" spans="1:21" s="7" customFormat="1" ht="20.100000000000001" customHeight="1">
      <c r="A84" s="112" t="s">
        <v>145</v>
      </c>
      <c r="B84" s="192" t="s">
        <v>258</v>
      </c>
      <c r="C84" s="114" t="s">
        <v>124</v>
      </c>
      <c r="D84" s="115">
        <v>0</v>
      </c>
      <c r="E84" s="116">
        <v>20</v>
      </c>
      <c r="F84" s="117"/>
      <c r="G84" s="117">
        <v>1</v>
      </c>
      <c r="H84" s="117">
        <v>315</v>
      </c>
      <c r="I84" s="118">
        <f t="shared" si="23"/>
        <v>315</v>
      </c>
      <c r="J84" s="118"/>
      <c r="K84" s="118">
        <f t="shared" si="24"/>
        <v>0</v>
      </c>
      <c r="L84" s="119">
        <f t="shared" si="25"/>
        <v>315</v>
      </c>
      <c r="M84" s="85"/>
      <c r="O84" s="430"/>
      <c r="P84" s="430"/>
      <c r="Q84" s="436"/>
      <c r="R84" s="436"/>
      <c r="S84" s="431"/>
      <c r="T84" s="431"/>
      <c r="U84" s="437"/>
    </row>
    <row r="85" spans="1:21" s="7" customFormat="1" ht="20.25" customHeight="1">
      <c r="A85" s="112" t="s">
        <v>146</v>
      </c>
      <c r="B85" s="192" t="s">
        <v>247</v>
      </c>
      <c r="C85" s="114" t="s">
        <v>124</v>
      </c>
      <c r="D85" s="115">
        <v>0</v>
      </c>
      <c r="E85" s="116">
        <v>48</v>
      </c>
      <c r="F85" s="117"/>
      <c r="G85" s="117">
        <v>2</v>
      </c>
      <c r="H85" s="117">
        <v>231</v>
      </c>
      <c r="I85" s="118">
        <f t="shared" si="23"/>
        <v>462</v>
      </c>
      <c r="J85" s="118"/>
      <c r="K85" s="118">
        <f t="shared" si="24"/>
        <v>0</v>
      </c>
      <c r="L85" s="119">
        <f t="shared" si="25"/>
        <v>462</v>
      </c>
      <c r="M85" s="85"/>
      <c r="O85" s="430"/>
      <c r="P85" s="430"/>
      <c r="Q85" s="436"/>
      <c r="R85" s="436"/>
      <c r="S85" s="431"/>
      <c r="T85" s="431"/>
      <c r="U85" s="437"/>
    </row>
    <row r="86" spans="1:21" s="7" customFormat="1" ht="20.100000000000001" customHeight="1">
      <c r="A86" s="112" t="s">
        <v>147</v>
      </c>
      <c r="B86" s="191" t="s">
        <v>259</v>
      </c>
      <c r="C86" s="114" t="s">
        <v>124</v>
      </c>
      <c r="D86" s="115">
        <v>0</v>
      </c>
      <c r="E86" s="116">
        <v>28</v>
      </c>
      <c r="F86" s="117"/>
      <c r="G86" s="117">
        <v>1</v>
      </c>
      <c r="H86" s="117">
        <v>350</v>
      </c>
      <c r="I86" s="118">
        <f t="shared" si="23"/>
        <v>350</v>
      </c>
      <c r="J86" s="118"/>
      <c r="K86" s="118">
        <f t="shared" si="24"/>
        <v>0</v>
      </c>
      <c r="L86" s="119">
        <f t="shared" si="25"/>
        <v>350</v>
      </c>
      <c r="M86" s="85"/>
      <c r="O86" s="430"/>
      <c r="P86" s="430"/>
      <c r="Q86" s="436"/>
      <c r="R86" s="436"/>
      <c r="S86" s="431"/>
      <c r="T86" s="431"/>
      <c r="U86" s="437"/>
    </row>
    <row r="87" spans="1:21" s="7" customFormat="1" ht="20.100000000000001" customHeight="1">
      <c r="A87" s="112" t="s">
        <v>148</v>
      </c>
      <c r="B87" s="191" t="s">
        <v>248</v>
      </c>
      <c r="C87" s="114" t="s">
        <v>124</v>
      </c>
      <c r="D87" s="115">
        <v>0</v>
      </c>
      <c r="E87" s="116">
        <v>28</v>
      </c>
      <c r="F87" s="117"/>
      <c r="G87" s="117">
        <v>1</v>
      </c>
      <c r="H87" s="117">
        <v>172.2</v>
      </c>
      <c r="I87" s="118">
        <f t="shared" si="23"/>
        <v>172.2</v>
      </c>
      <c r="J87" s="118"/>
      <c r="K87" s="118">
        <f t="shared" si="24"/>
        <v>0</v>
      </c>
      <c r="L87" s="119">
        <f t="shared" si="25"/>
        <v>172.2</v>
      </c>
      <c r="M87" s="85"/>
      <c r="O87" s="430"/>
      <c r="P87" s="430"/>
      <c r="Q87" s="436"/>
      <c r="R87" s="436"/>
      <c r="S87" s="431"/>
      <c r="T87" s="431"/>
      <c r="U87" s="437"/>
    </row>
    <row r="88" spans="1:21" s="7" customFormat="1" ht="20.100000000000001" customHeight="1">
      <c r="A88" s="112" t="s">
        <v>149</v>
      </c>
      <c r="B88" s="191" t="s">
        <v>249</v>
      </c>
      <c r="C88" s="114" t="s">
        <v>124</v>
      </c>
      <c r="D88" s="115">
        <v>0</v>
      </c>
      <c r="E88" s="116">
        <v>28</v>
      </c>
      <c r="F88" s="117"/>
      <c r="G88" s="117">
        <v>1</v>
      </c>
      <c r="H88" s="117">
        <v>90</v>
      </c>
      <c r="I88" s="118">
        <f t="shared" si="23"/>
        <v>90</v>
      </c>
      <c r="J88" s="118"/>
      <c r="K88" s="118">
        <f t="shared" si="24"/>
        <v>0</v>
      </c>
      <c r="L88" s="119">
        <f t="shared" si="25"/>
        <v>90</v>
      </c>
      <c r="M88" s="85"/>
      <c r="O88" s="430"/>
      <c r="P88" s="430"/>
      <c r="Q88" s="436"/>
      <c r="R88" s="436"/>
      <c r="S88" s="431"/>
      <c r="T88" s="431"/>
      <c r="U88" s="437"/>
    </row>
    <row r="89" spans="1:21" s="7" customFormat="1" ht="20.100000000000001" customHeight="1">
      <c r="A89" s="112" t="s">
        <v>150</v>
      </c>
      <c r="B89" s="191" t="s">
        <v>250</v>
      </c>
      <c r="C89" s="114" t="s">
        <v>124</v>
      </c>
      <c r="D89" s="115">
        <v>0</v>
      </c>
      <c r="E89" s="116">
        <v>28</v>
      </c>
      <c r="F89" s="117"/>
      <c r="G89" s="117">
        <v>1</v>
      </c>
      <c r="H89" s="117">
        <v>570</v>
      </c>
      <c r="I89" s="118">
        <f t="shared" si="23"/>
        <v>570</v>
      </c>
      <c r="J89" s="118"/>
      <c r="K89" s="118">
        <f t="shared" si="24"/>
        <v>0</v>
      </c>
      <c r="L89" s="119">
        <f t="shared" si="25"/>
        <v>570</v>
      </c>
      <c r="M89" s="85"/>
      <c r="O89" s="430"/>
      <c r="P89" s="430"/>
      <c r="Q89" s="436"/>
      <c r="R89" s="436"/>
      <c r="S89" s="431"/>
      <c r="T89" s="431"/>
      <c r="U89" s="437"/>
    </row>
    <row r="90" spans="1:21" s="7" customFormat="1" ht="20.100000000000001" customHeight="1">
      <c r="A90" s="112" t="s">
        <v>204</v>
      </c>
      <c r="B90" s="272" t="s">
        <v>74</v>
      </c>
      <c r="C90" s="216"/>
      <c r="D90" s="217"/>
      <c r="E90" s="218"/>
      <c r="F90" s="219"/>
      <c r="G90" s="219"/>
      <c r="H90" s="220"/>
      <c r="I90" s="220"/>
      <c r="J90" s="220"/>
      <c r="K90" s="118"/>
      <c r="L90" s="119"/>
      <c r="M90" s="85"/>
      <c r="O90" s="430"/>
      <c r="P90" s="430"/>
      <c r="Q90" s="436"/>
      <c r="R90" s="436"/>
      <c r="S90" s="431"/>
      <c r="T90" s="431"/>
      <c r="U90" s="437"/>
    </row>
    <row r="91" spans="1:21" s="7" customFormat="1" ht="20.100000000000001" customHeight="1">
      <c r="A91" s="112"/>
      <c r="B91" s="274" t="s">
        <v>260</v>
      </c>
      <c r="C91" s="255" t="s">
        <v>124</v>
      </c>
      <c r="D91" s="256">
        <v>0</v>
      </c>
      <c r="E91" s="257">
        <v>20</v>
      </c>
      <c r="F91" s="258"/>
      <c r="G91" s="258">
        <v>1</v>
      </c>
      <c r="H91" s="258">
        <v>145</v>
      </c>
      <c r="I91" s="118">
        <f t="shared" si="23"/>
        <v>145</v>
      </c>
      <c r="J91" s="259"/>
      <c r="K91" s="118">
        <f t="shared" si="24"/>
        <v>0</v>
      </c>
      <c r="L91" s="119">
        <f t="shared" si="25"/>
        <v>145</v>
      </c>
      <c r="M91" s="120"/>
      <c r="O91" s="430"/>
      <c r="P91" s="430"/>
      <c r="Q91" s="436"/>
      <c r="R91" s="436"/>
      <c r="S91" s="431"/>
      <c r="T91" s="431"/>
      <c r="U91" s="437"/>
    </row>
    <row r="92" spans="1:21" s="7" customFormat="1" ht="18" customHeight="1">
      <c r="A92" s="271"/>
      <c r="B92" s="274" t="s">
        <v>203</v>
      </c>
      <c r="C92" s="255" t="s">
        <v>124</v>
      </c>
      <c r="D92" s="256">
        <v>0</v>
      </c>
      <c r="E92" s="257">
        <v>20</v>
      </c>
      <c r="F92" s="258"/>
      <c r="G92" s="258">
        <v>1</v>
      </c>
      <c r="H92" s="258">
        <v>145</v>
      </c>
      <c r="I92" s="118">
        <f t="shared" si="23"/>
        <v>145</v>
      </c>
      <c r="J92" s="259"/>
      <c r="K92" s="118">
        <f t="shared" si="24"/>
        <v>0</v>
      </c>
      <c r="L92" s="119">
        <f t="shared" si="25"/>
        <v>145</v>
      </c>
      <c r="M92" s="222" t="s">
        <v>34</v>
      </c>
      <c r="O92" s="430"/>
      <c r="P92" s="430"/>
      <c r="Q92" s="436"/>
      <c r="R92" s="436"/>
      <c r="S92" s="431"/>
      <c r="T92" s="431"/>
      <c r="U92" s="437"/>
    </row>
    <row r="93" spans="1:21" s="7" customFormat="1" ht="19.5" hidden="1" customHeight="1">
      <c r="A93" s="273"/>
      <c r="B93" s="299"/>
      <c r="C93" s="301"/>
      <c r="G93" s="300"/>
      <c r="H93" s="301"/>
      <c r="I93" s="301"/>
      <c r="J93" s="301"/>
      <c r="K93" s="300"/>
      <c r="L93" s="300"/>
      <c r="M93" s="96"/>
      <c r="O93" s="430"/>
      <c r="P93" s="430"/>
      <c r="Q93" s="436"/>
      <c r="R93" s="436"/>
      <c r="S93" s="431"/>
      <c r="T93" s="431"/>
      <c r="U93" s="437"/>
    </row>
    <row r="94" spans="1:21" s="7" customFormat="1" ht="20.100000000000001" customHeight="1">
      <c r="A94" s="275" t="s">
        <v>376</v>
      </c>
      <c r="B94" s="104" t="s">
        <v>377</v>
      </c>
      <c r="C94" s="105"/>
      <c r="D94" s="106"/>
      <c r="E94" s="107"/>
      <c r="F94" s="108"/>
      <c r="G94" s="108"/>
      <c r="H94" s="109"/>
      <c r="I94" s="109"/>
      <c r="J94" s="109"/>
      <c r="K94" s="109"/>
      <c r="L94" s="110"/>
      <c r="M94" s="111"/>
      <c r="O94" s="430"/>
      <c r="P94" s="430"/>
      <c r="Q94" s="436"/>
      <c r="R94" s="436"/>
      <c r="S94" s="431"/>
      <c r="T94" s="431"/>
      <c r="U94" s="437"/>
    </row>
    <row r="95" spans="1:21" s="7" customFormat="1" ht="20.100000000000001" customHeight="1">
      <c r="A95" s="112" t="s">
        <v>378</v>
      </c>
      <c r="B95" s="191" t="s">
        <v>239</v>
      </c>
      <c r="C95" s="114" t="s">
        <v>124</v>
      </c>
      <c r="D95" s="115">
        <v>0</v>
      </c>
      <c r="E95" s="116">
        <v>12</v>
      </c>
      <c r="F95" s="117"/>
      <c r="G95" s="117">
        <v>1</v>
      </c>
      <c r="H95" s="117">
        <v>4628</v>
      </c>
      <c r="I95" s="118">
        <f t="shared" ref="I95:I108" si="26">G95*H95</f>
        <v>4628</v>
      </c>
      <c r="J95" s="118"/>
      <c r="K95" s="118">
        <f t="shared" ref="K95:K108" si="27">G95*J95</f>
        <v>0</v>
      </c>
      <c r="L95" s="119">
        <f t="shared" ref="L95:L108" si="28">K95+I95</f>
        <v>4628</v>
      </c>
      <c r="M95" s="85"/>
      <c r="O95" s="430"/>
      <c r="P95" s="430"/>
      <c r="Q95" s="436"/>
      <c r="R95" s="436"/>
      <c r="S95" s="431"/>
      <c r="T95" s="431"/>
      <c r="U95" s="437"/>
    </row>
    <row r="96" spans="1:21" s="7" customFormat="1" ht="20.100000000000001" customHeight="1">
      <c r="A96" s="112" t="s">
        <v>379</v>
      </c>
      <c r="B96" s="228" t="s">
        <v>240</v>
      </c>
      <c r="C96" s="114" t="s">
        <v>124</v>
      </c>
      <c r="D96" s="115">
        <v>0</v>
      </c>
      <c r="E96" s="116">
        <v>28</v>
      </c>
      <c r="F96" s="117"/>
      <c r="G96" s="117">
        <v>1</v>
      </c>
      <c r="H96" s="117">
        <v>150</v>
      </c>
      <c r="I96" s="118">
        <f t="shared" si="26"/>
        <v>150</v>
      </c>
      <c r="J96" s="118"/>
      <c r="K96" s="118">
        <f t="shared" si="27"/>
        <v>0</v>
      </c>
      <c r="L96" s="119">
        <f t="shared" si="28"/>
        <v>150</v>
      </c>
      <c r="M96" s="85"/>
      <c r="O96" s="430"/>
      <c r="P96" s="430"/>
      <c r="Q96" s="436"/>
      <c r="R96" s="436"/>
      <c r="S96" s="431"/>
      <c r="T96" s="431"/>
      <c r="U96" s="437"/>
    </row>
    <row r="97" spans="1:21" s="7" customFormat="1" ht="20.100000000000001" customHeight="1">
      <c r="A97" s="112" t="s">
        <v>380</v>
      </c>
      <c r="B97" s="228" t="s">
        <v>241</v>
      </c>
      <c r="C97" s="114" t="s">
        <v>124</v>
      </c>
      <c r="D97" s="115">
        <v>0</v>
      </c>
      <c r="E97" s="116">
        <v>28</v>
      </c>
      <c r="F97" s="117"/>
      <c r="G97" s="117">
        <v>1</v>
      </c>
      <c r="H97" s="117">
        <v>94</v>
      </c>
      <c r="I97" s="118">
        <f t="shared" si="26"/>
        <v>94</v>
      </c>
      <c r="J97" s="118"/>
      <c r="K97" s="118">
        <f t="shared" si="27"/>
        <v>0</v>
      </c>
      <c r="L97" s="119">
        <f t="shared" si="28"/>
        <v>94</v>
      </c>
      <c r="M97" s="85"/>
      <c r="O97" s="430"/>
      <c r="P97" s="430"/>
      <c r="Q97" s="436"/>
      <c r="R97" s="436"/>
      <c r="S97" s="431"/>
      <c r="T97" s="431"/>
      <c r="U97" s="437"/>
    </row>
    <row r="98" spans="1:21" s="7" customFormat="1" ht="20.100000000000001" customHeight="1">
      <c r="A98" s="112" t="s">
        <v>381</v>
      </c>
      <c r="B98" s="191" t="s">
        <v>242</v>
      </c>
      <c r="C98" s="114" t="s">
        <v>124</v>
      </c>
      <c r="D98" s="115">
        <v>0</v>
      </c>
      <c r="E98" s="116">
        <v>16</v>
      </c>
      <c r="F98" s="117"/>
      <c r="G98" s="117">
        <v>1</v>
      </c>
      <c r="H98" s="117">
        <v>2440</v>
      </c>
      <c r="I98" s="118">
        <f t="shared" si="26"/>
        <v>2440</v>
      </c>
      <c r="J98" s="118"/>
      <c r="K98" s="118">
        <f t="shared" si="27"/>
        <v>0</v>
      </c>
      <c r="L98" s="119">
        <f t="shared" si="28"/>
        <v>2440</v>
      </c>
      <c r="M98" s="85"/>
      <c r="O98" s="430"/>
      <c r="P98" s="430"/>
      <c r="Q98" s="436"/>
      <c r="R98" s="436"/>
      <c r="S98" s="431"/>
      <c r="T98" s="431"/>
      <c r="U98" s="437"/>
    </row>
    <row r="99" spans="1:21" s="7" customFormat="1" ht="20.100000000000001" customHeight="1">
      <c r="A99" s="112" t="s">
        <v>382</v>
      </c>
      <c r="B99" s="228" t="s">
        <v>243</v>
      </c>
      <c r="C99" s="114" t="s">
        <v>124</v>
      </c>
      <c r="D99" s="115">
        <v>0</v>
      </c>
      <c r="E99" s="116">
        <v>12</v>
      </c>
      <c r="F99" s="117"/>
      <c r="G99" s="117">
        <v>1</v>
      </c>
      <c r="H99" s="117">
        <v>894.6</v>
      </c>
      <c r="I99" s="118">
        <f t="shared" si="26"/>
        <v>894.6</v>
      </c>
      <c r="J99" s="118"/>
      <c r="K99" s="118">
        <f t="shared" si="27"/>
        <v>0</v>
      </c>
      <c r="L99" s="119">
        <f t="shared" si="28"/>
        <v>894.6</v>
      </c>
      <c r="M99" s="85"/>
      <c r="O99" s="430"/>
      <c r="P99" s="430"/>
      <c r="Q99" s="436"/>
      <c r="R99" s="436"/>
      <c r="S99" s="431"/>
      <c r="T99" s="431"/>
      <c r="U99" s="437"/>
    </row>
    <row r="100" spans="1:21" s="7" customFormat="1" ht="20.100000000000001" customHeight="1">
      <c r="A100" s="112" t="s">
        <v>383</v>
      </c>
      <c r="B100" s="192" t="s">
        <v>244</v>
      </c>
      <c r="C100" s="114" t="s">
        <v>124</v>
      </c>
      <c r="D100" s="115">
        <v>0</v>
      </c>
      <c r="E100" s="116">
        <v>20</v>
      </c>
      <c r="F100" s="117"/>
      <c r="G100" s="117">
        <v>1</v>
      </c>
      <c r="H100" s="117">
        <v>670</v>
      </c>
      <c r="I100" s="118">
        <f t="shared" si="26"/>
        <v>670</v>
      </c>
      <c r="J100" s="118"/>
      <c r="K100" s="118">
        <f t="shared" si="27"/>
        <v>0</v>
      </c>
      <c r="L100" s="119">
        <f t="shared" si="28"/>
        <v>670</v>
      </c>
      <c r="M100" s="85"/>
      <c r="O100" s="430"/>
      <c r="P100" s="430"/>
      <c r="Q100" s="436"/>
      <c r="R100" s="436"/>
      <c r="S100" s="431"/>
      <c r="T100" s="431"/>
      <c r="U100" s="437"/>
    </row>
    <row r="101" spans="1:21" s="7" customFormat="1" ht="20.100000000000001" customHeight="1">
      <c r="A101" s="112" t="s">
        <v>384</v>
      </c>
      <c r="B101" s="192" t="s">
        <v>245</v>
      </c>
      <c r="C101" s="114" t="s">
        <v>124</v>
      </c>
      <c r="D101" s="115">
        <v>0</v>
      </c>
      <c r="E101" s="116">
        <v>20</v>
      </c>
      <c r="F101" s="117"/>
      <c r="G101" s="117">
        <v>1</v>
      </c>
      <c r="H101" s="117">
        <v>300</v>
      </c>
      <c r="I101" s="118">
        <f t="shared" si="26"/>
        <v>300</v>
      </c>
      <c r="J101" s="118"/>
      <c r="K101" s="118">
        <f t="shared" si="27"/>
        <v>0</v>
      </c>
      <c r="L101" s="119">
        <f t="shared" si="28"/>
        <v>300</v>
      </c>
      <c r="M101" s="85"/>
      <c r="O101" s="430"/>
      <c r="P101" s="430"/>
      <c r="Q101" s="436"/>
      <c r="R101" s="436"/>
      <c r="S101" s="431"/>
      <c r="T101" s="431"/>
      <c r="U101" s="437"/>
    </row>
    <row r="102" spans="1:21" s="7" customFormat="1" ht="20.100000000000001" customHeight="1">
      <c r="A102" s="112" t="s">
        <v>385</v>
      </c>
      <c r="B102" s="192" t="s">
        <v>246</v>
      </c>
      <c r="C102" s="114" t="s">
        <v>124</v>
      </c>
      <c r="D102" s="115">
        <v>0</v>
      </c>
      <c r="E102" s="116">
        <v>20</v>
      </c>
      <c r="F102" s="117"/>
      <c r="G102" s="117">
        <v>1</v>
      </c>
      <c r="H102" s="117">
        <v>94</v>
      </c>
      <c r="I102" s="118">
        <f t="shared" si="26"/>
        <v>94</v>
      </c>
      <c r="J102" s="118"/>
      <c r="K102" s="118">
        <f t="shared" si="27"/>
        <v>0</v>
      </c>
      <c r="L102" s="119">
        <f t="shared" si="28"/>
        <v>94</v>
      </c>
      <c r="M102" s="85"/>
      <c r="O102" s="430"/>
      <c r="P102" s="430"/>
      <c r="Q102" s="436"/>
      <c r="R102" s="436"/>
      <c r="S102" s="431"/>
      <c r="T102" s="431"/>
      <c r="U102" s="437"/>
    </row>
    <row r="103" spans="1:21" s="7" customFormat="1" ht="19.5" customHeight="1">
      <c r="A103" s="112" t="s">
        <v>386</v>
      </c>
      <c r="B103" s="192" t="s">
        <v>258</v>
      </c>
      <c r="C103" s="114" t="s">
        <v>124</v>
      </c>
      <c r="D103" s="115">
        <v>0</v>
      </c>
      <c r="E103" s="116">
        <v>20</v>
      </c>
      <c r="F103" s="117"/>
      <c r="G103" s="117">
        <v>1</v>
      </c>
      <c r="H103" s="117">
        <v>315</v>
      </c>
      <c r="I103" s="118">
        <f t="shared" si="26"/>
        <v>315</v>
      </c>
      <c r="J103" s="118"/>
      <c r="K103" s="118">
        <f t="shared" si="27"/>
        <v>0</v>
      </c>
      <c r="L103" s="119">
        <f t="shared" si="28"/>
        <v>315</v>
      </c>
      <c r="M103" s="85"/>
      <c r="O103" s="430"/>
      <c r="P103" s="430"/>
      <c r="Q103" s="436"/>
      <c r="R103" s="436"/>
      <c r="S103" s="431"/>
      <c r="T103" s="431"/>
      <c r="U103" s="437"/>
    </row>
    <row r="104" spans="1:21" s="7" customFormat="1" ht="19.5" customHeight="1">
      <c r="A104" s="112" t="s">
        <v>387</v>
      </c>
      <c r="B104" s="192" t="s">
        <v>247</v>
      </c>
      <c r="C104" s="114" t="s">
        <v>124</v>
      </c>
      <c r="D104" s="115">
        <v>0</v>
      </c>
      <c r="E104" s="116">
        <v>48</v>
      </c>
      <c r="F104" s="117"/>
      <c r="G104" s="117">
        <v>2</v>
      </c>
      <c r="H104" s="117">
        <v>231</v>
      </c>
      <c r="I104" s="118">
        <f t="shared" si="26"/>
        <v>462</v>
      </c>
      <c r="J104" s="118"/>
      <c r="K104" s="118">
        <f t="shared" si="27"/>
        <v>0</v>
      </c>
      <c r="L104" s="119">
        <f t="shared" si="28"/>
        <v>462</v>
      </c>
      <c r="M104" s="85"/>
      <c r="O104" s="430"/>
      <c r="P104" s="430"/>
      <c r="Q104" s="436"/>
      <c r="R104" s="436"/>
      <c r="S104" s="431"/>
      <c r="T104" s="431"/>
      <c r="U104" s="437"/>
    </row>
    <row r="105" spans="1:21" s="7" customFormat="1" ht="20.25" customHeight="1">
      <c r="A105" s="112" t="s">
        <v>388</v>
      </c>
      <c r="B105" s="191" t="s">
        <v>259</v>
      </c>
      <c r="C105" s="114" t="s">
        <v>124</v>
      </c>
      <c r="D105" s="115">
        <v>0</v>
      </c>
      <c r="E105" s="116">
        <v>28</v>
      </c>
      <c r="F105" s="117"/>
      <c r="G105" s="117">
        <v>1</v>
      </c>
      <c r="H105" s="117">
        <v>350</v>
      </c>
      <c r="I105" s="118">
        <f t="shared" si="26"/>
        <v>350</v>
      </c>
      <c r="J105" s="118"/>
      <c r="K105" s="118">
        <f t="shared" si="27"/>
        <v>0</v>
      </c>
      <c r="L105" s="119">
        <f t="shared" si="28"/>
        <v>350</v>
      </c>
      <c r="M105" s="85"/>
      <c r="O105" s="430"/>
      <c r="P105" s="430"/>
      <c r="Q105" s="436"/>
      <c r="R105" s="436"/>
      <c r="S105" s="431"/>
      <c r="T105" s="431"/>
      <c r="U105" s="437"/>
    </row>
    <row r="106" spans="1:21" s="7" customFormat="1" ht="20.100000000000001" customHeight="1">
      <c r="A106" s="112" t="s">
        <v>389</v>
      </c>
      <c r="B106" s="191" t="s">
        <v>248</v>
      </c>
      <c r="C106" s="114" t="s">
        <v>124</v>
      </c>
      <c r="D106" s="115">
        <v>0</v>
      </c>
      <c r="E106" s="116">
        <v>28</v>
      </c>
      <c r="F106" s="117"/>
      <c r="G106" s="117">
        <v>1</v>
      </c>
      <c r="H106" s="117">
        <v>172.2</v>
      </c>
      <c r="I106" s="118">
        <f t="shared" si="26"/>
        <v>172.2</v>
      </c>
      <c r="J106" s="118"/>
      <c r="K106" s="118">
        <f t="shared" si="27"/>
        <v>0</v>
      </c>
      <c r="L106" s="119">
        <f t="shared" si="28"/>
        <v>172.2</v>
      </c>
      <c r="M106" s="85"/>
      <c r="O106" s="430"/>
      <c r="P106" s="430"/>
      <c r="Q106" s="436"/>
      <c r="R106" s="436"/>
      <c r="S106" s="431"/>
      <c r="T106" s="431"/>
      <c r="U106" s="437"/>
    </row>
    <row r="107" spans="1:21" s="7" customFormat="1" ht="20.100000000000001" customHeight="1">
      <c r="A107" s="271" t="s">
        <v>390</v>
      </c>
      <c r="B107" s="253" t="s">
        <v>249</v>
      </c>
      <c r="C107" s="216" t="s">
        <v>124</v>
      </c>
      <c r="D107" s="217">
        <v>0</v>
      </c>
      <c r="E107" s="218">
        <v>28</v>
      </c>
      <c r="F107" s="219"/>
      <c r="G107" s="219">
        <v>1</v>
      </c>
      <c r="H107" s="117">
        <v>90</v>
      </c>
      <c r="I107" s="118">
        <f t="shared" si="26"/>
        <v>90</v>
      </c>
      <c r="J107" s="220"/>
      <c r="K107" s="118">
        <f t="shared" si="27"/>
        <v>0</v>
      </c>
      <c r="L107" s="119">
        <f t="shared" si="28"/>
        <v>90</v>
      </c>
      <c r="M107" s="95"/>
      <c r="O107" s="430"/>
      <c r="P107" s="430"/>
      <c r="Q107" s="436"/>
      <c r="R107" s="436"/>
      <c r="S107" s="431"/>
      <c r="T107" s="431"/>
      <c r="U107" s="437"/>
    </row>
    <row r="108" spans="1:21" s="7" customFormat="1" ht="20.100000000000001" customHeight="1">
      <c r="A108" s="420" t="s">
        <v>150</v>
      </c>
      <c r="B108" s="331" t="s">
        <v>250</v>
      </c>
      <c r="C108" s="303" t="s">
        <v>124</v>
      </c>
      <c r="D108" s="304">
        <v>0</v>
      </c>
      <c r="E108" s="305">
        <v>28</v>
      </c>
      <c r="F108" s="178"/>
      <c r="G108" s="178">
        <v>1</v>
      </c>
      <c r="H108" s="117">
        <v>570</v>
      </c>
      <c r="I108" s="118">
        <f t="shared" si="26"/>
        <v>570</v>
      </c>
      <c r="J108" s="315"/>
      <c r="K108" s="118">
        <f t="shared" si="27"/>
        <v>0</v>
      </c>
      <c r="L108" s="119">
        <f t="shared" si="28"/>
        <v>570</v>
      </c>
      <c r="M108" s="84"/>
      <c r="O108" s="430"/>
      <c r="P108" s="430"/>
      <c r="Q108" s="436"/>
      <c r="R108" s="436"/>
      <c r="S108" s="431"/>
      <c r="T108" s="431"/>
      <c r="U108" s="437"/>
    </row>
    <row r="109" spans="1:21" s="7" customFormat="1" ht="20.100000000000001" customHeight="1" thickBot="1">
      <c r="A109" s="37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372"/>
      <c r="O109" s="430"/>
      <c r="P109" s="430"/>
      <c r="Q109" s="436"/>
      <c r="R109" s="436"/>
      <c r="S109" s="431"/>
      <c r="T109" s="431"/>
      <c r="U109" s="437"/>
    </row>
    <row r="110" spans="1:21" s="7" customFormat="1" ht="20.100000000000001" customHeight="1" thickTop="1" thickBot="1">
      <c r="A110" s="43"/>
      <c r="B110" s="44" t="s">
        <v>391</v>
      </c>
      <c r="C110" s="48"/>
      <c r="D110" s="49"/>
      <c r="E110" s="50"/>
      <c r="F110" s="50"/>
      <c r="G110" s="50"/>
      <c r="H110" s="51"/>
      <c r="I110" s="36">
        <f>SUM(I76:I109)</f>
        <v>22749.600000000002</v>
      </c>
      <c r="J110" s="51"/>
      <c r="K110" s="36">
        <f>SUM(K76:K109)</f>
        <v>0</v>
      </c>
      <c r="L110" s="36">
        <f>SUM(L76:L109)</f>
        <v>22749.600000000002</v>
      </c>
      <c r="M110" s="37"/>
      <c r="O110" s="430"/>
      <c r="P110" s="430"/>
      <c r="Q110" s="436"/>
      <c r="R110" s="436"/>
      <c r="S110" s="431"/>
      <c r="T110" s="431"/>
      <c r="U110" s="437"/>
    </row>
    <row r="111" spans="1:21" s="7" customFormat="1" ht="18.75" customHeight="1" thickTop="1">
      <c r="A111" s="369"/>
      <c r="M111" s="370"/>
      <c r="O111" s="430"/>
      <c r="P111" s="430"/>
      <c r="Q111" s="436"/>
      <c r="R111" s="436"/>
      <c r="S111" s="431"/>
      <c r="T111" s="431"/>
      <c r="U111" s="437"/>
    </row>
    <row r="112" spans="1:21">
      <c r="A112" s="421"/>
      <c r="B112" s="400"/>
      <c r="C112" s="400"/>
      <c r="D112" s="400"/>
      <c r="E112" s="400"/>
      <c r="F112" s="400"/>
      <c r="G112" s="400"/>
      <c r="H112" s="400"/>
      <c r="I112" s="400"/>
      <c r="J112" s="400"/>
      <c r="K112" s="400"/>
      <c r="L112" s="400"/>
      <c r="M112" s="422"/>
      <c r="O112" s="430"/>
      <c r="P112" s="430"/>
      <c r="Q112" s="436"/>
      <c r="R112" s="436"/>
      <c r="S112" s="431"/>
      <c r="T112" s="431"/>
      <c r="U112" s="437"/>
    </row>
    <row r="113" spans="1:21" s="7" customFormat="1" ht="20.100000000000001" customHeight="1">
      <c r="A113" s="401" t="s">
        <v>22</v>
      </c>
      <c r="B113" s="402" t="s">
        <v>151</v>
      </c>
      <c r="C113" s="403"/>
      <c r="D113" s="404"/>
      <c r="E113" s="172"/>
      <c r="F113" s="172"/>
      <c r="G113" s="172"/>
      <c r="H113" s="173"/>
      <c r="I113" s="173"/>
      <c r="J113" s="173"/>
      <c r="K113" s="173"/>
      <c r="L113" s="174"/>
      <c r="M113" s="175"/>
      <c r="O113" s="430"/>
      <c r="P113" s="430"/>
      <c r="Q113" s="430"/>
      <c r="R113" s="430"/>
      <c r="S113" s="431"/>
      <c r="T113" s="431"/>
      <c r="U113" s="431"/>
    </row>
    <row r="114" spans="1:21" s="7" customFormat="1" ht="20.100000000000001" customHeight="1">
      <c r="A114" s="233" t="s">
        <v>152</v>
      </c>
      <c r="B114" s="239" t="s">
        <v>261</v>
      </c>
      <c r="C114" s="236"/>
      <c r="D114" s="237"/>
      <c r="E114" s="117"/>
      <c r="F114" s="117"/>
      <c r="G114" s="117"/>
      <c r="H114" s="118"/>
      <c r="I114" s="118"/>
      <c r="J114" s="118"/>
      <c r="K114" s="118"/>
      <c r="L114" s="119"/>
      <c r="M114" s="111"/>
      <c r="O114" s="430"/>
      <c r="P114" s="430"/>
      <c r="Q114" s="430"/>
      <c r="R114" s="430"/>
      <c r="S114" s="431"/>
      <c r="T114" s="431"/>
      <c r="U114" s="431"/>
    </row>
    <row r="115" spans="1:21" s="7" customFormat="1" ht="20.100000000000001" customHeight="1">
      <c r="A115" s="235" t="s">
        <v>177</v>
      </c>
      <c r="B115" s="113" t="s">
        <v>251</v>
      </c>
      <c r="C115" s="236" t="s">
        <v>176</v>
      </c>
      <c r="D115" s="237"/>
      <c r="E115" s="117"/>
      <c r="F115" s="117"/>
      <c r="G115" s="117">
        <v>644</v>
      </c>
      <c r="H115" s="117">
        <v>42</v>
      </c>
      <c r="I115" s="118">
        <f>G115*H115</f>
        <v>27048</v>
      </c>
      <c r="J115" s="118"/>
      <c r="K115" s="118">
        <f>G115*J115</f>
        <v>0</v>
      </c>
      <c r="L115" s="119">
        <f>K115+I115</f>
        <v>27048</v>
      </c>
      <c r="M115" s="238"/>
      <c r="O115" s="449"/>
      <c r="P115" s="449"/>
      <c r="Q115" s="444"/>
      <c r="R115" s="444"/>
      <c r="S115" s="450"/>
      <c r="T115" s="450"/>
      <c r="U115" s="451"/>
    </row>
    <row r="116" spans="1:21" s="7" customFormat="1" ht="20.100000000000001" customHeight="1">
      <c r="A116" s="235" t="s">
        <v>195</v>
      </c>
      <c r="B116" s="298" t="s">
        <v>196</v>
      </c>
      <c r="C116" s="293" t="s">
        <v>179</v>
      </c>
      <c r="D116" s="294"/>
      <c r="E116" s="134"/>
      <c r="F116" s="134"/>
      <c r="G116" s="134">
        <v>6000</v>
      </c>
      <c r="H116" s="134"/>
      <c r="I116" s="135"/>
      <c r="J116" s="135"/>
      <c r="K116" s="135"/>
      <c r="L116" s="195">
        <v>6000</v>
      </c>
      <c r="M116" s="238"/>
      <c r="O116" s="430"/>
      <c r="P116" s="430"/>
      <c r="Q116" s="436"/>
      <c r="R116" s="436"/>
      <c r="S116" s="431"/>
      <c r="T116" s="431"/>
      <c r="U116" s="437"/>
    </row>
    <row r="117" spans="1:21" s="7" customFormat="1" ht="20.100000000000001" customHeight="1">
      <c r="A117" s="235"/>
      <c r="B117" s="113"/>
      <c r="C117" s="236"/>
      <c r="D117" s="237"/>
      <c r="E117" s="117"/>
      <c r="F117" s="117"/>
      <c r="G117" s="117"/>
      <c r="H117" s="117"/>
      <c r="I117" s="118"/>
      <c r="J117" s="118"/>
      <c r="K117" s="118"/>
      <c r="L117" s="119"/>
      <c r="M117" s="238"/>
      <c r="O117" s="430"/>
      <c r="P117" s="430"/>
      <c r="Q117" s="436"/>
      <c r="R117" s="436"/>
      <c r="S117" s="431"/>
      <c r="T117" s="431"/>
      <c r="U117" s="437"/>
    </row>
    <row r="118" spans="1:21" s="7" customFormat="1" ht="20.100000000000001" customHeight="1">
      <c r="A118" s="235"/>
      <c r="B118" s="113"/>
      <c r="C118" s="236"/>
      <c r="D118" s="237"/>
      <c r="E118" s="117"/>
      <c r="F118" s="117"/>
      <c r="G118" s="117"/>
      <c r="H118" s="117"/>
      <c r="I118" s="118"/>
      <c r="J118" s="118"/>
      <c r="K118" s="118"/>
      <c r="L118" s="119"/>
      <c r="M118" s="238"/>
      <c r="O118" s="430"/>
      <c r="P118" s="430"/>
      <c r="Q118" s="436"/>
      <c r="R118" s="436"/>
      <c r="S118" s="431"/>
      <c r="T118" s="431"/>
      <c r="U118" s="437"/>
    </row>
    <row r="119" spans="1:21" s="7" customFormat="1" ht="20.25" customHeight="1" thickBot="1">
      <c r="A119" s="235"/>
      <c r="B119" s="113"/>
      <c r="C119" s="236"/>
      <c r="D119" s="237"/>
      <c r="E119" s="117"/>
      <c r="F119" s="117"/>
      <c r="G119" s="117"/>
      <c r="H119" s="117"/>
      <c r="I119" s="118"/>
      <c r="J119" s="118"/>
      <c r="K119" s="118"/>
      <c r="L119" s="119"/>
      <c r="M119" s="238"/>
      <c r="O119" s="430"/>
      <c r="P119" s="430"/>
      <c r="Q119" s="436"/>
      <c r="R119" s="436"/>
      <c r="S119" s="431"/>
      <c r="T119" s="431"/>
      <c r="U119" s="437"/>
    </row>
    <row r="120" spans="1:21" s="7" customFormat="1" ht="20.100000000000001" customHeight="1" thickTop="1" thickBot="1">
      <c r="A120" s="43"/>
      <c r="B120" s="44" t="s">
        <v>153</v>
      </c>
      <c r="C120" s="48"/>
      <c r="D120" s="49"/>
      <c r="E120" s="50"/>
      <c r="F120" s="50"/>
      <c r="G120" s="50"/>
      <c r="H120" s="51"/>
      <c r="I120" s="36">
        <f>SUM(I115:I119)</f>
        <v>27048</v>
      </c>
      <c r="J120" s="51"/>
      <c r="K120" s="36">
        <f>SUM(K89:K119)</f>
        <v>0</v>
      </c>
      <c r="L120" s="36">
        <f>SUM(L115:L119)</f>
        <v>33048</v>
      </c>
      <c r="M120" s="37"/>
      <c r="O120" s="430"/>
      <c r="P120" s="430"/>
      <c r="Q120" s="436"/>
      <c r="R120" s="436"/>
      <c r="S120" s="431"/>
      <c r="T120" s="431"/>
      <c r="U120" s="437"/>
    </row>
    <row r="121" spans="1:21" s="7" customFormat="1" ht="23.25" customHeight="1" thickTop="1">
      <c r="A121" s="79" t="s">
        <v>23</v>
      </c>
      <c r="B121" s="80" t="s">
        <v>156</v>
      </c>
      <c r="C121" s="179" t="s">
        <v>34</v>
      </c>
      <c r="D121" s="180"/>
      <c r="E121" s="181"/>
      <c r="F121" s="181"/>
      <c r="G121" s="181"/>
      <c r="H121" s="182"/>
      <c r="I121" s="182"/>
      <c r="J121" s="182"/>
      <c r="K121" s="182"/>
      <c r="L121" s="183"/>
      <c r="M121" s="184"/>
      <c r="O121" s="430"/>
      <c r="P121" s="430"/>
      <c r="Q121" s="436"/>
      <c r="R121" s="436"/>
      <c r="S121" s="431"/>
      <c r="T121" s="431"/>
      <c r="U121" s="437"/>
    </row>
    <row r="122" spans="1:21" s="7" customFormat="1" ht="23.25" customHeight="1">
      <c r="A122" s="241" t="s">
        <v>154</v>
      </c>
      <c r="B122" s="242" t="s">
        <v>252</v>
      </c>
      <c r="C122" s="114" t="s">
        <v>199</v>
      </c>
      <c r="D122" s="234"/>
      <c r="E122" s="108"/>
      <c r="F122" s="108"/>
      <c r="G122" s="108">
        <v>2</v>
      </c>
      <c r="H122" s="109">
        <v>2000</v>
      </c>
      <c r="I122" s="118">
        <f>G122*H122</f>
        <v>4000</v>
      </c>
      <c r="J122" s="118"/>
      <c r="K122" s="118">
        <f>G122*J122</f>
        <v>0</v>
      </c>
      <c r="L122" s="119">
        <f>K122+I122</f>
        <v>4000</v>
      </c>
      <c r="M122" s="111"/>
      <c r="O122" s="430"/>
      <c r="P122" s="430"/>
      <c r="Q122" s="436"/>
      <c r="R122" s="436"/>
      <c r="S122" s="431"/>
      <c r="T122" s="431"/>
      <c r="U122" s="437"/>
    </row>
    <row r="123" spans="1:21" s="7" customFormat="1" ht="23.25" customHeight="1">
      <c r="A123" s="235"/>
      <c r="B123" s="240"/>
      <c r="C123" s="236"/>
      <c r="D123" s="115">
        <v>0</v>
      </c>
      <c r="E123" s="116">
        <f>32*2</f>
        <v>64</v>
      </c>
      <c r="F123" s="117"/>
      <c r="G123" s="117"/>
      <c r="H123" s="117"/>
      <c r="I123" s="118"/>
      <c r="J123" s="118"/>
      <c r="K123" s="118"/>
      <c r="L123" s="119"/>
      <c r="M123" s="85"/>
      <c r="O123" s="430"/>
      <c r="P123" s="430"/>
      <c r="Q123" s="436"/>
      <c r="R123" s="436"/>
      <c r="S123" s="431"/>
      <c r="T123" s="431"/>
      <c r="U123" s="437"/>
    </row>
    <row r="124" spans="1:21" s="7" customFormat="1" ht="20.100000000000001" customHeight="1">
      <c r="A124" s="235" t="s">
        <v>263</v>
      </c>
      <c r="B124" s="242" t="s">
        <v>253</v>
      </c>
      <c r="C124" s="114" t="s">
        <v>199</v>
      </c>
      <c r="D124" s="115">
        <v>0</v>
      </c>
      <c r="E124" s="116">
        <f>4.38*2</f>
        <v>8.76</v>
      </c>
      <c r="F124" s="117"/>
      <c r="G124" s="117">
        <v>1</v>
      </c>
      <c r="H124" s="117">
        <v>20537.5</v>
      </c>
      <c r="I124" s="118">
        <f>G124*H124</f>
        <v>20537.5</v>
      </c>
      <c r="J124" s="118"/>
      <c r="K124" s="118">
        <f>G124*J124</f>
        <v>0</v>
      </c>
      <c r="L124" s="119">
        <f>K124+I124</f>
        <v>20537.5</v>
      </c>
      <c r="M124" s="85"/>
      <c r="O124" s="430"/>
      <c r="P124" s="430"/>
      <c r="Q124" s="436"/>
      <c r="R124" s="436"/>
      <c r="S124" s="431"/>
      <c r="T124" s="431"/>
      <c r="U124" s="437"/>
    </row>
    <row r="125" spans="1:21" s="7" customFormat="1" ht="20.100000000000001" customHeight="1">
      <c r="A125" s="235"/>
      <c r="B125" s="276"/>
      <c r="C125" s="114"/>
      <c r="D125" s="115">
        <v>0</v>
      </c>
      <c r="E125" s="116">
        <f>6*3.12*2</f>
        <v>37.44</v>
      </c>
      <c r="F125" s="117"/>
      <c r="G125" s="117"/>
      <c r="H125" s="117"/>
      <c r="I125" s="118"/>
      <c r="J125" s="118"/>
      <c r="K125" s="118"/>
      <c r="L125" s="119"/>
      <c r="M125" s="85"/>
      <c r="O125" s="430"/>
      <c r="P125" s="430"/>
      <c r="Q125" s="436"/>
      <c r="R125" s="436"/>
      <c r="S125" s="431"/>
      <c r="T125" s="431"/>
      <c r="U125" s="437"/>
    </row>
    <row r="126" spans="1:21" s="7" customFormat="1" ht="20.100000000000001" customHeight="1">
      <c r="A126" s="235" t="s">
        <v>264</v>
      </c>
      <c r="B126" s="242" t="s">
        <v>265</v>
      </c>
      <c r="C126" s="114" t="s">
        <v>199</v>
      </c>
      <c r="D126" s="115"/>
      <c r="E126" s="116"/>
      <c r="F126" s="117"/>
      <c r="G126" s="117">
        <v>1</v>
      </c>
      <c r="H126" s="117">
        <v>10800</v>
      </c>
      <c r="I126" s="118">
        <f>G126*H126</f>
        <v>10800</v>
      </c>
      <c r="J126" s="118"/>
      <c r="K126" s="118">
        <f>G126*J126</f>
        <v>0</v>
      </c>
      <c r="L126" s="119">
        <f>K126+I126</f>
        <v>10800</v>
      </c>
      <c r="M126" s="85"/>
      <c r="O126" s="430"/>
      <c r="P126" s="430"/>
      <c r="Q126" s="436"/>
      <c r="R126" s="436"/>
      <c r="S126" s="431"/>
      <c r="T126" s="431"/>
      <c r="U126" s="437"/>
    </row>
    <row r="127" spans="1:21" s="7" customFormat="1" ht="20.100000000000001" customHeight="1">
      <c r="A127" s="235"/>
      <c r="B127" s="224"/>
      <c r="C127" s="114"/>
      <c r="D127" s="115"/>
      <c r="E127" s="116"/>
      <c r="F127" s="117"/>
      <c r="G127" s="117"/>
      <c r="H127" s="117"/>
      <c r="I127" s="118"/>
      <c r="J127" s="118"/>
      <c r="K127" s="118"/>
      <c r="L127" s="119"/>
      <c r="M127" s="85"/>
      <c r="O127" s="430"/>
      <c r="P127" s="430"/>
      <c r="Q127" s="436"/>
      <c r="R127" s="436"/>
      <c r="S127" s="431"/>
      <c r="T127" s="431"/>
      <c r="U127" s="437"/>
    </row>
    <row r="128" spans="1:21" s="7" customFormat="1" ht="20.100000000000001" customHeight="1">
      <c r="A128" s="235" t="s">
        <v>267</v>
      </c>
      <c r="B128" s="242" t="s">
        <v>266</v>
      </c>
      <c r="C128" s="114" t="s">
        <v>199</v>
      </c>
      <c r="D128" s="115"/>
      <c r="E128" s="116"/>
      <c r="F128" s="117"/>
      <c r="G128" s="117">
        <v>1</v>
      </c>
      <c r="H128" s="117">
        <v>12600</v>
      </c>
      <c r="I128" s="118">
        <f>G128*H128</f>
        <v>12600</v>
      </c>
      <c r="J128" s="118"/>
      <c r="K128" s="118">
        <f>G128*J128</f>
        <v>0</v>
      </c>
      <c r="L128" s="119">
        <f>K128+I128</f>
        <v>12600</v>
      </c>
      <c r="M128" s="85"/>
      <c r="O128" s="430"/>
      <c r="P128" s="430"/>
      <c r="Q128" s="436"/>
      <c r="R128" s="436"/>
      <c r="S128" s="431"/>
      <c r="T128" s="431"/>
      <c r="U128" s="437"/>
    </row>
    <row r="129" spans="1:21" s="7" customFormat="1" ht="20.100000000000001" customHeight="1">
      <c r="A129" s="332"/>
      <c r="B129" s="333"/>
      <c r="C129" s="216"/>
      <c r="D129" s="217">
        <v>0</v>
      </c>
      <c r="E129" s="218">
        <f>6*3.12*2</f>
        <v>37.44</v>
      </c>
      <c r="F129" s="219"/>
      <c r="G129" s="219"/>
      <c r="H129" s="219"/>
      <c r="I129" s="220"/>
      <c r="J129" s="220"/>
      <c r="K129" s="220"/>
      <c r="L129" s="221"/>
      <c r="M129" s="95"/>
      <c r="O129" s="430"/>
      <c r="P129" s="430"/>
      <c r="Q129" s="436"/>
      <c r="R129" s="436"/>
      <c r="S129" s="431"/>
      <c r="T129" s="431"/>
      <c r="U129" s="437"/>
    </row>
    <row r="130" spans="1:21" s="7" customFormat="1" ht="20.100000000000001" customHeight="1">
      <c r="A130" s="423" t="s">
        <v>269</v>
      </c>
      <c r="B130" s="405" t="s">
        <v>268</v>
      </c>
      <c r="C130" s="406" t="s">
        <v>199</v>
      </c>
      <c r="D130" s="407"/>
      <c r="E130" s="408"/>
      <c r="F130" s="322"/>
      <c r="G130" s="409">
        <v>1</v>
      </c>
      <c r="H130" s="410">
        <v>21862.5</v>
      </c>
      <c r="I130" s="118">
        <f>G130*H130</f>
        <v>21862.5</v>
      </c>
      <c r="J130" s="118"/>
      <c r="K130" s="118">
        <f>G130*J130</f>
        <v>0</v>
      </c>
      <c r="L130" s="119">
        <f>K130+I130</f>
        <v>21862.5</v>
      </c>
      <c r="M130" s="424"/>
      <c r="O130" s="430"/>
      <c r="P130" s="430"/>
      <c r="Q130" s="436"/>
      <c r="R130" s="436"/>
      <c r="S130" s="431"/>
      <c r="T130" s="431"/>
      <c r="U130" s="437"/>
    </row>
    <row r="131" spans="1:21" s="7" customFormat="1" ht="20.100000000000001" customHeight="1">
      <c r="A131" s="361"/>
      <c r="C131" s="398"/>
      <c r="H131" s="398"/>
      <c r="J131" s="301"/>
      <c r="L131" s="301"/>
      <c r="M131" s="370"/>
      <c r="O131" s="430"/>
      <c r="P131" s="430"/>
      <c r="Q131" s="436"/>
      <c r="R131" s="436"/>
      <c r="S131" s="431"/>
      <c r="T131" s="431"/>
      <c r="U131" s="437"/>
    </row>
    <row r="132" spans="1:21" s="7" customFormat="1" ht="20.100000000000001" customHeight="1">
      <c r="A132" s="423" t="s">
        <v>392</v>
      </c>
      <c r="B132" s="405" t="s">
        <v>393</v>
      </c>
      <c r="C132" s="406" t="s">
        <v>199</v>
      </c>
      <c r="D132" s="411"/>
      <c r="E132" s="411"/>
      <c r="F132" s="411"/>
      <c r="G132" s="409">
        <v>1</v>
      </c>
      <c r="H132" s="412">
        <v>4900</v>
      </c>
      <c r="I132" s="118">
        <f>G132*H132</f>
        <v>4900</v>
      </c>
      <c r="J132" s="118"/>
      <c r="K132" s="118">
        <f>G132*J132</f>
        <v>0</v>
      </c>
      <c r="L132" s="119">
        <f>K132+I132</f>
        <v>4900</v>
      </c>
      <c r="M132" s="425"/>
      <c r="O132" s="430"/>
      <c r="P132" s="430"/>
      <c r="Q132" s="436"/>
      <c r="R132" s="436"/>
      <c r="S132" s="431"/>
      <c r="T132" s="431"/>
      <c r="U132" s="437"/>
    </row>
    <row r="133" spans="1:21" s="7" customFormat="1" ht="20.100000000000001" customHeight="1" thickBot="1">
      <c r="A133" s="426"/>
      <c r="B133" s="413"/>
      <c r="C133" s="278"/>
      <c r="D133" s="414">
        <v>0</v>
      </c>
      <c r="E133" s="415">
        <v>530</v>
      </c>
      <c r="F133" s="416"/>
      <c r="G133" s="416"/>
      <c r="H133" s="281"/>
      <c r="I133" s="417"/>
      <c r="J133" s="418"/>
      <c r="K133" s="417"/>
      <c r="L133" s="282"/>
      <c r="M133" s="427"/>
      <c r="O133" s="430"/>
      <c r="P133" s="430"/>
      <c r="Q133" s="436"/>
      <c r="R133" s="436"/>
      <c r="S133" s="431"/>
      <c r="T133" s="431"/>
      <c r="U133" s="437"/>
    </row>
    <row r="134" spans="1:21" s="1" customFormat="1" ht="20.100000000000001" customHeight="1" thickTop="1" thickBot="1">
      <c r="A134" s="43"/>
      <c r="B134" s="44" t="s">
        <v>155</v>
      </c>
      <c r="C134" s="48"/>
      <c r="D134" s="49"/>
      <c r="E134" s="50"/>
      <c r="F134" s="50"/>
      <c r="G134" s="50"/>
      <c r="H134" s="51"/>
      <c r="I134" s="36">
        <f>SUM(I122:I133)</f>
        <v>74700</v>
      </c>
      <c r="J134" s="51"/>
      <c r="K134" s="36">
        <f>SUM(K103:K133)</f>
        <v>0</v>
      </c>
      <c r="L134" s="36">
        <f>SUM(L122:L133)</f>
        <v>74700</v>
      </c>
      <c r="M134" s="37"/>
      <c r="O134" s="430"/>
      <c r="P134" s="430"/>
      <c r="Q134" s="436"/>
      <c r="R134" s="436"/>
      <c r="S134" s="431"/>
      <c r="T134" s="431"/>
      <c r="U134" s="437"/>
    </row>
    <row r="135" spans="1:21" s="1" customFormat="1" ht="20.100000000000001" customHeight="1" thickTop="1" thickBot="1">
      <c r="A135" s="45"/>
      <c r="B135" s="46" t="s">
        <v>157</v>
      </c>
      <c r="C135" s="46"/>
      <c r="D135" s="47"/>
      <c r="E135" s="40"/>
      <c r="F135" s="40"/>
      <c r="G135" s="40"/>
      <c r="H135" s="41"/>
      <c r="I135" s="41">
        <f>I33+I42+I54+I73+I110+I120+I134</f>
        <v>607524.6</v>
      </c>
      <c r="J135" s="41"/>
      <c r="K135" s="41">
        <f>K33+K42+K54+K73+K110+K120+K134</f>
        <v>87758.5</v>
      </c>
      <c r="L135" s="41">
        <f>L33+L42+L54+L73+L110+L120+L134</f>
        <v>704283.1</v>
      </c>
      <c r="M135" s="42"/>
      <c r="O135" s="430"/>
      <c r="P135" s="430"/>
      <c r="Q135" s="436"/>
      <c r="R135" s="436"/>
      <c r="S135" s="431"/>
      <c r="T135" s="431"/>
      <c r="U135" s="437"/>
    </row>
    <row r="136" spans="1:21" s="7" customFormat="1" ht="20.100000000000001" customHeight="1">
      <c r="O136" s="430"/>
      <c r="P136" s="430"/>
      <c r="Q136" s="436"/>
      <c r="R136" s="436"/>
      <c r="S136" s="431"/>
      <c r="T136" s="431"/>
      <c r="U136" s="437"/>
    </row>
    <row r="137" spans="1:21" s="7" customFormat="1" ht="20.100000000000001" customHeight="1">
      <c r="O137" s="430"/>
      <c r="P137" s="430"/>
      <c r="Q137" s="430"/>
      <c r="R137" s="430"/>
      <c r="S137" s="431"/>
      <c r="T137" s="431"/>
      <c r="U137" s="431"/>
    </row>
    <row r="138" spans="1:21" s="7" customFormat="1" ht="20.100000000000001" customHeight="1">
      <c r="O138" s="430"/>
      <c r="P138" s="430"/>
      <c r="Q138" s="430"/>
      <c r="R138" s="430"/>
      <c r="S138" s="431"/>
      <c r="T138" s="431"/>
      <c r="U138" s="431"/>
    </row>
    <row r="139" spans="1:21" s="7" customFormat="1" ht="20.100000000000001" customHeight="1">
      <c r="O139" s="430"/>
      <c r="P139" s="430"/>
      <c r="Q139" s="436"/>
      <c r="R139" s="436"/>
      <c r="S139" s="431"/>
      <c r="T139" s="431"/>
      <c r="U139" s="437"/>
    </row>
    <row r="140" spans="1:21" s="7" customFormat="1" ht="20.100000000000001" customHeight="1">
      <c r="O140" s="430"/>
      <c r="P140" s="430"/>
      <c r="Q140" s="436"/>
      <c r="R140" s="436"/>
      <c r="S140" s="431"/>
      <c r="T140" s="431"/>
      <c r="U140" s="437"/>
    </row>
    <row r="141" spans="1:21" s="7" customFormat="1" ht="20.100000000000001" customHeight="1">
      <c r="O141" s="430"/>
      <c r="P141" s="430"/>
      <c r="Q141" s="436"/>
      <c r="R141" s="436"/>
      <c r="S141" s="431"/>
      <c r="T141" s="431"/>
      <c r="U141" s="437"/>
    </row>
    <row r="142" spans="1:21" s="7" customFormat="1" ht="20.100000000000001" customHeight="1">
      <c r="O142" s="430"/>
      <c r="P142" s="430"/>
      <c r="Q142" s="436"/>
      <c r="R142" s="436"/>
      <c r="S142" s="431"/>
      <c r="T142" s="431"/>
      <c r="U142" s="437"/>
    </row>
    <row r="143" spans="1:21" s="7" customFormat="1" ht="34.5" customHeight="1">
      <c r="O143" s="430"/>
      <c r="P143" s="430"/>
      <c r="Q143" s="436"/>
      <c r="R143" s="436"/>
      <c r="S143" s="431"/>
      <c r="T143" s="431"/>
      <c r="U143" s="437"/>
    </row>
    <row r="144" spans="1:21" s="7" customFormat="1" ht="20.25" customHeight="1">
      <c r="O144" s="430"/>
      <c r="P144" s="430"/>
      <c r="Q144" s="436"/>
      <c r="R144" s="436"/>
      <c r="S144" s="431"/>
      <c r="T144" s="431"/>
      <c r="U144" s="437"/>
    </row>
    <row r="145" spans="15:21" s="7" customFormat="1" ht="20.100000000000001" customHeight="1">
      <c r="O145" s="430"/>
      <c r="P145" s="430"/>
      <c r="Q145" s="436"/>
      <c r="R145" s="436"/>
      <c r="S145" s="431"/>
      <c r="T145" s="431"/>
      <c r="U145" s="437"/>
    </row>
    <row r="146" spans="15:21" s="1" customFormat="1" ht="20.100000000000001" customHeight="1">
      <c r="O146" s="430"/>
      <c r="P146" s="430"/>
      <c r="Q146" s="436"/>
      <c r="R146" s="436"/>
      <c r="S146" s="431"/>
      <c r="T146" s="431"/>
      <c r="U146" s="437"/>
    </row>
    <row r="147" spans="15:21" s="1" customFormat="1" ht="20.100000000000001" customHeight="1">
      <c r="O147" s="430"/>
      <c r="P147" s="430"/>
      <c r="Q147" s="436"/>
      <c r="R147" s="436"/>
      <c r="S147" s="431"/>
      <c r="T147" s="431"/>
      <c r="U147" s="437"/>
    </row>
    <row r="148" spans="15:21" s="7" customFormat="1" ht="20.100000000000001" customHeight="1">
      <c r="O148" s="430"/>
      <c r="P148" s="430"/>
      <c r="Q148" s="436"/>
      <c r="R148" s="436"/>
      <c r="S148" s="431"/>
      <c r="T148" s="431"/>
      <c r="U148" s="437"/>
    </row>
    <row r="149" spans="15:21" s="7" customFormat="1" ht="20.100000000000001" customHeight="1">
      <c r="O149" s="430"/>
      <c r="P149" s="430"/>
      <c r="Q149" s="430"/>
      <c r="R149" s="430"/>
      <c r="S149" s="431"/>
      <c r="T149" s="431"/>
      <c r="U149" s="431"/>
    </row>
    <row r="150" spans="15:21" s="7" customFormat="1" ht="20.100000000000001" customHeight="1">
      <c r="O150" s="430"/>
      <c r="P150" s="430"/>
      <c r="Q150" s="430"/>
      <c r="R150" s="430"/>
      <c r="S150" s="431"/>
      <c r="T150" s="431"/>
      <c r="U150" s="431"/>
    </row>
    <row r="151" spans="15:21" s="7" customFormat="1" ht="40.5" customHeight="1">
      <c r="O151" s="430"/>
      <c r="P151" s="430"/>
      <c r="Q151" s="436"/>
      <c r="R151" s="436"/>
      <c r="S151" s="431"/>
      <c r="T151" s="431"/>
      <c r="U151" s="437"/>
    </row>
    <row r="152" spans="15:21" s="7" customFormat="1" ht="21" customHeight="1">
      <c r="O152" s="430"/>
      <c r="P152" s="430"/>
      <c r="Q152" s="436"/>
      <c r="R152" s="436"/>
      <c r="S152" s="431"/>
      <c r="T152" s="431"/>
      <c r="U152" s="437"/>
    </row>
    <row r="153" spans="15:21" s="7" customFormat="1" ht="20.100000000000001" customHeight="1">
      <c r="O153" s="430"/>
      <c r="P153" s="430"/>
      <c r="Q153" s="436"/>
      <c r="R153" s="436"/>
      <c r="S153" s="431"/>
      <c r="T153" s="431"/>
      <c r="U153" s="437"/>
    </row>
    <row r="154" spans="15:21" s="1" customFormat="1" ht="20.100000000000001" customHeight="1">
      <c r="O154" s="430"/>
      <c r="P154" s="430"/>
      <c r="Q154" s="436"/>
      <c r="R154" s="436"/>
      <c r="S154" s="431"/>
      <c r="T154" s="431"/>
      <c r="U154" s="437"/>
    </row>
    <row r="155" spans="15:21" s="7" customFormat="1" ht="20.100000000000001" customHeight="1">
      <c r="O155" s="430"/>
      <c r="P155" s="430"/>
      <c r="Q155" s="436"/>
      <c r="R155" s="436"/>
      <c r="S155" s="431"/>
      <c r="T155" s="431"/>
      <c r="U155" s="437"/>
    </row>
    <row r="156" spans="15:21" s="1" customFormat="1" ht="20.100000000000001" customHeight="1">
      <c r="O156" s="430"/>
      <c r="P156" s="430"/>
      <c r="Q156" s="436"/>
      <c r="R156" s="436"/>
      <c r="S156" s="431"/>
      <c r="T156" s="431"/>
      <c r="U156" s="437"/>
    </row>
    <row r="157" spans="15:21">
      <c r="O157" s="430"/>
      <c r="P157" s="430"/>
      <c r="Q157" s="430"/>
      <c r="R157" s="430"/>
      <c r="S157" s="431"/>
      <c r="T157" s="431"/>
      <c r="U157" s="431"/>
    </row>
    <row r="158" spans="15:21">
      <c r="O158" s="430"/>
      <c r="P158" s="430"/>
      <c r="Q158" s="436"/>
      <c r="R158" s="436"/>
      <c r="S158" s="431"/>
      <c r="T158" s="431"/>
      <c r="U158" s="437"/>
    </row>
    <row r="159" spans="15:21">
      <c r="O159" s="430"/>
      <c r="P159" s="430"/>
      <c r="Q159" s="430"/>
      <c r="R159" s="430"/>
      <c r="S159" s="431"/>
      <c r="T159" s="431"/>
      <c r="U159" s="431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r:id="rId1"/>
  <headerFooter alignWithMargins="0">
    <oddFooter>&amp;C&amp;A : &amp;P / &amp;N</oddFooter>
  </headerFooter>
  <rowBreaks count="1" manualBreakCount="1">
    <brk id="3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68"/>
  <sheetViews>
    <sheetView view="pageBreakPreview" zoomScale="80" zoomScaleNormal="75" workbookViewId="0">
      <pane xSplit="7" ySplit="8" topLeftCell="H57" activePane="bottomRight" state="frozen"/>
      <selection activeCell="P4" sqref="P4"/>
      <selection pane="topRight" activeCell="P4" sqref="P4"/>
      <selection pane="bottomLeft" activeCell="P4" sqref="P4"/>
      <selection pane="bottomRight" activeCell="O65" sqref="O65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</row>
    <row r="2" spans="1:13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69" t="s">
        <v>256</v>
      </c>
      <c r="K4" s="469"/>
      <c r="L4" s="469"/>
      <c r="M4" s="470"/>
    </row>
    <row r="5" spans="1:13" s="1" customFormat="1" ht="20.100000000000001" customHeight="1" thickBot="1">
      <c r="A5" s="136" t="s">
        <v>394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81" t="s">
        <v>3</v>
      </c>
      <c r="B6" s="483" t="s">
        <v>4</v>
      </c>
      <c r="C6" s="483" t="s">
        <v>38</v>
      </c>
      <c r="D6" s="30" t="s">
        <v>47</v>
      </c>
      <c r="E6" s="31" t="s">
        <v>39</v>
      </c>
      <c r="F6" s="31" t="s">
        <v>39</v>
      </c>
      <c r="G6" s="485" t="s">
        <v>39</v>
      </c>
      <c r="H6" s="477" t="s">
        <v>40</v>
      </c>
      <c r="I6" s="478"/>
      <c r="J6" s="479" t="s">
        <v>41</v>
      </c>
      <c r="K6" s="480"/>
      <c r="L6" s="32" t="s">
        <v>6</v>
      </c>
      <c r="M6" s="475" t="s">
        <v>42</v>
      </c>
    </row>
    <row r="7" spans="1:13" s="25" customFormat="1" ht="20.100000000000001" customHeight="1" thickBot="1">
      <c r="A7" s="482"/>
      <c r="B7" s="484"/>
      <c r="C7" s="484"/>
      <c r="D7" s="33" t="s">
        <v>48</v>
      </c>
      <c r="E7" s="189"/>
      <c r="F7" s="189"/>
      <c r="G7" s="486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6"/>
    </row>
    <row r="8" spans="1:13" s="1" customFormat="1" ht="20.100000000000001" customHeight="1">
      <c r="A8" s="29" t="s">
        <v>158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563" t="s">
        <v>277</v>
      </c>
      <c r="B9" s="93" t="s">
        <v>278</v>
      </c>
      <c r="C9" s="94"/>
      <c r="D9" s="243">
        <v>0</v>
      </c>
      <c r="E9" s="244">
        <v>1</v>
      </c>
      <c r="F9" s="245"/>
      <c r="G9" s="245"/>
      <c r="H9" s="246"/>
      <c r="I9" s="247"/>
      <c r="J9" s="246"/>
      <c r="K9" s="247"/>
      <c r="L9" s="248"/>
      <c r="M9" s="249"/>
    </row>
    <row r="10" spans="1:13" ht="18" customHeight="1">
      <c r="A10" s="251"/>
      <c r="B10" s="191" t="s">
        <v>409</v>
      </c>
      <c r="C10" s="114" t="s">
        <v>124</v>
      </c>
      <c r="D10" s="115"/>
      <c r="E10" s="116"/>
      <c r="F10" s="116"/>
      <c r="G10" s="117">
        <v>1</v>
      </c>
      <c r="H10" s="245">
        <v>1465</v>
      </c>
      <c r="I10" s="118">
        <f t="shared" ref="I10:I16" si="0">G10*H10</f>
        <v>1465</v>
      </c>
      <c r="J10" s="118">
        <v>110</v>
      </c>
      <c r="K10" s="118">
        <f>G10*J10</f>
        <v>110</v>
      </c>
      <c r="L10" s="119">
        <f t="shared" ref="L10:L16" si="1">SUM(I10+K10)</f>
        <v>1575</v>
      </c>
      <c r="M10" s="85"/>
    </row>
    <row r="11" spans="1:13" ht="18" customHeight="1">
      <c r="A11" s="251"/>
      <c r="B11" s="191" t="s">
        <v>410</v>
      </c>
      <c r="C11" s="114" t="s">
        <v>124</v>
      </c>
      <c r="D11" s="115"/>
      <c r="E11" s="116"/>
      <c r="F11" s="116"/>
      <c r="G11" s="117">
        <v>1</v>
      </c>
      <c r="H11" s="245">
        <v>1100</v>
      </c>
      <c r="I11" s="118">
        <f t="shared" si="0"/>
        <v>1100</v>
      </c>
      <c r="J11" s="118">
        <v>110</v>
      </c>
      <c r="K11" s="118">
        <f t="shared" ref="K11:K16" si="2">G11*J11</f>
        <v>110</v>
      </c>
      <c r="L11" s="119">
        <f t="shared" si="1"/>
        <v>1210</v>
      </c>
      <c r="M11" s="85"/>
    </row>
    <row r="12" spans="1:13" ht="18" customHeight="1">
      <c r="A12" s="251"/>
      <c r="B12" s="191" t="s">
        <v>279</v>
      </c>
      <c r="C12" s="114" t="s">
        <v>124</v>
      </c>
      <c r="D12" s="115">
        <v>0</v>
      </c>
      <c r="E12" s="116">
        <v>12</v>
      </c>
      <c r="F12" s="117"/>
      <c r="G12" s="117">
        <v>6</v>
      </c>
      <c r="H12" s="245">
        <v>110</v>
      </c>
      <c r="I12" s="118">
        <f t="shared" si="0"/>
        <v>660</v>
      </c>
      <c r="J12" s="118">
        <v>110</v>
      </c>
      <c r="K12" s="118">
        <f t="shared" si="2"/>
        <v>660</v>
      </c>
      <c r="L12" s="119">
        <f t="shared" si="1"/>
        <v>1320</v>
      </c>
      <c r="M12" s="85"/>
    </row>
    <row r="13" spans="1:13" ht="18" customHeight="1">
      <c r="A13" s="251"/>
      <c r="B13" s="191" t="s">
        <v>280</v>
      </c>
      <c r="C13" s="114" t="s">
        <v>124</v>
      </c>
      <c r="D13" s="115">
        <v>0</v>
      </c>
      <c r="E13" s="116">
        <v>12</v>
      </c>
      <c r="F13" s="117"/>
      <c r="G13" s="117">
        <v>3</v>
      </c>
      <c r="H13" s="245">
        <v>1450</v>
      </c>
      <c r="I13" s="118">
        <f t="shared" si="0"/>
        <v>4350</v>
      </c>
      <c r="J13" s="118">
        <v>110</v>
      </c>
      <c r="K13" s="118">
        <f t="shared" si="2"/>
        <v>330</v>
      </c>
      <c r="L13" s="119">
        <f t="shared" si="1"/>
        <v>4680</v>
      </c>
      <c r="M13" s="85"/>
    </row>
    <row r="14" spans="1:13" ht="18" customHeight="1">
      <c r="A14" s="251"/>
      <c r="B14" s="191" t="s">
        <v>281</v>
      </c>
      <c r="C14" s="114" t="s">
        <v>124</v>
      </c>
      <c r="D14" s="115">
        <v>0</v>
      </c>
      <c r="E14" s="116">
        <v>12</v>
      </c>
      <c r="F14" s="117"/>
      <c r="G14" s="117">
        <v>1</v>
      </c>
      <c r="H14" s="245">
        <v>1450</v>
      </c>
      <c r="I14" s="118">
        <f t="shared" si="0"/>
        <v>1450</v>
      </c>
      <c r="J14" s="118">
        <v>110</v>
      </c>
      <c r="K14" s="118">
        <f t="shared" si="2"/>
        <v>110</v>
      </c>
      <c r="L14" s="119">
        <f t="shared" si="1"/>
        <v>1560</v>
      </c>
      <c r="M14" s="85"/>
    </row>
    <row r="15" spans="1:13" ht="18" customHeight="1">
      <c r="A15" s="251"/>
      <c r="B15" s="191" t="s">
        <v>282</v>
      </c>
      <c r="C15" s="114" t="s">
        <v>124</v>
      </c>
      <c r="D15" s="115">
        <v>0</v>
      </c>
      <c r="E15" s="116">
        <v>12</v>
      </c>
      <c r="F15" s="117"/>
      <c r="G15" s="117">
        <v>1</v>
      </c>
      <c r="H15" s="245">
        <v>800</v>
      </c>
      <c r="I15" s="335">
        <f t="shared" si="0"/>
        <v>800</v>
      </c>
      <c r="J15" s="335">
        <v>200</v>
      </c>
      <c r="K15" s="118">
        <f t="shared" si="2"/>
        <v>200</v>
      </c>
      <c r="L15" s="119">
        <f t="shared" si="1"/>
        <v>1000</v>
      </c>
      <c r="M15" s="85"/>
    </row>
    <row r="16" spans="1:13" ht="18" customHeight="1" thickBot="1">
      <c r="A16" s="251"/>
      <c r="B16" s="191" t="s">
        <v>283</v>
      </c>
      <c r="C16" s="114" t="s">
        <v>124</v>
      </c>
      <c r="D16" s="115">
        <v>0</v>
      </c>
      <c r="E16" s="116">
        <v>12</v>
      </c>
      <c r="F16" s="117"/>
      <c r="G16" s="117">
        <v>1</v>
      </c>
      <c r="H16" s="245">
        <v>1900</v>
      </c>
      <c r="I16" s="335">
        <f t="shared" si="0"/>
        <v>1900</v>
      </c>
      <c r="J16" s="335">
        <v>400</v>
      </c>
      <c r="K16" s="118">
        <f t="shared" si="2"/>
        <v>400</v>
      </c>
      <c r="L16" s="119">
        <f t="shared" si="1"/>
        <v>2300</v>
      </c>
      <c r="M16" s="85"/>
    </row>
    <row r="17" spans="1:13" s="7" customFormat="1" ht="15" thickTop="1" thickBot="1">
      <c r="A17" s="252"/>
      <c r="B17" s="44" t="s">
        <v>159</v>
      </c>
      <c r="C17" s="48"/>
      <c r="D17" s="49"/>
      <c r="E17" s="50"/>
      <c r="F17" s="50"/>
      <c r="G17" s="50"/>
      <c r="H17" s="51"/>
      <c r="I17" s="36">
        <f>SUM(I10:I16)</f>
        <v>11725</v>
      </c>
      <c r="J17" s="51"/>
      <c r="K17" s="36">
        <f>SUM(K10:K16)</f>
        <v>1920</v>
      </c>
      <c r="L17" s="36">
        <f>SUM(L10:L16)</f>
        <v>13645</v>
      </c>
      <c r="M17" s="37"/>
    </row>
    <row r="18" spans="1:13" ht="20.100000000000001" customHeight="1" thickTop="1">
      <c r="A18" s="98" t="s">
        <v>174</v>
      </c>
      <c r="B18" s="99" t="s">
        <v>284</v>
      </c>
      <c r="C18" s="73"/>
      <c r="D18" s="74"/>
      <c r="E18" s="250"/>
      <c r="F18" s="128"/>
      <c r="G18" s="75"/>
      <c r="H18" s="76"/>
      <c r="I18" s="76"/>
      <c r="J18" s="76"/>
      <c r="K18" s="76"/>
      <c r="L18" s="77"/>
      <c r="M18" s="78"/>
    </row>
    <row r="19" spans="1:13" ht="20.100000000000001" customHeight="1">
      <c r="A19" s="251"/>
      <c r="B19" s="191" t="s">
        <v>411</v>
      </c>
      <c r="C19" s="114" t="s">
        <v>285</v>
      </c>
      <c r="D19" s="115">
        <v>0</v>
      </c>
      <c r="E19" s="116"/>
      <c r="F19" s="116">
        <v>3</v>
      </c>
      <c r="G19" s="117">
        <f>30</f>
        <v>30</v>
      </c>
      <c r="H19" s="117">
        <v>53.94</v>
      </c>
      <c r="I19" s="118">
        <f>G19*H19</f>
        <v>1618.1999999999998</v>
      </c>
      <c r="J19" s="117">
        <v>20</v>
      </c>
      <c r="K19" s="118">
        <f>G19*J19</f>
        <v>600</v>
      </c>
      <c r="L19" s="119">
        <f>SUM(I19+K19)</f>
        <v>2218.1999999999998</v>
      </c>
      <c r="M19" s="85"/>
    </row>
    <row r="20" spans="1:13" ht="18" customHeight="1">
      <c r="A20" s="251"/>
      <c r="B20" s="214" t="s">
        <v>286</v>
      </c>
      <c r="C20" s="114" t="s">
        <v>285</v>
      </c>
      <c r="D20" s="115"/>
      <c r="E20" s="116"/>
      <c r="F20" s="116"/>
      <c r="G20" s="117">
        <f>13</f>
        <v>13</v>
      </c>
      <c r="H20" s="117">
        <v>34.76</v>
      </c>
      <c r="I20" s="118">
        <f t="shared" ref="I20:I33" si="3">G20*H20</f>
        <v>451.88</v>
      </c>
      <c r="J20" s="117">
        <v>16</v>
      </c>
      <c r="K20" s="118">
        <f t="shared" ref="K20:K33" si="4">G20*J20</f>
        <v>208</v>
      </c>
      <c r="L20" s="119">
        <f t="shared" ref="L20:L33" si="5">SUM(I20+K20)</f>
        <v>659.88</v>
      </c>
      <c r="M20" s="85"/>
    </row>
    <row r="21" spans="1:13" ht="18" customHeight="1">
      <c r="A21" s="251"/>
      <c r="B21" s="214" t="s">
        <v>287</v>
      </c>
      <c r="C21" s="114" t="s">
        <v>285</v>
      </c>
      <c r="D21" s="115"/>
      <c r="E21" s="116"/>
      <c r="F21" s="116"/>
      <c r="G21" s="117">
        <f>144+40+40+20</f>
        <v>244</v>
      </c>
      <c r="H21" s="117">
        <v>12.13</v>
      </c>
      <c r="I21" s="118">
        <f t="shared" si="3"/>
        <v>2959.7200000000003</v>
      </c>
      <c r="J21" s="117">
        <v>10</v>
      </c>
      <c r="K21" s="118">
        <f t="shared" si="4"/>
        <v>2440</v>
      </c>
      <c r="L21" s="119">
        <f t="shared" si="5"/>
        <v>5399.72</v>
      </c>
      <c r="M21" s="85"/>
    </row>
    <row r="22" spans="1:13" ht="18" customHeight="1">
      <c r="A22" s="251"/>
      <c r="B22" s="191" t="s">
        <v>288</v>
      </c>
      <c r="C22" s="114" t="s">
        <v>285</v>
      </c>
      <c r="D22" s="115"/>
      <c r="E22" s="116"/>
      <c r="F22" s="116"/>
      <c r="G22" s="117">
        <f>420+72+20+120+20+39+10</f>
        <v>701</v>
      </c>
      <c r="H22" s="117">
        <v>8.0399999999999991</v>
      </c>
      <c r="I22" s="118">
        <f t="shared" si="3"/>
        <v>5636.0399999999991</v>
      </c>
      <c r="J22" s="117">
        <v>7</v>
      </c>
      <c r="K22" s="118">
        <f t="shared" si="4"/>
        <v>4907</v>
      </c>
      <c r="L22" s="119">
        <f t="shared" si="5"/>
        <v>10543.039999999999</v>
      </c>
      <c r="M22" s="85"/>
    </row>
    <row r="23" spans="1:13" ht="18" customHeight="1">
      <c r="A23" s="251"/>
      <c r="B23" s="191" t="s">
        <v>289</v>
      </c>
      <c r="C23" s="114" t="s">
        <v>285</v>
      </c>
      <c r="D23" s="115">
        <v>0</v>
      </c>
      <c r="E23" s="116">
        <v>12</v>
      </c>
      <c r="F23" s="117"/>
      <c r="G23" s="117">
        <f>30</f>
        <v>30</v>
      </c>
      <c r="H23" s="117">
        <v>20.59</v>
      </c>
      <c r="I23" s="118">
        <f>G23*H23</f>
        <v>617.70000000000005</v>
      </c>
      <c r="J23" s="117">
        <v>12</v>
      </c>
      <c r="K23" s="118">
        <f>G23*J23</f>
        <v>360</v>
      </c>
      <c r="L23" s="119">
        <f>SUM(I23+K23)</f>
        <v>977.7</v>
      </c>
      <c r="M23" s="85"/>
    </row>
    <row r="24" spans="1:13" ht="18" customHeight="1">
      <c r="A24" s="251"/>
      <c r="B24" s="191" t="s">
        <v>290</v>
      </c>
      <c r="C24" s="114" t="s">
        <v>285</v>
      </c>
      <c r="D24" s="115">
        <v>0</v>
      </c>
      <c r="E24" s="116">
        <v>12</v>
      </c>
      <c r="F24" s="117"/>
      <c r="G24" s="117">
        <f>30</f>
        <v>30</v>
      </c>
      <c r="H24" s="117">
        <v>17.63</v>
      </c>
      <c r="I24" s="118">
        <f t="shared" si="3"/>
        <v>528.9</v>
      </c>
      <c r="J24" s="117">
        <v>10</v>
      </c>
      <c r="K24" s="118">
        <f t="shared" si="4"/>
        <v>300</v>
      </c>
      <c r="L24" s="119">
        <f t="shared" si="5"/>
        <v>828.9</v>
      </c>
      <c r="M24" s="85"/>
    </row>
    <row r="25" spans="1:13" ht="18" customHeight="1">
      <c r="A25" s="251"/>
      <c r="B25" s="191" t="s">
        <v>291</v>
      </c>
      <c r="C25" s="114" t="s">
        <v>285</v>
      </c>
      <c r="D25" s="115">
        <v>0</v>
      </c>
      <c r="E25" s="116">
        <v>12</v>
      </c>
      <c r="F25" s="117"/>
      <c r="G25" s="117">
        <f>35</f>
        <v>35</v>
      </c>
      <c r="H25" s="245">
        <v>4.8</v>
      </c>
      <c r="I25" s="335">
        <f t="shared" si="3"/>
        <v>168</v>
      </c>
      <c r="J25" s="245">
        <v>3</v>
      </c>
      <c r="K25" s="118">
        <f t="shared" si="4"/>
        <v>105</v>
      </c>
      <c r="L25" s="119">
        <f t="shared" si="5"/>
        <v>273</v>
      </c>
      <c r="M25" s="85"/>
    </row>
    <row r="26" spans="1:13" ht="18" customHeight="1">
      <c r="A26" s="251"/>
      <c r="B26" s="191" t="s">
        <v>292</v>
      </c>
      <c r="C26" s="114" t="s">
        <v>285</v>
      </c>
      <c r="D26" s="115">
        <v>0</v>
      </c>
      <c r="E26" s="116">
        <v>12</v>
      </c>
      <c r="F26" s="117"/>
      <c r="G26" s="117">
        <f>10</f>
        <v>10</v>
      </c>
      <c r="H26" s="245">
        <v>9.35</v>
      </c>
      <c r="I26" s="118">
        <f t="shared" si="3"/>
        <v>93.5</v>
      </c>
      <c r="J26" s="117">
        <v>6</v>
      </c>
      <c r="K26" s="118">
        <f t="shared" si="4"/>
        <v>60</v>
      </c>
      <c r="L26" s="119">
        <f t="shared" si="5"/>
        <v>153.5</v>
      </c>
      <c r="M26" s="85"/>
    </row>
    <row r="27" spans="1:13" ht="18" customHeight="1">
      <c r="A27" s="251"/>
      <c r="B27" s="191" t="s">
        <v>293</v>
      </c>
      <c r="C27" s="114" t="s">
        <v>285</v>
      </c>
      <c r="D27" s="115">
        <v>0</v>
      </c>
      <c r="E27" s="116">
        <v>12</v>
      </c>
      <c r="F27" s="117"/>
      <c r="G27" s="117">
        <f>38</f>
        <v>38</v>
      </c>
      <c r="H27" s="117">
        <v>39</v>
      </c>
      <c r="I27" s="118">
        <f t="shared" si="3"/>
        <v>1482</v>
      </c>
      <c r="J27" s="117">
        <v>12</v>
      </c>
      <c r="K27" s="118">
        <f t="shared" si="4"/>
        <v>456</v>
      </c>
      <c r="L27" s="119">
        <f t="shared" si="5"/>
        <v>1938</v>
      </c>
      <c r="M27" s="85"/>
    </row>
    <row r="28" spans="1:13" ht="18" customHeight="1">
      <c r="A28" s="251"/>
      <c r="B28" s="191" t="s">
        <v>295</v>
      </c>
      <c r="C28" s="114" t="s">
        <v>285</v>
      </c>
      <c r="D28" s="115">
        <v>0</v>
      </c>
      <c r="E28" s="116">
        <v>12</v>
      </c>
      <c r="F28" s="117"/>
      <c r="G28" s="117">
        <f>10</f>
        <v>10</v>
      </c>
      <c r="H28" s="117">
        <v>16</v>
      </c>
      <c r="I28" s="118">
        <f t="shared" si="3"/>
        <v>160</v>
      </c>
      <c r="J28" s="117">
        <v>19</v>
      </c>
      <c r="K28" s="118">
        <f t="shared" si="4"/>
        <v>190</v>
      </c>
      <c r="L28" s="119">
        <f t="shared" si="5"/>
        <v>350</v>
      </c>
      <c r="M28" s="85"/>
    </row>
    <row r="29" spans="1:13" ht="18" customHeight="1">
      <c r="A29" s="251"/>
      <c r="B29" s="191" t="s">
        <v>296</v>
      </c>
      <c r="C29" s="114" t="s">
        <v>285</v>
      </c>
      <c r="D29" s="115">
        <v>0</v>
      </c>
      <c r="E29" s="116">
        <v>12</v>
      </c>
      <c r="F29" s="117"/>
      <c r="G29" s="117">
        <f>15</f>
        <v>15</v>
      </c>
      <c r="H29" s="117">
        <v>22</v>
      </c>
      <c r="I29" s="118">
        <f t="shared" si="3"/>
        <v>330</v>
      </c>
      <c r="J29" s="117">
        <v>18</v>
      </c>
      <c r="K29" s="118">
        <f t="shared" si="4"/>
        <v>270</v>
      </c>
      <c r="L29" s="119">
        <f t="shared" si="5"/>
        <v>600</v>
      </c>
      <c r="M29" s="85"/>
    </row>
    <row r="30" spans="1:13" ht="18" customHeight="1">
      <c r="A30" s="251"/>
      <c r="B30" s="191" t="s">
        <v>412</v>
      </c>
      <c r="C30" s="114" t="s">
        <v>285</v>
      </c>
      <c r="D30" s="115">
        <v>0</v>
      </c>
      <c r="E30" s="116">
        <v>12</v>
      </c>
      <c r="F30" s="117"/>
      <c r="G30" s="117">
        <f>15</f>
        <v>15</v>
      </c>
      <c r="H30" s="117">
        <v>29.12</v>
      </c>
      <c r="I30" s="118">
        <f t="shared" si="3"/>
        <v>436.8</v>
      </c>
      <c r="J30" s="117">
        <v>25</v>
      </c>
      <c r="K30" s="118">
        <f t="shared" si="4"/>
        <v>375</v>
      </c>
      <c r="L30" s="119">
        <f t="shared" si="5"/>
        <v>811.8</v>
      </c>
      <c r="M30" s="85"/>
    </row>
    <row r="31" spans="1:13" ht="18" customHeight="1">
      <c r="A31" s="251"/>
      <c r="B31" s="191" t="s">
        <v>297</v>
      </c>
      <c r="C31" s="114" t="s">
        <v>285</v>
      </c>
      <c r="D31" s="115">
        <v>0</v>
      </c>
      <c r="E31" s="116">
        <v>12</v>
      </c>
      <c r="F31" s="117"/>
      <c r="G31" s="117">
        <f>12</f>
        <v>12</v>
      </c>
      <c r="H31" s="245">
        <v>18.149999999999999</v>
      </c>
      <c r="I31" s="118">
        <f t="shared" si="3"/>
        <v>217.79999999999998</v>
      </c>
      <c r="J31" s="117">
        <v>23</v>
      </c>
      <c r="K31" s="118">
        <f t="shared" si="4"/>
        <v>276</v>
      </c>
      <c r="L31" s="119">
        <f t="shared" si="5"/>
        <v>493.79999999999995</v>
      </c>
      <c r="M31" s="85"/>
    </row>
    <row r="32" spans="1:13" ht="18" customHeight="1">
      <c r="A32" s="251"/>
      <c r="B32" s="191" t="s">
        <v>298</v>
      </c>
      <c r="C32" s="114" t="s">
        <v>285</v>
      </c>
      <c r="D32" s="115">
        <v>0</v>
      </c>
      <c r="E32" s="116">
        <v>12</v>
      </c>
      <c r="F32" s="117"/>
      <c r="G32" s="117">
        <f>182+72+20+10+20+40+20+13+10</f>
        <v>387</v>
      </c>
      <c r="H32" s="245">
        <v>14.04</v>
      </c>
      <c r="I32" s="118">
        <f t="shared" si="3"/>
        <v>5433.48</v>
      </c>
      <c r="J32" s="117">
        <v>20</v>
      </c>
      <c r="K32" s="118">
        <f t="shared" si="4"/>
        <v>7740</v>
      </c>
      <c r="L32" s="119">
        <f t="shared" si="5"/>
        <v>13173.48</v>
      </c>
      <c r="M32" s="85"/>
    </row>
    <row r="33" spans="1:13" ht="18" customHeight="1">
      <c r="A33" s="251"/>
      <c r="B33" s="191" t="s">
        <v>299</v>
      </c>
      <c r="C33" s="114" t="s">
        <v>285</v>
      </c>
      <c r="D33" s="115">
        <v>0</v>
      </c>
      <c r="E33" s="116">
        <v>12</v>
      </c>
      <c r="F33" s="117"/>
      <c r="G33" s="117">
        <f>38</f>
        <v>38</v>
      </c>
      <c r="H33" s="245">
        <v>4.4000000000000004</v>
      </c>
      <c r="I33" s="118">
        <f t="shared" si="3"/>
        <v>167.20000000000002</v>
      </c>
      <c r="J33" s="117">
        <v>11</v>
      </c>
      <c r="K33" s="118">
        <f t="shared" si="4"/>
        <v>418</v>
      </c>
      <c r="L33" s="119">
        <f t="shared" si="5"/>
        <v>585.20000000000005</v>
      </c>
      <c r="M33" s="85"/>
    </row>
    <row r="34" spans="1:13" ht="18" customHeight="1" thickBot="1">
      <c r="A34" s="251"/>
      <c r="B34" s="191" t="s">
        <v>413</v>
      </c>
      <c r="C34" s="114" t="s">
        <v>294</v>
      </c>
      <c r="D34" s="115">
        <v>0</v>
      </c>
      <c r="E34" s="116">
        <v>12</v>
      </c>
      <c r="F34" s="117"/>
      <c r="G34" s="117">
        <v>1</v>
      </c>
      <c r="H34" s="245"/>
      <c r="I34" s="118"/>
      <c r="J34" s="117"/>
      <c r="K34" s="118"/>
      <c r="L34" s="245">
        <f>(SUM(I19:I33)+SUM(K19:K33))*0.1</f>
        <v>3900.6220000000003</v>
      </c>
      <c r="M34" s="85"/>
    </row>
    <row r="35" spans="1:13" ht="18" customHeight="1" thickTop="1" thickBot="1">
      <c r="A35" s="252"/>
      <c r="B35" s="44" t="s">
        <v>300</v>
      </c>
      <c r="C35" s="48"/>
      <c r="D35" s="49"/>
      <c r="E35" s="50"/>
      <c r="F35" s="50"/>
      <c r="G35" s="50"/>
      <c r="H35" s="51"/>
      <c r="I35" s="36">
        <f>SUM(I19:I33)</f>
        <v>20301.219999999998</v>
      </c>
      <c r="J35" s="51"/>
      <c r="K35" s="36">
        <f>SUM(K19:K33)</f>
        <v>18705</v>
      </c>
      <c r="L35" s="36">
        <f>SUM(L19:L34)</f>
        <v>42906.841999999997</v>
      </c>
      <c r="M35" s="37" t="s">
        <v>34</v>
      </c>
    </row>
    <row r="36" spans="1:13" s="7" customFormat="1" ht="14.4" thickTop="1">
      <c r="A36" s="98" t="s">
        <v>301</v>
      </c>
      <c r="B36" s="99" t="s">
        <v>302</v>
      </c>
      <c r="C36" s="73"/>
      <c r="D36" s="74"/>
      <c r="E36" s="250"/>
      <c r="F36" s="128"/>
      <c r="G36" s="75"/>
      <c r="H36" s="76"/>
      <c r="I36" s="76"/>
      <c r="J36" s="76"/>
      <c r="K36" s="76"/>
      <c r="L36" s="77"/>
      <c r="M36" s="78"/>
    </row>
    <row r="37" spans="1:13" ht="20.100000000000001" customHeight="1">
      <c r="A37" s="251"/>
      <c r="B37" s="191" t="s">
        <v>303</v>
      </c>
      <c r="C37" s="114" t="s">
        <v>304</v>
      </c>
      <c r="D37" s="115">
        <v>0</v>
      </c>
      <c r="E37" s="116"/>
      <c r="F37" s="116">
        <v>3</v>
      </c>
      <c r="G37" s="117">
        <v>5</v>
      </c>
      <c r="H37" s="245">
        <v>420</v>
      </c>
      <c r="I37" s="118">
        <f t="shared" ref="I37:I43" si="6">G37*H37</f>
        <v>2100</v>
      </c>
      <c r="J37" s="118">
        <v>115</v>
      </c>
      <c r="K37" s="118">
        <f t="shared" ref="K37:K43" si="7">G37*J37</f>
        <v>575</v>
      </c>
      <c r="L37" s="119">
        <f t="shared" ref="L37:L43" si="8">SUM(I37+K37)</f>
        <v>2675</v>
      </c>
      <c r="M37" s="85"/>
    </row>
    <row r="38" spans="1:13" ht="35.25" customHeight="1">
      <c r="A38" s="251"/>
      <c r="B38" s="191" t="s">
        <v>305</v>
      </c>
      <c r="C38" s="114" t="s">
        <v>306</v>
      </c>
      <c r="D38" s="115"/>
      <c r="E38" s="116"/>
      <c r="F38" s="116"/>
      <c r="G38" s="117">
        <v>8</v>
      </c>
      <c r="H38" s="245">
        <v>250</v>
      </c>
      <c r="I38" s="118">
        <f t="shared" si="6"/>
        <v>2000</v>
      </c>
      <c r="J38" s="118">
        <v>115</v>
      </c>
      <c r="K38" s="118">
        <f t="shared" si="7"/>
        <v>920</v>
      </c>
      <c r="L38" s="119">
        <f t="shared" si="8"/>
        <v>2920</v>
      </c>
      <c r="M38" s="85"/>
    </row>
    <row r="39" spans="1:13" ht="35.25" customHeight="1">
      <c r="A39" s="251"/>
      <c r="B39" s="191" t="s">
        <v>307</v>
      </c>
      <c r="C39" s="114" t="s">
        <v>306</v>
      </c>
      <c r="D39" s="115"/>
      <c r="E39" s="116"/>
      <c r="F39" s="116"/>
      <c r="G39" s="117">
        <v>7</v>
      </c>
      <c r="H39" s="245">
        <v>250</v>
      </c>
      <c r="I39" s="118">
        <f t="shared" si="6"/>
        <v>1750</v>
      </c>
      <c r="J39" s="118">
        <v>115</v>
      </c>
      <c r="K39" s="118">
        <f t="shared" si="7"/>
        <v>805</v>
      </c>
      <c r="L39" s="119">
        <f t="shared" si="8"/>
        <v>2555</v>
      </c>
      <c r="M39" s="85"/>
    </row>
    <row r="40" spans="1:13" ht="35.25" customHeight="1">
      <c r="A40" s="251"/>
      <c r="B40" s="191" t="s">
        <v>308</v>
      </c>
      <c r="C40" s="114" t="s">
        <v>306</v>
      </c>
      <c r="D40" s="115"/>
      <c r="E40" s="116"/>
      <c r="F40" s="116"/>
      <c r="G40" s="117">
        <v>1</v>
      </c>
      <c r="H40" s="245">
        <v>320</v>
      </c>
      <c r="I40" s="118">
        <f t="shared" si="6"/>
        <v>320</v>
      </c>
      <c r="J40" s="118">
        <v>115</v>
      </c>
      <c r="K40" s="118">
        <f t="shared" si="7"/>
        <v>115</v>
      </c>
      <c r="L40" s="119">
        <f t="shared" si="8"/>
        <v>435</v>
      </c>
      <c r="M40" s="85"/>
    </row>
    <row r="41" spans="1:13" ht="18" customHeight="1">
      <c r="A41" s="251"/>
      <c r="B41" s="191" t="s">
        <v>309</v>
      </c>
      <c r="C41" s="114" t="s">
        <v>306</v>
      </c>
      <c r="D41" s="115">
        <v>0</v>
      </c>
      <c r="E41" s="116">
        <v>12</v>
      </c>
      <c r="F41" s="116"/>
      <c r="G41" s="117">
        <v>1</v>
      </c>
      <c r="H41" s="245">
        <v>350</v>
      </c>
      <c r="I41" s="118">
        <f t="shared" si="6"/>
        <v>350</v>
      </c>
      <c r="J41" s="118">
        <v>115</v>
      </c>
      <c r="K41" s="118">
        <f t="shared" si="7"/>
        <v>115</v>
      </c>
      <c r="L41" s="119">
        <f t="shared" si="8"/>
        <v>465</v>
      </c>
      <c r="M41" s="85"/>
    </row>
    <row r="42" spans="1:13" ht="35.25" customHeight="1">
      <c r="A42" s="251"/>
      <c r="B42" s="191" t="s">
        <v>310</v>
      </c>
      <c r="C42" s="114" t="s">
        <v>304</v>
      </c>
      <c r="D42" s="115">
        <v>0</v>
      </c>
      <c r="E42" s="116"/>
      <c r="F42" s="116">
        <v>3</v>
      </c>
      <c r="G42" s="117">
        <f>(2*G37)+G38+G39</f>
        <v>25</v>
      </c>
      <c r="H42" s="245">
        <v>120</v>
      </c>
      <c r="I42" s="118">
        <f t="shared" si="6"/>
        <v>3000</v>
      </c>
      <c r="J42" s="335"/>
      <c r="K42" s="118">
        <f t="shared" si="7"/>
        <v>0</v>
      </c>
      <c r="L42" s="119">
        <f t="shared" si="8"/>
        <v>3000</v>
      </c>
      <c r="M42" s="85"/>
    </row>
    <row r="43" spans="1:13" ht="18" customHeight="1" thickBot="1">
      <c r="A43" s="251"/>
      <c r="B43" s="191" t="s">
        <v>311</v>
      </c>
      <c r="C43" s="114" t="s">
        <v>306</v>
      </c>
      <c r="D43" s="115"/>
      <c r="E43" s="116"/>
      <c r="F43" s="116"/>
      <c r="G43" s="117">
        <f>G40+G41</f>
        <v>2</v>
      </c>
      <c r="H43" s="245">
        <v>220</v>
      </c>
      <c r="I43" s="118">
        <f t="shared" si="6"/>
        <v>440</v>
      </c>
      <c r="J43" s="335"/>
      <c r="K43" s="118">
        <f t="shared" si="7"/>
        <v>0</v>
      </c>
      <c r="L43" s="119">
        <f t="shared" si="8"/>
        <v>440</v>
      </c>
      <c r="M43" s="85"/>
    </row>
    <row r="44" spans="1:13" ht="18" customHeight="1" thickTop="1" thickBot="1">
      <c r="A44" s="252"/>
      <c r="B44" s="44" t="s">
        <v>312</v>
      </c>
      <c r="C44" s="48"/>
      <c r="D44" s="49"/>
      <c r="E44" s="50"/>
      <c r="F44" s="50"/>
      <c r="G44" s="50"/>
      <c r="H44" s="51"/>
      <c r="I44" s="36">
        <f>SUM(I37:I43)</f>
        <v>9960</v>
      </c>
      <c r="J44" s="51"/>
      <c r="K44" s="36">
        <f>SUM(K37:K43)</f>
        <v>2530</v>
      </c>
      <c r="L44" s="36">
        <f>SUM(L37:L43)</f>
        <v>12490</v>
      </c>
      <c r="M44" s="37" t="s">
        <v>34</v>
      </c>
    </row>
    <row r="45" spans="1:13" s="7" customFormat="1" ht="14.4" thickTop="1">
      <c r="A45" s="98" t="s">
        <v>313</v>
      </c>
      <c r="B45" s="99" t="s">
        <v>314</v>
      </c>
      <c r="C45" s="73"/>
      <c r="D45" s="74"/>
      <c r="E45" s="250"/>
      <c r="F45" s="128"/>
      <c r="G45" s="75"/>
      <c r="H45" s="76"/>
      <c r="I45" s="76"/>
      <c r="J45" s="76"/>
      <c r="K45" s="76"/>
      <c r="L45" s="77"/>
      <c r="M45" s="78"/>
    </row>
    <row r="46" spans="1:13" ht="20.100000000000001" customHeight="1">
      <c r="A46" s="251"/>
      <c r="B46" s="191" t="s">
        <v>315</v>
      </c>
      <c r="C46" s="114" t="s">
        <v>304</v>
      </c>
      <c r="D46" s="115">
        <v>0</v>
      </c>
      <c r="E46" s="116"/>
      <c r="F46" s="116">
        <v>3</v>
      </c>
      <c r="G46" s="117">
        <f>8+8+3</f>
        <v>19</v>
      </c>
      <c r="H46" s="117">
        <v>30</v>
      </c>
      <c r="I46" s="118">
        <f t="shared" ref="I46:I53" si="9">G46*H46</f>
        <v>570</v>
      </c>
      <c r="J46" s="118">
        <v>80</v>
      </c>
      <c r="K46" s="118">
        <f t="shared" ref="K46:K53" si="10">G46*J46</f>
        <v>1520</v>
      </c>
      <c r="L46" s="119">
        <f>SUM(I46+K46)</f>
        <v>2090</v>
      </c>
      <c r="M46" s="85"/>
    </row>
    <row r="47" spans="1:13" ht="20.100000000000001" customHeight="1">
      <c r="A47" s="251"/>
      <c r="B47" s="191" t="s">
        <v>316</v>
      </c>
      <c r="C47" s="114" t="s">
        <v>306</v>
      </c>
      <c r="D47" s="115"/>
      <c r="E47" s="116"/>
      <c r="F47" s="116"/>
      <c r="G47" s="117">
        <v>8</v>
      </c>
      <c r="H47" s="117">
        <v>22</v>
      </c>
      <c r="I47" s="118">
        <f t="shared" si="9"/>
        <v>176</v>
      </c>
      <c r="J47" s="335"/>
      <c r="K47" s="118">
        <f>G47*J47</f>
        <v>0</v>
      </c>
      <c r="L47" s="119">
        <f t="shared" ref="L47:L53" si="11">SUM(I47+K47)</f>
        <v>176</v>
      </c>
      <c r="M47" s="85"/>
    </row>
    <row r="48" spans="1:13" ht="18" customHeight="1">
      <c r="A48" s="251"/>
      <c r="B48" s="191" t="s">
        <v>317</v>
      </c>
      <c r="C48" s="114" t="s">
        <v>306</v>
      </c>
      <c r="D48" s="115"/>
      <c r="E48" s="116"/>
      <c r="F48" s="116"/>
      <c r="G48" s="117">
        <v>4</v>
      </c>
      <c r="H48" s="117">
        <v>22</v>
      </c>
      <c r="I48" s="118">
        <f t="shared" si="9"/>
        <v>88</v>
      </c>
      <c r="J48" s="335"/>
      <c r="K48" s="118">
        <f t="shared" si="10"/>
        <v>0</v>
      </c>
      <c r="L48" s="119">
        <f t="shared" si="11"/>
        <v>88</v>
      </c>
      <c r="M48" s="85"/>
    </row>
    <row r="49" spans="1:13" ht="18" customHeight="1">
      <c r="A49" s="251"/>
      <c r="B49" s="191" t="s">
        <v>373</v>
      </c>
      <c r="C49" s="114" t="s">
        <v>306</v>
      </c>
      <c r="D49" s="115">
        <v>0</v>
      </c>
      <c r="E49" s="116">
        <v>12</v>
      </c>
      <c r="F49" s="117"/>
      <c r="G49" s="336">
        <v>1</v>
      </c>
      <c r="H49" s="117">
        <v>22</v>
      </c>
      <c r="I49" s="118">
        <f t="shared" si="9"/>
        <v>22</v>
      </c>
      <c r="J49" s="335"/>
      <c r="K49" s="118">
        <f t="shared" si="10"/>
        <v>0</v>
      </c>
      <c r="L49" s="119">
        <f t="shared" si="11"/>
        <v>22</v>
      </c>
      <c r="M49" s="85"/>
    </row>
    <row r="50" spans="1:13" ht="18" customHeight="1">
      <c r="A50" s="251"/>
      <c r="B50" s="191" t="s">
        <v>318</v>
      </c>
      <c r="C50" s="114" t="s">
        <v>306</v>
      </c>
      <c r="D50" s="115">
        <v>0</v>
      </c>
      <c r="E50" s="116">
        <v>12</v>
      </c>
      <c r="F50" s="117"/>
      <c r="G50" s="117">
        <v>8</v>
      </c>
      <c r="H50" s="117">
        <v>130</v>
      </c>
      <c r="I50" s="118">
        <f t="shared" si="9"/>
        <v>1040</v>
      </c>
      <c r="J50" s="335">
        <v>90</v>
      </c>
      <c r="K50" s="118">
        <f t="shared" si="10"/>
        <v>720</v>
      </c>
      <c r="L50" s="119">
        <f t="shared" si="11"/>
        <v>1760</v>
      </c>
      <c r="M50" s="85"/>
    </row>
    <row r="51" spans="1:13" ht="18" customHeight="1">
      <c r="A51" s="251"/>
      <c r="B51" s="191" t="s">
        <v>319</v>
      </c>
      <c r="C51" s="114" t="s">
        <v>306</v>
      </c>
      <c r="D51" s="115">
        <v>0</v>
      </c>
      <c r="E51" s="116">
        <v>12</v>
      </c>
      <c r="F51" s="117"/>
      <c r="G51" s="117">
        <v>3</v>
      </c>
      <c r="H51" s="117">
        <v>130</v>
      </c>
      <c r="I51" s="118">
        <f t="shared" si="9"/>
        <v>390</v>
      </c>
      <c r="J51" s="335">
        <v>115</v>
      </c>
      <c r="K51" s="118">
        <f t="shared" si="10"/>
        <v>345</v>
      </c>
      <c r="L51" s="119">
        <f t="shared" si="11"/>
        <v>735</v>
      </c>
      <c r="M51" s="85"/>
    </row>
    <row r="52" spans="1:13" ht="18" customHeight="1">
      <c r="A52" s="251"/>
      <c r="B52" s="191" t="s">
        <v>320</v>
      </c>
      <c r="C52" s="114" t="s">
        <v>306</v>
      </c>
      <c r="D52" s="115">
        <v>0</v>
      </c>
      <c r="E52" s="116">
        <v>12</v>
      </c>
      <c r="F52" s="117"/>
      <c r="G52" s="117">
        <v>8</v>
      </c>
      <c r="H52" s="117">
        <v>22</v>
      </c>
      <c r="I52" s="118">
        <f t="shared" si="9"/>
        <v>176</v>
      </c>
      <c r="J52" s="335"/>
      <c r="K52" s="118">
        <f t="shared" si="10"/>
        <v>0</v>
      </c>
      <c r="L52" s="119">
        <f t="shared" si="11"/>
        <v>176</v>
      </c>
      <c r="M52" s="85"/>
    </row>
    <row r="53" spans="1:13" ht="18" customHeight="1" thickBot="1">
      <c r="A53" s="251"/>
      <c r="B53" s="191" t="s">
        <v>321</v>
      </c>
      <c r="C53" s="114" t="s">
        <v>306</v>
      </c>
      <c r="D53" s="115">
        <v>0</v>
      </c>
      <c r="E53" s="116">
        <v>12</v>
      </c>
      <c r="F53" s="117"/>
      <c r="G53" s="117">
        <v>3</v>
      </c>
      <c r="H53" s="117">
        <v>22</v>
      </c>
      <c r="I53" s="118">
        <f t="shared" si="9"/>
        <v>66</v>
      </c>
      <c r="J53" s="335"/>
      <c r="K53" s="118">
        <f t="shared" si="10"/>
        <v>0</v>
      </c>
      <c r="L53" s="119">
        <f t="shared" si="11"/>
        <v>66</v>
      </c>
      <c r="M53" s="85"/>
    </row>
    <row r="54" spans="1:13" ht="18" customHeight="1" thickTop="1" thickBot="1">
      <c r="A54" s="252"/>
      <c r="B54" s="44" t="s">
        <v>322</v>
      </c>
      <c r="C54" s="48"/>
      <c r="D54" s="49"/>
      <c r="E54" s="50"/>
      <c r="F54" s="50"/>
      <c r="G54" s="50"/>
      <c r="H54" s="51"/>
      <c r="I54" s="36">
        <f>SUM(I46:I53)</f>
        <v>2528</v>
      </c>
      <c r="J54" s="51"/>
      <c r="K54" s="36">
        <f>SUM(K46:K53)</f>
        <v>2585</v>
      </c>
      <c r="L54" s="36">
        <f>SUM(L46:L53)</f>
        <v>5113</v>
      </c>
      <c r="M54" s="37" t="s">
        <v>34</v>
      </c>
    </row>
    <row r="55" spans="1:13" s="7" customFormat="1" ht="14.4" thickTop="1">
      <c r="A55" s="98" t="s">
        <v>323</v>
      </c>
      <c r="B55" s="99" t="s">
        <v>324</v>
      </c>
      <c r="C55" s="73"/>
      <c r="D55" s="74"/>
      <c r="E55" s="250"/>
      <c r="F55" s="128"/>
      <c r="G55" s="75"/>
      <c r="H55" s="76"/>
      <c r="I55" s="76"/>
      <c r="J55" s="76"/>
      <c r="K55" s="76"/>
      <c r="L55" s="77"/>
      <c r="M55" s="78"/>
    </row>
    <row r="56" spans="1:13" ht="20.100000000000001" customHeight="1">
      <c r="A56" s="251"/>
      <c r="B56" s="191" t="s">
        <v>325</v>
      </c>
      <c r="C56" s="114" t="s">
        <v>304</v>
      </c>
      <c r="D56" s="115">
        <v>0</v>
      </c>
      <c r="E56" s="116"/>
      <c r="F56" s="116">
        <v>3</v>
      </c>
      <c r="G56" s="117">
        <v>3</v>
      </c>
      <c r="H56" s="117">
        <v>300</v>
      </c>
      <c r="I56" s="118">
        <f t="shared" ref="I56:I62" si="12">G56*H56</f>
        <v>900</v>
      </c>
      <c r="J56" s="118">
        <v>90</v>
      </c>
      <c r="K56" s="118">
        <f t="shared" ref="K56:K62" si="13">G56*J56</f>
        <v>270</v>
      </c>
      <c r="L56" s="119">
        <f t="shared" ref="L56:L62" si="14">SUM(I56+K56)</f>
        <v>1170</v>
      </c>
      <c r="M56" s="85"/>
    </row>
    <row r="57" spans="1:13" ht="20.100000000000001" customHeight="1">
      <c r="A57" s="251"/>
      <c r="B57" s="191" t="s">
        <v>326</v>
      </c>
      <c r="C57" s="114" t="s">
        <v>306</v>
      </c>
      <c r="D57" s="115"/>
      <c r="E57" s="116"/>
      <c r="F57" s="116"/>
      <c r="G57" s="336">
        <v>3</v>
      </c>
      <c r="H57" s="117">
        <v>330</v>
      </c>
      <c r="I57" s="118">
        <f t="shared" si="12"/>
        <v>990</v>
      </c>
      <c r="J57" s="118">
        <v>90</v>
      </c>
      <c r="K57" s="118">
        <f t="shared" si="13"/>
        <v>270</v>
      </c>
      <c r="L57" s="119">
        <f t="shared" si="14"/>
        <v>1260</v>
      </c>
      <c r="M57" s="85"/>
    </row>
    <row r="58" spans="1:13" ht="18" customHeight="1">
      <c r="A58" s="251"/>
      <c r="B58" s="191" t="s">
        <v>327</v>
      </c>
      <c r="C58" s="114" t="s">
        <v>306</v>
      </c>
      <c r="D58" s="115"/>
      <c r="E58" s="116"/>
      <c r="F58" s="116"/>
      <c r="G58" s="117">
        <v>1</v>
      </c>
      <c r="H58" s="117">
        <v>950</v>
      </c>
      <c r="I58" s="118">
        <f t="shared" si="12"/>
        <v>950</v>
      </c>
      <c r="J58" s="118">
        <v>115</v>
      </c>
      <c r="K58" s="118">
        <f t="shared" si="13"/>
        <v>115</v>
      </c>
      <c r="L58" s="119">
        <f t="shared" si="14"/>
        <v>1065</v>
      </c>
      <c r="M58" s="85"/>
    </row>
    <row r="59" spans="1:13" ht="18" customHeight="1">
      <c r="A59" s="251"/>
      <c r="B59" s="191" t="s">
        <v>328</v>
      </c>
      <c r="C59" s="114" t="s">
        <v>306</v>
      </c>
      <c r="D59" s="115"/>
      <c r="E59" s="116"/>
      <c r="F59" s="116"/>
      <c r="G59" s="117">
        <v>3</v>
      </c>
      <c r="H59" s="117">
        <v>140</v>
      </c>
      <c r="I59" s="118">
        <f t="shared" si="12"/>
        <v>420</v>
      </c>
      <c r="J59" s="118">
        <v>90</v>
      </c>
      <c r="K59" s="118">
        <f t="shared" si="13"/>
        <v>270</v>
      </c>
      <c r="L59" s="119">
        <f t="shared" si="14"/>
        <v>690</v>
      </c>
      <c r="M59" s="85"/>
    </row>
    <row r="60" spans="1:13" ht="18" customHeight="1">
      <c r="A60" s="251"/>
      <c r="B60" s="191" t="s">
        <v>329</v>
      </c>
      <c r="C60" s="114" t="s">
        <v>306</v>
      </c>
      <c r="D60" s="115">
        <v>0</v>
      </c>
      <c r="E60" s="116">
        <v>12</v>
      </c>
      <c r="F60" s="117"/>
      <c r="G60" s="336">
        <v>1</v>
      </c>
      <c r="H60" s="117">
        <v>200</v>
      </c>
      <c r="I60" s="118">
        <f t="shared" si="12"/>
        <v>200</v>
      </c>
      <c r="J60" s="118">
        <v>90</v>
      </c>
      <c r="K60" s="118">
        <f t="shared" si="13"/>
        <v>90</v>
      </c>
      <c r="L60" s="119">
        <f t="shared" si="14"/>
        <v>290</v>
      </c>
      <c r="M60" s="85"/>
    </row>
    <row r="61" spans="1:13" ht="18" customHeight="1">
      <c r="A61" s="251"/>
      <c r="B61" s="191" t="s">
        <v>330</v>
      </c>
      <c r="C61" s="114" t="s">
        <v>306</v>
      </c>
      <c r="D61" s="115">
        <v>0</v>
      </c>
      <c r="E61" s="116">
        <v>12</v>
      </c>
      <c r="F61" s="117"/>
      <c r="G61" s="117">
        <v>1</v>
      </c>
      <c r="H61" s="117">
        <v>300</v>
      </c>
      <c r="I61" s="118">
        <f t="shared" si="12"/>
        <v>300</v>
      </c>
      <c r="J61" s="118">
        <v>80</v>
      </c>
      <c r="K61" s="118">
        <f t="shared" si="13"/>
        <v>80</v>
      </c>
      <c r="L61" s="119">
        <f t="shared" si="14"/>
        <v>380</v>
      </c>
      <c r="M61" s="85"/>
    </row>
    <row r="62" spans="1:13" ht="18" customHeight="1" thickBot="1">
      <c r="A62" s="251"/>
      <c r="B62" s="191" t="s">
        <v>331</v>
      </c>
      <c r="C62" s="114" t="s">
        <v>306</v>
      </c>
      <c r="D62" s="115">
        <v>0</v>
      </c>
      <c r="E62" s="116">
        <v>12</v>
      </c>
      <c r="F62" s="117"/>
      <c r="G62" s="117">
        <v>1</v>
      </c>
      <c r="H62" s="117">
        <v>200</v>
      </c>
      <c r="I62" s="118">
        <f t="shared" si="12"/>
        <v>200</v>
      </c>
      <c r="J62" s="118">
        <v>80</v>
      </c>
      <c r="K62" s="118">
        <f t="shared" si="13"/>
        <v>80</v>
      </c>
      <c r="L62" s="119">
        <f t="shared" si="14"/>
        <v>280</v>
      </c>
      <c r="M62" s="85"/>
    </row>
    <row r="63" spans="1:13" ht="18" customHeight="1" thickTop="1" thickBot="1">
      <c r="A63" s="252"/>
      <c r="B63" s="44" t="s">
        <v>332</v>
      </c>
      <c r="C63" s="48"/>
      <c r="D63" s="49"/>
      <c r="E63" s="50"/>
      <c r="F63" s="50"/>
      <c r="G63" s="50"/>
      <c r="H63" s="51"/>
      <c r="I63" s="36">
        <f>SUM(I56:I62)</f>
        <v>3960</v>
      </c>
      <c r="J63" s="51"/>
      <c r="K63" s="36">
        <f>SUM(K56:K62)</f>
        <v>1175</v>
      </c>
      <c r="L63" s="36">
        <f>SUM(L56:L62)</f>
        <v>5135</v>
      </c>
      <c r="M63" s="37" t="s">
        <v>34</v>
      </c>
    </row>
    <row r="64" spans="1:13" s="7" customFormat="1" ht="14.4" thickTop="1">
      <c r="A64" s="98" t="s">
        <v>333</v>
      </c>
      <c r="B64" s="99" t="s">
        <v>26</v>
      </c>
      <c r="C64" s="73"/>
      <c r="D64" s="74"/>
      <c r="E64" s="250"/>
      <c r="F64" s="128"/>
      <c r="G64" s="75"/>
      <c r="H64" s="76"/>
      <c r="I64" s="76"/>
      <c r="J64" s="76"/>
      <c r="K64" s="76"/>
      <c r="L64" s="77"/>
      <c r="M64" s="78"/>
    </row>
    <row r="65" spans="1:13" ht="20.100000000000001" customHeight="1" thickBot="1">
      <c r="A65" s="251"/>
      <c r="B65" s="191" t="s">
        <v>414</v>
      </c>
      <c r="C65" s="114" t="s">
        <v>304</v>
      </c>
      <c r="D65" s="115">
        <v>0</v>
      </c>
      <c r="E65" s="116"/>
      <c r="F65" s="116">
        <v>3</v>
      </c>
      <c r="G65" s="117">
        <v>1</v>
      </c>
      <c r="H65" s="245"/>
      <c r="I65" s="335">
        <f>G65*H65</f>
        <v>0</v>
      </c>
      <c r="J65" s="335"/>
      <c r="K65" s="118">
        <f>G65*J65</f>
        <v>0</v>
      </c>
      <c r="L65" s="119">
        <f>SUM(I65+K65)</f>
        <v>0</v>
      </c>
      <c r="M65" s="337" t="s">
        <v>334</v>
      </c>
    </row>
    <row r="66" spans="1:13" ht="20.100000000000001" customHeight="1" thickTop="1" thickBot="1">
      <c r="A66" s="252"/>
      <c r="B66" s="44" t="s">
        <v>335</v>
      </c>
      <c r="C66" s="48"/>
      <c r="D66" s="49"/>
      <c r="E66" s="50"/>
      <c r="F66" s="50"/>
      <c r="G66" s="50"/>
      <c r="H66" s="51"/>
      <c r="I66" s="36">
        <f>SUM(I65:I65)</f>
        <v>0</v>
      </c>
      <c r="J66" s="51"/>
      <c r="K66" s="36">
        <f>SUM(K65:K65)</f>
        <v>0</v>
      </c>
      <c r="L66" s="36">
        <f>SUM(L65:L65)</f>
        <v>0</v>
      </c>
      <c r="M66" s="37" t="s">
        <v>34</v>
      </c>
    </row>
    <row r="67" spans="1:13" s="7" customFormat="1" ht="15" thickTop="1" thickBot="1">
      <c r="A67" s="338"/>
      <c r="B67" s="339" t="s">
        <v>160</v>
      </c>
      <c r="C67" s="339"/>
      <c r="D67" s="340"/>
      <c r="E67" s="341"/>
      <c r="F67" s="341"/>
      <c r="G67" s="341"/>
      <c r="H67" s="342"/>
      <c r="I67" s="343">
        <f>I17+I35+I44+I54+I63+I66</f>
        <v>48474.22</v>
      </c>
      <c r="J67" s="342"/>
      <c r="K67" s="343">
        <f>K17+K35+K44+K54+K63+K66</f>
        <v>26915</v>
      </c>
      <c r="L67" s="343">
        <f>L17+L35+L44+L54+L63+L66</f>
        <v>79289.842000000004</v>
      </c>
      <c r="M67" s="344"/>
    </row>
    <row r="68" spans="1:13">
      <c r="M68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5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3"/>
  <sheetViews>
    <sheetView tabSelected="1" view="pageBreakPreview" zoomScale="80" zoomScaleNormal="75" workbookViewId="0">
      <pane xSplit="7" ySplit="8" topLeftCell="H9" activePane="bottomRight" state="frozen"/>
      <selection activeCell="P4" sqref="P4"/>
      <selection pane="topRight" activeCell="P4" sqref="P4"/>
      <selection pane="bottomLeft" activeCell="P4" sqref="P4"/>
      <selection pane="bottomRight" activeCell="A41" sqref="A41:M41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5" t="s">
        <v>37</v>
      </c>
      <c r="B1" s="204"/>
      <c r="C1" s="204"/>
      <c r="D1" s="205"/>
      <c r="E1" s="206"/>
      <c r="F1" s="206"/>
      <c r="G1" s="206"/>
      <c r="H1" s="207"/>
      <c r="I1" s="206"/>
      <c r="J1" s="206"/>
      <c r="K1" s="206"/>
      <c r="L1" s="207"/>
      <c r="M1" s="208"/>
    </row>
    <row r="2" spans="1:13" s="1" customFormat="1" ht="20.100000000000001" customHeight="1">
      <c r="A2" s="186" t="s">
        <v>46</v>
      </c>
      <c r="B2" s="209"/>
      <c r="C2" s="209"/>
      <c r="D2" s="210"/>
      <c r="E2" s="211"/>
      <c r="F2" s="211"/>
      <c r="G2" s="211"/>
      <c r="H2" s="212"/>
      <c r="I2" s="211"/>
      <c r="J2" s="211"/>
      <c r="K2" s="211"/>
      <c r="L2" s="212"/>
      <c r="M2" s="213"/>
    </row>
    <row r="3" spans="1:13" s="1" customFormat="1" ht="20.100000000000001" customHeight="1">
      <c r="A3" s="136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7"/>
      <c r="C3" s="138"/>
      <c r="D3" s="165"/>
      <c r="E3" s="139"/>
      <c r="F3" s="139"/>
      <c r="G3" s="139"/>
      <c r="H3" s="140"/>
      <c r="I3" s="140"/>
      <c r="J3" s="166"/>
      <c r="K3" s="166"/>
      <c r="L3" s="142"/>
      <c r="M3" s="143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6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8"/>
      <c r="C4" s="138"/>
      <c r="D4" s="165"/>
      <c r="E4" s="139"/>
      <c r="F4" s="139"/>
      <c r="G4" s="139"/>
      <c r="H4" s="140"/>
      <c r="I4" s="140"/>
      <c r="J4" s="469" t="s">
        <v>256</v>
      </c>
      <c r="K4" s="469"/>
      <c r="L4" s="469"/>
      <c r="M4" s="470"/>
    </row>
    <row r="5" spans="1:13" s="1" customFormat="1" ht="20.100000000000001" customHeight="1" thickBot="1">
      <c r="A5" s="136" t="s">
        <v>394</v>
      </c>
      <c r="B5" s="138"/>
      <c r="C5" s="138"/>
      <c r="D5" s="165"/>
      <c r="E5" s="139"/>
      <c r="F5" s="139"/>
      <c r="G5" s="139"/>
      <c r="H5" s="140"/>
      <c r="I5" s="140"/>
      <c r="J5" s="141"/>
      <c r="K5" s="141"/>
      <c r="L5" s="139"/>
      <c r="M5" s="143"/>
    </row>
    <row r="6" spans="1:13" s="25" customFormat="1" ht="20.100000000000001" customHeight="1">
      <c r="A6" s="481" t="s">
        <v>3</v>
      </c>
      <c r="B6" s="483" t="s">
        <v>4</v>
      </c>
      <c r="C6" s="483" t="s">
        <v>38</v>
      </c>
      <c r="D6" s="30" t="s">
        <v>47</v>
      </c>
      <c r="E6" s="31" t="s">
        <v>39</v>
      </c>
      <c r="F6" s="31" t="s">
        <v>39</v>
      </c>
      <c r="G6" s="485" t="s">
        <v>39</v>
      </c>
      <c r="H6" s="477" t="s">
        <v>40</v>
      </c>
      <c r="I6" s="478"/>
      <c r="J6" s="479" t="s">
        <v>41</v>
      </c>
      <c r="K6" s="480"/>
      <c r="L6" s="32" t="s">
        <v>6</v>
      </c>
      <c r="M6" s="475" t="s">
        <v>42</v>
      </c>
    </row>
    <row r="7" spans="1:13" s="25" customFormat="1" ht="20.100000000000001" customHeight="1" thickBot="1">
      <c r="A7" s="482"/>
      <c r="B7" s="484"/>
      <c r="C7" s="484"/>
      <c r="D7" s="33" t="s">
        <v>48</v>
      </c>
      <c r="E7" s="189"/>
      <c r="F7" s="189"/>
      <c r="G7" s="486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76"/>
    </row>
    <row r="8" spans="1:13" s="1" customFormat="1" ht="20.100000000000001" customHeight="1">
      <c r="A8" s="29" t="s">
        <v>161</v>
      </c>
      <c r="B8" s="26" t="s">
        <v>336</v>
      </c>
      <c r="C8" s="8"/>
      <c r="D8" s="564"/>
      <c r="E8" s="565"/>
      <c r="F8" s="566"/>
      <c r="G8" s="567"/>
      <c r="H8" s="568"/>
      <c r="I8" s="568"/>
      <c r="J8" s="568"/>
      <c r="K8" s="568"/>
      <c r="L8" s="569"/>
      <c r="M8" s="27"/>
    </row>
    <row r="9" spans="1:13">
      <c r="A9" s="346" t="str">
        <f>A18</f>
        <v>D1</v>
      </c>
      <c r="B9" s="347" t="str">
        <f>B18</f>
        <v>ระบบท่อน้ำประปา</v>
      </c>
      <c r="C9" s="94"/>
      <c r="D9" s="570"/>
      <c r="E9" s="571"/>
      <c r="F9" s="572"/>
      <c r="G9" s="572"/>
      <c r="H9" s="573"/>
      <c r="I9" s="574">
        <f>I41</f>
        <v>24322.910125000002</v>
      </c>
      <c r="J9" s="573"/>
      <c r="K9" s="574">
        <f>K41</f>
        <v>12019.041462499998</v>
      </c>
      <c r="L9" s="575">
        <f>L41</f>
        <v>36341.9515875</v>
      </c>
      <c r="M9" s="249"/>
    </row>
    <row r="10" spans="1:13" ht="18" customHeight="1">
      <c r="A10" s="251" t="str">
        <f>A42</f>
        <v>D2</v>
      </c>
      <c r="B10" s="214" t="str">
        <f>B42</f>
        <v>ระบบท่อระบายทิ้ง น้ำเสียและน้ำโสโครก</v>
      </c>
      <c r="C10" s="114"/>
      <c r="D10" s="576"/>
      <c r="E10" s="577"/>
      <c r="F10" s="577"/>
      <c r="G10" s="578"/>
      <c r="H10" s="572"/>
      <c r="I10" s="579">
        <f>I57</f>
        <v>9911.5964999999997</v>
      </c>
      <c r="J10" s="579"/>
      <c r="K10" s="579">
        <f>K57</f>
        <v>6991.442</v>
      </c>
      <c r="L10" s="580">
        <f>L57</f>
        <v>16903.038499999995</v>
      </c>
      <c r="M10" s="85"/>
    </row>
    <row r="11" spans="1:13" ht="18" customHeight="1">
      <c r="A11" s="251" t="str">
        <f>A58</f>
        <v>D3</v>
      </c>
      <c r="B11" s="214" t="str">
        <f>B58</f>
        <v>งานระบบท่ออากาศ</v>
      </c>
      <c r="C11" s="114"/>
      <c r="D11" s="576"/>
      <c r="E11" s="577"/>
      <c r="F11" s="577"/>
      <c r="G11" s="578"/>
      <c r="H11" s="572"/>
      <c r="I11" s="579">
        <f>I69</f>
        <v>211.61250000000001</v>
      </c>
      <c r="J11" s="579"/>
      <c r="K11" s="579">
        <f>K69</f>
        <v>365.77125000000001</v>
      </c>
      <c r="L11" s="580">
        <f>L69</f>
        <v>577.38374999999996</v>
      </c>
      <c r="M11" s="85"/>
    </row>
    <row r="12" spans="1:13" ht="18" customHeight="1">
      <c r="A12" s="251" t="str">
        <f>A70</f>
        <v>D4</v>
      </c>
      <c r="B12" s="214" t="str">
        <f>B70</f>
        <v>งานระบบท่อระบายน้ำฝนของอาคาร</v>
      </c>
      <c r="C12" s="114"/>
      <c r="D12" s="576"/>
      <c r="E12" s="577"/>
      <c r="F12" s="578"/>
      <c r="G12" s="578"/>
      <c r="H12" s="572"/>
      <c r="I12" s="579">
        <f>I76</f>
        <v>786.59999999999991</v>
      </c>
      <c r="J12" s="579"/>
      <c r="K12" s="579">
        <f>K76</f>
        <v>1472</v>
      </c>
      <c r="L12" s="580">
        <f>L76</f>
        <v>2258.6</v>
      </c>
      <c r="M12" s="85"/>
    </row>
    <row r="13" spans="1:13" ht="18" customHeight="1">
      <c r="A13" s="251" t="str">
        <f>A77</f>
        <v>D5</v>
      </c>
      <c r="B13" s="214" t="str">
        <f>B77</f>
        <v>งานระบบระบายน้ำรอบพื้นที่</v>
      </c>
      <c r="C13" s="114"/>
      <c r="D13" s="576"/>
      <c r="E13" s="577"/>
      <c r="F13" s="578"/>
      <c r="G13" s="578"/>
      <c r="H13" s="572"/>
      <c r="I13" s="579">
        <f>I92</f>
        <v>24880.000000000004</v>
      </c>
      <c r="J13" s="579"/>
      <c r="K13" s="579">
        <f>K92</f>
        <v>5359</v>
      </c>
      <c r="L13" s="580">
        <f>L92</f>
        <v>30239.000000000004</v>
      </c>
      <c r="M13" s="85"/>
    </row>
    <row r="14" spans="1:13" ht="18" customHeight="1">
      <c r="A14" s="251"/>
      <c r="B14" s="214"/>
      <c r="C14" s="114"/>
      <c r="D14" s="576"/>
      <c r="E14" s="577"/>
      <c r="F14" s="578"/>
      <c r="G14" s="578"/>
      <c r="H14" s="572"/>
      <c r="I14" s="579"/>
      <c r="J14" s="579"/>
      <c r="K14" s="579"/>
      <c r="L14" s="580"/>
      <c r="M14" s="85"/>
    </row>
    <row r="15" spans="1:13" ht="18" customHeight="1">
      <c r="A15" s="251"/>
      <c r="B15" s="214"/>
      <c r="C15" s="114"/>
      <c r="D15" s="576"/>
      <c r="E15" s="577"/>
      <c r="F15" s="578"/>
      <c r="G15" s="578"/>
      <c r="H15" s="572"/>
      <c r="I15" s="581"/>
      <c r="J15" s="581"/>
      <c r="K15" s="579"/>
      <c r="L15" s="580"/>
      <c r="M15" s="85"/>
    </row>
    <row r="16" spans="1:13" ht="18" customHeight="1" thickBot="1">
      <c r="A16" s="251"/>
      <c r="B16" s="214"/>
      <c r="C16" s="114"/>
      <c r="D16" s="576"/>
      <c r="E16" s="577"/>
      <c r="F16" s="578"/>
      <c r="G16" s="578"/>
      <c r="H16" s="572"/>
      <c r="I16" s="581"/>
      <c r="J16" s="581"/>
      <c r="K16" s="579"/>
      <c r="L16" s="580"/>
      <c r="M16" s="85"/>
    </row>
    <row r="17" spans="1:13" s="7" customFormat="1" ht="15" thickTop="1" thickBot="1">
      <c r="A17" s="252"/>
      <c r="B17" s="44" t="s">
        <v>162</v>
      </c>
      <c r="C17" s="48"/>
      <c r="D17" s="582"/>
      <c r="E17" s="583"/>
      <c r="F17" s="583"/>
      <c r="G17" s="583"/>
      <c r="H17" s="584"/>
      <c r="I17" s="585">
        <f>SUM(I9:I16)</f>
        <v>60112.719125000003</v>
      </c>
      <c r="J17" s="584"/>
      <c r="K17" s="585">
        <f>SUM(K9:K16)</f>
        <v>26207.254712499998</v>
      </c>
      <c r="L17" s="585">
        <f>SUM(L9:L16)</f>
        <v>86319.973837500002</v>
      </c>
      <c r="M17" s="37"/>
    </row>
    <row r="18" spans="1:13" ht="20.100000000000001" customHeight="1" thickTop="1">
      <c r="A18" s="98" t="s">
        <v>337</v>
      </c>
      <c r="B18" s="99" t="s">
        <v>338</v>
      </c>
      <c r="C18" s="73"/>
      <c r="D18" s="586"/>
      <c r="E18" s="587"/>
      <c r="F18" s="588"/>
      <c r="G18" s="589"/>
      <c r="H18" s="590"/>
      <c r="I18" s="590"/>
      <c r="J18" s="590"/>
      <c r="K18" s="590"/>
      <c r="L18" s="591"/>
      <c r="M18" s="78"/>
    </row>
    <row r="19" spans="1:13" ht="20.100000000000001" customHeight="1">
      <c r="A19" s="251"/>
      <c r="B19" s="191" t="s">
        <v>339</v>
      </c>
      <c r="C19" s="114"/>
      <c r="D19" s="576"/>
      <c r="E19" s="577"/>
      <c r="F19" s="577"/>
      <c r="G19" s="578"/>
      <c r="H19" s="578"/>
      <c r="I19" s="579"/>
      <c r="J19" s="578"/>
      <c r="K19" s="579"/>
      <c r="L19" s="580"/>
      <c r="M19" s="85"/>
    </row>
    <row r="20" spans="1:13" ht="18" customHeight="1">
      <c r="A20" s="251"/>
      <c r="B20" s="214" t="s">
        <v>340</v>
      </c>
      <c r="C20" s="94">
        <v>19.600000000000001</v>
      </c>
      <c r="D20" s="570"/>
      <c r="E20" s="571"/>
      <c r="F20" s="571"/>
      <c r="G20" s="572" t="s">
        <v>341</v>
      </c>
      <c r="H20" s="572">
        <f>39.9/4</f>
        <v>9.9749999999999996</v>
      </c>
      <c r="I20" s="581">
        <f>C20*H20</f>
        <v>195.51000000000002</v>
      </c>
      <c r="J20" s="572">
        <v>30</v>
      </c>
      <c r="K20" s="581">
        <f>C20*J20</f>
        <v>588</v>
      </c>
      <c r="L20" s="575">
        <f>I20+K20</f>
        <v>783.51</v>
      </c>
      <c r="M20" s="85"/>
    </row>
    <row r="21" spans="1:13" ht="18" customHeight="1">
      <c r="A21" s="251"/>
      <c r="B21" s="214" t="s">
        <v>342</v>
      </c>
      <c r="C21" s="94">
        <v>18.3</v>
      </c>
      <c r="D21" s="570"/>
      <c r="E21" s="571"/>
      <c r="F21" s="571"/>
      <c r="G21" s="572" t="s">
        <v>341</v>
      </c>
      <c r="H21" s="572">
        <f>50.35/4</f>
        <v>12.5875</v>
      </c>
      <c r="I21" s="581">
        <f>C21*H21</f>
        <v>230.35125000000002</v>
      </c>
      <c r="J21" s="572">
        <v>30</v>
      </c>
      <c r="K21" s="581">
        <f>C21*J21</f>
        <v>549</v>
      </c>
      <c r="L21" s="575">
        <f>I21+K21</f>
        <v>779.35125000000005</v>
      </c>
      <c r="M21" s="85"/>
    </row>
    <row r="22" spans="1:13" ht="18" customHeight="1">
      <c r="A22" s="251"/>
      <c r="B22" s="214" t="s">
        <v>415</v>
      </c>
      <c r="C22" s="94">
        <v>3.5</v>
      </c>
      <c r="D22" s="570"/>
      <c r="E22" s="571"/>
      <c r="F22" s="571"/>
      <c r="G22" s="572" t="s">
        <v>341</v>
      </c>
      <c r="H22" s="572">
        <f>66.5/4</f>
        <v>16.625</v>
      </c>
      <c r="I22" s="581">
        <f>C22*H22</f>
        <v>58.1875</v>
      </c>
      <c r="J22" s="572">
        <v>30</v>
      </c>
      <c r="K22" s="581">
        <f>C22*J22</f>
        <v>105</v>
      </c>
      <c r="L22" s="575">
        <f>I22+K22</f>
        <v>163.1875</v>
      </c>
      <c r="M22" s="85"/>
    </row>
    <row r="23" spans="1:13" ht="18" customHeight="1">
      <c r="A23" s="251"/>
      <c r="B23" s="191" t="s">
        <v>343</v>
      </c>
      <c r="C23" s="94">
        <v>1</v>
      </c>
      <c r="D23" s="570"/>
      <c r="E23" s="571"/>
      <c r="F23" s="571"/>
      <c r="G23" s="572" t="s">
        <v>35</v>
      </c>
      <c r="H23" s="572">
        <f>SUM(I20:I22)*0.1</f>
        <v>48.404875000000004</v>
      </c>
      <c r="I23" s="581">
        <f>C23*H23</f>
        <v>48.404875000000004</v>
      </c>
      <c r="J23" s="572">
        <f>H23*0.3</f>
        <v>14.5214625</v>
      </c>
      <c r="K23" s="581">
        <f>C23*J23</f>
        <v>14.5214625</v>
      </c>
      <c r="L23" s="575">
        <f>I23+K23</f>
        <v>62.926337500000002</v>
      </c>
      <c r="M23" s="85"/>
    </row>
    <row r="24" spans="1:13" ht="18" customHeight="1">
      <c r="A24" s="251"/>
      <c r="B24" s="191" t="s">
        <v>344</v>
      </c>
      <c r="C24" s="94"/>
      <c r="D24" s="570"/>
      <c r="E24" s="571"/>
      <c r="F24" s="572"/>
      <c r="G24" s="572"/>
      <c r="H24" s="572"/>
      <c r="I24" s="581"/>
      <c r="J24" s="572"/>
      <c r="K24" s="581"/>
      <c r="L24" s="575"/>
      <c r="M24" s="85"/>
    </row>
    <row r="25" spans="1:13" ht="18" customHeight="1">
      <c r="A25" s="251"/>
      <c r="B25" s="191" t="s">
        <v>345</v>
      </c>
      <c r="C25" s="94">
        <v>3</v>
      </c>
      <c r="D25" s="570"/>
      <c r="E25" s="571"/>
      <c r="F25" s="572"/>
      <c r="G25" s="572" t="s">
        <v>124</v>
      </c>
      <c r="H25" s="572">
        <v>105</v>
      </c>
      <c r="I25" s="581">
        <f t="shared" ref="I25:I38" si="0">C25*H25</f>
        <v>315</v>
      </c>
      <c r="J25" s="572">
        <v>100</v>
      </c>
      <c r="K25" s="581">
        <f t="shared" ref="K25:K38" si="1">C25*J25</f>
        <v>300</v>
      </c>
      <c r="L25" s="575">
        <f t="shared" ref="L25:L38" si="2">I25+K25</f>
        <v>615</v>
      </c>
      <c r="M25" s="85"/>
    </row>
    <row r="26" spans="1:13" ht="18" customHeight="1">
      <c r="A26" s="251"/>
      <c r="B26" s="191" t="s">
        <v>346</v>
      </c>
      <c r="C26" s="94">
        <v>6</v>
      </c>
      <c r="D26" s="570"/>
      <c r="E26" s="571"/>
      <c r="F26" s="572"/>
      <c r="G26" s="572" t="s">
        <v>124</v>
      </c>
      <c r="H26" s="572">
        <v>264</v>
      </c>
      <c r="I26" s="581">
        <f t="shared" si="0"/>
        <v>1584</v>
      </c>
      <c r="J26" s="572">
        <v>150</v>
      </c>
      <c r="K26" s="581">
        <f t="shared" si="1"/>
        <v>900</v>
      </c>
      <c r="L26" s="575">
        <f t="shared" si="2"/>
        <v>2484</v>
      </c>
      <c r="M26" s="85"/>
    </row>
    <row r="27" spans="1:13" ht="18" customHeight="1">
      <c r="A27" s="251"/>
      <c r="B27" s="191" t="s">
        <v>347</v>
      </c>
      <c r="C27" s="94">
        <v>1</v>
      </c>
      <c r="D27" s="570"/>
      <c r="E27" s="571"/>
      <c r="F27" s="572"/>
      <c r="G27" s="572" t="s">
        <v>124</v>
      </c>
      <c r="H27" s="572">
        <v>1135</v>
      </c>
      <c r="I27" s="581">
        <f t="shared" si="0"/>
        <v>1135</v>
      </c>
      <c r="J27" s="572">
        <v>100</v>
      </c>
      <c r="K27" s="581">
        <f t="shared" si="1"/>
        <v>100</v>
      </c>
      <c r="L27" s="575">
        <f t="shared" si="2"/>
        <v>1235</v>
      </c>
      <c r="M27" s="85"/>
    </row>
    <row r="28" spans="1:13" ht="18" customHeight="1">
      <c r="A28" s="251"/>
      <c r="B28" s="191" t="s">
        <v>348</v>
      </c>
      <c r="C28" s="94">
        <v>3</v>
      </c>
      <c r="D28" s="570"/>
      <c r="E28" s="571"/>
      <c r="F28" s="572"/>
      <c r="G28" s="572" t="s">
        <v>124</v>
      </c>
      <c r="H28" s="572">
        <v>155</v>
      </c>
      <c r="I28" s="581">
        <f t="shared" si="0"/>
        <v>465</v>
      </c>
      <c r="J28" s="572">
        <v>50</v>
      </c>
      <c r="K28" s="581">
        <f t="shared" si="1"/>
        <v>150</v>
      </c>
      <c r="L28" s="575">
        <f t="shared" si="2"/>
        <v>615</v>
      </c>
      <c r="M28" s="85"/>
    </row>
    <row r="29" spans="1:13" ht="18" customHeight="1">
      <c r="A29" s="251"/>
      <c r="B29" s="191" t="s">
        <v>349</v>
      </c>
      <c r="C29" s="94">
        <v>1</v>
      </c>
      <c r="D29" s="570"/>
      <c r="E29" s="571"/>
      <c r="F29" s="572"/>
      <c r="G29" s="572" t="s">
        <v>124</v>
      </c>
      <c r="H29" s="572">
        <v>11600</v>
      </c>
      <c r="I29" s="581">
        <f t="shared" si="0"/>
        <v>11600</v>
      </c>
      <c r="J29" s="572">
        <f>H29*0.3</f>
        <v>3480</v>
      </c>
      <c r="K29" s="581">
        <f t="shared" si="1"/>
        <v>3480</v>
      </c>
      <c r="L29" s="575">
        <f t="shared" si="2"/>
        <v>15080</v>
      </c>
      <c r="M29" s="85"/>
    </row>
    <row r="30" spans="1:13" ht="18" customHeight="1">
      <c r="A30" s="251"/>
      <c r="B30" s="191" t="s">
        <v>350</v>
      </c>
      <c r="C30" s="94">
        <v>1</v>
      </c>
      <c r="D30" s="570"/>
      <c r="E30" s="571"/>
      <c r="F30" s="572"/>
      <c r="G30" s="572" t="s">
        <v>124</v>
      </c>
      <c r="H30" s="572">
        <v>4590</v>
      </c>
      <c r="I30" s="581">
        <f t="shared" si="0"/>
        <v>4590</v>
      </c>
      <c r="J30" s="572">
        <f>H30*0.3</f>
        <v>1377</v>
      </c>
      <c r="K30" s="581">
        <f t="shared" si="1"/>
        <v>1377</v>
      </c>
      <c r="L30" s="575">
        <f t="shared" si="2"/>
        <v>5967</v>
      </c>
      <c r="M30" s="85"/>
    </row>
    <row r="31" spans="1:13" ht="18" customHeight="1">
      <c r="A31" s="251"/>
      <c r="B31" s="191" t="s">
        <v>343</v>
      </c>
      <c r="C31" s="94">
        <v>1</v>
      </c>
      <c r="D31" s="570"/>
      <c r="E31" s="571"/>
      <c r="F31" s="572"/>
      <c r="G31" s="572" t="s">
        <v>35</v>
      </c>
      <c r="H31" s="572">
        <f>SUM(I25:I30)*0.1</f>
        <v>1968.9</v>
      </c>
      <c r="I31" s="581">
        <f t="shared" si="0"/>
        <v>1968.9</v>
      </c>
      <c r="J31" s="572">
        <f>H31*0.3</f>
        <v>590.66999999999996</v>
      </c>
      <c r="K31" s="581">
        <f t="shared" si="1"/>
        <v>590.66999999999996</v>
      </c>
      <c r="L31" s="575">
        <f t="shared" si="2"/>
        <v>2559.5700000000002</v>
      </c>
      <c r="M31" s="85"/>
    </row>
    <row r="32" spans="1:13" ht="18" customHeight="1">
      <c r="A32" s="251"/>
      <c r="B32" s="592" t="s">
        <v>416</v>
      </c>
      <c r="C32" s="94"/>
      <c r="D32" s="570"/>
      <c r="E32" s="571"/>
      <c r="F32" s="572"/>
      <c r="G32" s="572"/>
      <c r="H32" s="572"/>
      <c r="I32" s="581">
        <f t="shared" si="0"/>
        <v>0</v>
      </c>
      <c r="J32" s="572"/>
      <c r="K32" s="581">
        <f t="shared" si="1"/>
        <v>0</v>
      </c>
      <c r="L32" s="575">
        <f t="shared" si="2"/>
        <v>0</v>
      </c>
      <c r="M32" s="85"/>
    </row>
    <row r="33" spans="1:13" ht="18" customHeight="1">
      <c r="A33" s="251"/>
      <c r="B33" s="191" t="s">
        <v>417</v>
      </c>
      <c r="C33" s="94">
        <v>4</v>
      </c>
      <c r="D33" s="570"/>
      <c r="E33" s="571"/>
      <c r="F33" s="572"/>
      <c r="G33" s="572" t="s">
        <v>52</v>
      </c>
      <c r="H33" s="572">
        <f>150.82*6/2</f>
        <v>452.46</v>
      </c>
      <c r="I33" s="581">
        <f t="shared" si="0"/>
        <v>1809.84</v>
      </c>
      <c r="J33" s="572">
        <v>548</v>
      </c>
      <c r="K33" s="581">
        <f t="shared" si="1"/>
        <v>2192</v>
      </c>
      <c r="L33" s="575">
        <f t="shared" si="2"/>
        <v>4001.84</v>
      </c>
      <c r="M33" s="85"/>
    </row>
    <row r="34" spans="1:13" ht="18" customHeight="1">
      <c r="A34" s="251"/>
      <c r="B34" s="191" t="s">
        <v>418</v>
      </c>
      <c r="C34" s="94">
        <v>4</v>
      </c>
      <c r="D34" s="570"/>
      <c r="E34" s="571"/>
      <c r="F34" s="572"/>
      <c r="G34" s="572" t="s">
        <v>52</v>
      </c>
      <c r="H34" s="572"/>
      <c r="I34" s="581">
        <f t="shared" si="0"/>
        <v>0</v>
      </c>
      <c r="J34" s="572">
        <v>400</v>
      </c>
      <c r="K34" s="581">
        <f t="shared" si="1"/>
        <v>1600</v>
      </c>
      <c r="L34" s="575">
        <f t="shared" si="2"/>
        <v>1600</v>
      </c>
      <c r="M34" s="85"/>
    </row>
    <row r="35" spans="1:13" ht="18" customHeight="1">
      <c r="A35" s="251"/>
      <c r="B35" s="191" t="s">
        <v>419</v>
      </c>
      <c r="C35" s="94">
        <f>1*0.05</f>
        <v>0.05</v>
      </c>
      <c r="D35" s="570"/>
      <c r="E35" s="571"/>
      <c r="F35" s="572"/>
      <c r="G35" s="572" t="s">
        <v>420</v>
      </c>
      <c r="H35" s="572">
        <v>453.33</v>
      </c>
      <c r="I35" s="581">
        <f t="shared" si="0"/>
        <v>22.666499999999999</v>
      </c>
      <c r="J35" s="572">
        <v>91</v>
      </c>
      <c r="K35" s="581">
        <f t="shared" si="1"/>
        <v>4.55</v>
      </c>
      <c r="L35" s="575">
        <f t="shared" si="2"/>
        <v>27.2165</v>
      </c>
      <c r="M35" s="85"/>
    </row>
    <row r="36" spans="1:13" ht="18" customHeight="1">
      <c r="A36" s="251"/>
      <c r="B36" s="191" t="s">
        <v>397</v>
      </c>
      <c r="C36" s="94">
        <v>0.05</v>
      </c>
      <c r="D36" s="570"/>
      <c r="E36" s="571"/>
      <c r="F36" s="572"/>
      <c r="G36" s="572" t="s">
        <v>420</v>
      </c>
      <c r="H36" s="572">
        <v>2034</v>
      </c>
      <c r="I36" s="581">
        <f t="shared" si="0"/>
        <v>101.7</v>
      </c>
      <c r="J36" s="572">
        <v>398</v>
      </c>
      <c r="K36" s="581">
        <f t="shared" si="1"/>
        <v>19.900000000000002</v>
      </c>
      <c r="L36" s="575">
        <f t="shared" si="2"/>
        <v>121.60000000000001</v>
      </c>
      <c r="M36" s="85"/>
    </row>
    <row r="37" spans="1:13" s="7" customFormat="1">
      <c r="A37" s="251"/>
      <c r="B37" s="191" t="s">
        <v>421</v>
      </c>
      <c r="C37" s="94">
        <f>1*1*0.05</f>
        <v>0.05</v>
      </c>
      <c r="D37" s="570"/>
      <c r="E37" s="571"/>
      <c r="F37" s="572"/>
      <c r="G37" s="572" t="s">
        <v>420</v>
      </c>
      <c r="H37" s="572">
        <v>2367</v>
      </c>
      <c r="I37" s="581">
        <f t="shared" si="0"/>
        <v>118.35000000000001</v>
      </c>
      <c r="J37" s="572">
        <v>436</v>
      </c>
      <c r="K37" s="581">
        <f t="shared" si="1"/>
        <v>21.8</v>
      </c>
      <c r="L37" s="575">
        <f t="shared" si="2"/>
        <v>140.15</v>
      </c>
      <c r="M37" s="85"/>
    </row>
    <row r="38" spans="1:13" ht="20.100000000000001" customHeight="1">
      <c r="A38" s="251"/>
      <c r="B38" s="191" t="s">
        <v>422</v>
      </c>
      <c r="C38" s="94">
        <f>4*0.1*0.5</f>
        <v>0.2</v>
      </c>
      <c r="D38" s="570"/>
      <c r="E38" s="571"/>
      <c r="F38" s="572"/>
      <c r="G38" s="572" t="s">
        <v>36</v>
      </c>
      <c r="H38" s="572">
        <v>400</v>
      </c>
      <c r="I38" s="581">
        <f t="shared" si="0"/>
        <v>80</v>
      </c>
      <c r="J38" s="572">
        <v>133</v>
      </c>
      <c r="K38" s="581">
        <f t="shared" si="1"/>
        <v>26.6</v>
      </c>
      <c r="L38" s="575">
        <f t="shared" si="2"/>
        <v>106.6</v>
      </c>
      <c r="M38" s="85"/>
    </row>
    <row r="39" spans="1:13">
      <c r="A39" s="251"/>
      <c r="B39" s="191"/>
      <c r="C39" s="94"/>
      <c r="D39" s="570"/>
      <c r="E39" s="571"/>
      <c r="F39" s="572"/>
      <c r="G39" s="572"/>
      <c r="H39" s="572"/>
      <c r="I39" s="581"/>
      <c r="J39" s="572"/>
      <c r="K39" s="581"/>
      <c r="L39" s="575"/>
      <c r="M39" s="85"/>
    </row>
    <row r="40" spans="1:13" ht="14.4" thickBot="1">
      <c r="A40" s="251"/>
      <c r="B40" s="191"/>
      <c r="C40" s="94"/>
      <c r="D40" s="570"/>
      <c r="E40" s="571"/>
      <c r="F40" s="572"/>
      <c r="G40" s="572"/>
      <c r="H40" s="572"/>
      <c r="I40" s="581"/>
      <c r="J40" s="572"/>
      <c r="K40" s="581"/>
      <c r="L40" s="575"/>
      <c r="M40" s="85"/>
    </row>
    <row r="41" spans="1:13" ht="15" thickTop="1" thickBot="1">
      <c r="A41" s="252"/>
      <c r="B41" s="44" t="s">
        <v>351</v>
      </c>
      <c r="C41" s="48"/>
      <c r="D41" s="582"/>
      <c r="E41" s="583"/>
      <c r="F41" s="583"/>
      <c r="G41" s="583"/>
      <c r="H41" s="584"/>
      <c r="I41" s="585">
        <f>SUM(I19:I40)</f>
        <v>24322.910125000002</v>
      </c>
      <c r="J41" s="584"/>
      <c r="K41" s="585">
        <f>SUM(K19:K40)</f>
        <v>12019.041462499998</v>
      </c>
      <c r="L41" s="585">
        <f>SUM(L19:L40)</f>
        <v>36341.9515875</v>
      </c>
      <c r="M41" s="37" t="s">
        <v>34</v>
      </c>
    </row>
    <row r="42" spans="1:13" ht="18" customHeight="1" thickTop="1">
      <c r="A42" s="98" t="s">
        <v>352</v>
      </c>
      <c r="B42" s="99" t="s">
        <v>353</v>
      </c>
      <c r="C42" s="593"/>
      <c r="D42" s="594"/>
      <c r="E42" s="595"/>
      <c r="F42" s="596"/>
      <c r="G42" s="597"/>
      <c r="H42" s="598"/>
      <c r="I42" s="598"/>
      <c r="J42" s="598"/>
      <c r="K42" s="598"/>
      <c r="L42" s="599"/>
      <c r="M42" s="78"/>
    </row>
    <row r="43" spans="1:13" ht="35.25" customHeight="1">
      <c r="A43" s="251"/>
      <c r="B43" s="191" t="s">
        <v>354</v>
      </c>
      <c r="C43" s="94"/>
      <c r="D43" s="570"/>
      <c r="E43" s="571"/>
      <c r="F43" s="571"/>
      <c r="G43" s="572"/>
      <c r="H43" s="572"/>
      <c r="I43" s="581"/>
      <c r="J43" s="581"/>
      <c r="K43" s="581"/>
      <c r="L43" s="575"/>
      <c r="M43" s="85"/>
    </row>
    <row r="44" spans="1:13" ht="18" customHeight="1">
      <c r="A44" s="251"/>
      <c r="B44" s="191" t="s">
        <v>355</v>
      </c>
      <c r="C44" s="94">
        <f>8.8+4</f>
        <v>12.8</v>
      </c>
      <c r="D44" s="570"/>
      <c r="E44" s="571"/>
      <c r="F44" s="571"/>
      <c r="G44" s="572" t="s">
        <v>341</v>
      </c>
      <c r="H44" s="572">
        <f>171/4</f>
        <v>42.75</v>
      </c>
      <c r="I44" s="581">
        <f>C44*H44</f>
        <v>547.20000000000005</v>
      </c>
      <c r="J44" s="581">
        <v>40</v>
      </c>
      <c r="K44" s="581">
        <f>J44*C44</f>
        <v>512</v>
      </c>
      <c r="L44" s="575">
        <f>K44+I44</f>
        <v>1059.2</v>
      </c>
      <c r="M44" s="85"/>
    </row>
    <row r="45" spans="1:13" ht="18" customHeight="1">
      <c r="A45" s="251"/>
      <c r="B45" s="191" t="s">
        <v>356</v>
      </c>
      <c r="C45" s="94">
        <f>3.1+4</f>
        <v>7.1</v>
      </c>
      <c r="D45" s="570"/>
      <c r="E45" s="571"/>
      <c r="F45" s="571"/>
      <c r="G45" s="572" t="s">
        <v>341</v>
      </c>
      <c r="H45" s="572">
        <f>608/4</f>
        <v>152</v>
      </c>
      <c r="I45" s="581">
        <f>C45*H45</f>
        <v>1079.2</v>
      </c>
      <c r="J45" s="581">
        <v>100</v>
      </c>
      <c r="K45" s="581">
        <f>J45*C45</f>
        <v>710</v>
      </c>
      <c r="L45" s="575">
        <f>K45+I45</f>
        <v>1789.2</v>
      </c>
      <c r="M45" s="85"/>
    </row>
    <row r="46" spans="1:13" s="7" customFormat="1">
      <c r="A46" s="251"/>
      <c r="B46" s="191" t="s">
        <v>343</v>
      </c>
      <c r="C46" s="94">
        <v>1</v>
      </c>
      <c r="D46" s="570"/>
      <c r="E46" s="571"/>
      <c r="F46" s="571"/>
      <c r="G46" s="572" t="s">
        <v>35</v>
      </c>
      <c r="H46" s="572">
        <f>SUM(I44:I45)*0.1</f>
        <v>162.64000000000001</v>
      </c>
      <c r="I46" s="581">
        <f>C46*H46</f>
        <v>162.64000000000001</v>
      </c>
      <c r="J46" s="581">
        <f>H46*0.3</f>
        <v>48.792000000000002</v>
      </c>
      <c r="K46" s="581">
        <f>J46*C46</f>
        <v>48.792000000000002</v>
      </c>
      <c r="L46" s="575">
        <f>K46+I46</f>
        <v>211.43200000000002</v>
      </c>
      <c r="M46" s="85"/>
    </row>
    <row r="47" spans="1:13" ht="20.100000000000001" customHeight="1">
      <c r="A47" s="251"/>
      <c r="B47" s="191" t="s">
        <v>357</v>
      </c>
      <c r="C47" s="94">
        <v>1</v>
      </c>
      <c r="D47" s="570"/>
      <c r="E47" s="571"/>
      <c r="F47" s="571"/>
      <c r="G47" s="572" t="s">
        <v>124</v>
      </c>
      <c r="H47" s="572">
        <v>4790</v>
      </c>
      <c r="I47" s="581">
        <f>C47*H47</f>
        <v>4790</v>
      </c>
      <c r="J47" s="581">
        <f>H47*0.3</f>
        <v>1437</v>
      </c>
      <c r="K47" s="581">
        <f>J47*C47</f>
        <v>1437</v>
      </c>
      <c r="L47" s="575">
        <f>K47+I47</f>
        <v>6227</v>
      </c>
      <c r="M47" s="85"/>
    </row>
    <row r="48" spans="1:13" ht="20.100000000000001" customHeight="1">
      <c r="A48" s="251"/>
      <c r="B48" s="191" t="s">
        <v>423</v>
      </c>
      <c r="C48" s="94">
        <v>6</v>
      </c>
      <c r="D48" s="570"/>
      <c r="E48" s="571"/>
      <c r="F48" s="571"/>
      <c r="G48" s="572" t="s">
        <v>124</v>
      </c>
      <c r="H48" s="572">
        <v>200</v>
      </c>
      <c r="I48" s="581">
        <f>C48*H48</f>
        <v>1200</v>
      </c>
      <c r="J48" s="581">
        <v>50</v>
      </c>
      <c r="K48" s="581">
        <f>J48*C48</f>
        <v>300</v>
      </c>
      <c r="L48" s="575">
        <f>K48+I48</f>
        <v>1500</v>
      </c>
      <c r="M48" s="85"/>
    </row>
    <row r="49" spans="1:13" ht="18" customHeight="1">
      <c r="A49" s="251"/>
      <c r="B49" s="191" t="s">
        <v>424</v>
      </c>
      <c r="C49" s="94"/>
      <c r="D49" s="570"/>
      <c r="E49" s="571"/>
      <c r="F49" s="571"/>
      <c r="G49" s="572"/>
      <c r="H49" s="572"/>
      <c r="I49" s="581"/>
      <c r="J49" s="581"/>
      <c r="K49" s="581"/>
      <c r="L49" s="575"/>
      <c r="M49" s="85"/>
    </row>
    <row r="50" spans="1:13" ht="18" customHeight="1">
      <c r="A50" s="251"/>
      <c r="B50" s="191" t="s">
        <v>417</v>
      </c>
      <c r="C50" s="94">
        <v>4</v>
      </c>
      <c r="D50" s="570"/>
      <c r="E50" s="571"/>
      <c r="F50" s="572"/>
      <c r="G50" s="572" t="s">
        <v>52</v>
      </c>
      <c r="H50" s="572">
        <f>150.82*6/2</f>
        <v>452.46</v>
      </c>
      <c r="I50" s="581">
        <f>C50*H50</f>
        <v>1809.84</v>
      </c>
      <c r="J50" s="572">
        <v>548</v>
      </c>
      <c r="K50" s="581">
        <f t="shared" ref="K50:K56" si="3">C50*J50</f>
        <v>2192</v>
      </c>
      <c r="L50" s="575">
        <f t="shared" ref="L50:L56" si="4">I50+K50</f>
        <v>4001.84</v>
      </c>
      <c r="M50" s="85"/>
    </row>
    <row r="51" spans="1:13" ht="18" customHeight="1">
      <c r="A51" s="251"/>
      <c r="B51" s="191" t="s">
        <v>418</v>
      </c>
      <c r="C51" s="94">
        <v>4</v>
      </c>
      <c r="D51" s="570"/>
      <c r="E51" s="571"/>
      <c r="F51" s="572"/>
      <c r="G51" s="572" t="s">
        <v>52</v>
      </c>
      <c r="H51" s="572"/>
      <c r="I51" s="581">
        <f>C51*H51</f>
        <v>0</v>
      </c>
      <c r="J51" s="572">
        <v>400</v>
      </c>
      <c r="K51" s="581">
        <f t="shared" si="3"/>
        <v>1600</v>
      </c>
      <c r="L51" s="575">
        <f t="shared" si="4"/>
        <v>1600</v>
      </c>
      <c r="M51" s="85"/>
    </row>
    <row r="52" spans="1:13" ht="18" customHeight="1">
      <c r="A52" s="251"/>
      <c r="B52" s="191" t="s">
        <v>425</v>
      </c>
      <c r="C52" s="94">
        <v>1.2</v>
      </c>
      <c r="D52" s="570"/>
      <c r="E52" s="571"/>
      <c r="F52" s="572"/>
      <c r="G52" s="572" t="s">
        <v>420</v>
      </c>
      <c r="H52" s="572"/>
      <c r="I52" s="581"/>
      <c r="J52" s="572">
        <v>99</v>
      </c>
      <c r="K52" s="581">
        <f t="shared" si="3"/>
        <v>118.8</v>
      </c>
      <c r="L52" s="575">
        <f t="shared" si="4"/>
        <v>118.8</v>
      </c>
      <c r="M52" s="85"/>
    </row>
    <row r="53" spans="1:13" ht="18" customHeight="1">
      <c r="A53" s="251"/>
      <c r="B53" s="191" t="s">
        <v>419</v>
      </c>
      <c r="C53" s="94">
        <f>1*0.05</f>
        <v>0.05</v>
      </c>
      <c r="D53" s="570"/>
      <c r="E53" s="571"/>
      <c r="F53" s="572"/>
      <c r="G53" s="572" t="s">
        <v>420</v>
      </c>
      <c r="H53" s="572">
        <v>453.33</v>
      </c>
      <c r="I53" s="581">
        <f>C53*H53</f>
        <v>22.666499999999999</v>
      </c>
      <c r="J53" s="572">
        <v>91</v>
      </c>
      <c r="K53" s="581">
        <f t="shared" si="3"/>
        <v>4.55</v>
      </c>
      <c r="L53" s="575">
        <f t="shared" si="4"/>
        <v>27.2165</v>
      </c>
      <c r="M53" s="85"/>
    </row>
    <row r="54" spans="1:13" ht="18" customHeight="1">
      <c r="A54" s="251"/>
      <c r="B54" s="191" t="s">
        <v>397</v>
      </c>
      <c r="C54" s="94">
        <v>0.05</v>
      </c>
      <c r="D54" s="570"/>
      <c r="E54" s="571"/>
      <c r="F54" s="572"/>
      <c r="G54" s="572" t="s">
        <v>420</v>
      </c>
      <c r="H54" s="572">
        <v>2034</v>
      </c>
      <c r="I54" s="581">
        <f>C54*H54</f>
        <v>101.7</v>
      </c>
      <c r="J54" s="572">
        <v>398</v>
      </c>
      <c r="K54" s="581">
        <f t="shared" si="3"/>
        <v>19.900000000000002</v>
      </c>
      <c r="L54" s="575">
        <f t="shared" si="4"/>
        <v>121.60000000000001</v>
      </c>
      <c r="M54" s="85"/>
    </row>
    <row r="55" spans="1:13" ht="18" customHeight="1">
      <c r="A55" s="251"/>
      <c r="B55" s="191" t="s">
        <v>421</v>
      </c>
      <c r="C55" s="94">
        <f>1*1*0.05</f>
        <v>0.05</v>
      </c>
      <c r="D55" s="570"/>
      <c r="E55" s="571"/>
      <c r="F55" s="572"/>
      <c r="G55" s="572" t="s">
        <v>420</v>
      </c>
      <c r="H55" s="572">
        <v>2367</v>
      </c>
      <c r="I55" s="581">
        <f>C55*H55</f>
        <v>118.35000000000001</v>
      </c>
      <c r="J55" s="572">
        <v>436</v>
      </c>
      <c r="K55" s="581">
        <f t="shared" si="3"/>
        <v>21.8</v>
      </c>
      <c r="L55" s="575">
        <f t="shared" si="4"/>
        <v>140.15</v>
      </c>
      <c r="M55" s="85"/>
    </row>
    <row r="56" spans="1:13" ht="18" customHeight="1" thickBot="1">
      <c r="A56" s="251"/>
      <c r="B56" s="191" t="s">
        <v>422</v>
      </c>
      <c r="C56" s="94">
        <f>4*0.1*0.5</f>
        <v>0.2</v>
      </c>
      <c r="D56" s="570"/>
      <c r="E56" s="571"/>
      <c r="F56" s="572"/>
      <c r="G56" s="572" t="s">
        <v>36</v>
      </c>
      <c r="H56" s="572">
        <v>400</v>
      </c>
      <c r="I56" s="581">
        <f>C56*H56</f>
        <v>80</v>
      </c>
      <c r="J56" s="572">
        <v>133</v>
      </c>
      <c r="K56" s="581">
        <f t="shared" si="3"/>
        <v>26.6</v>
      </c>
      <c r="L56" s="575">
        <f t="shared" si="4"/>
        <v>106.6</v>
      </c>
      <c r="M56" s="85"/>
    </row>
    <row r="57" spans="1:13" ht="18" customHeight="1" thickTop="1" thickBot="1">
      <c r="A57" s="252"/>
      <c r="B57" s="44" t="s">
        <v>358</v>
      </c>
      <c r="C57" s="48"/>
      <c r="D57" s="582"/>
      <c r="E57" s="583"/>
      <c r="F57" s="583"/>
      <c r="G57" s="583"/>
      <c r="H57" s="584"/>
      <c r="I57" s="585">
        <f>SUM(I43:I56)</f>
        <v>9911.5964999999997</v>
      </c>
      <c r="J57" s="584"/>
      <c r="K57" s="585">
        <f>SUM(K43:K56)</f>
        <v>6991.442</v>
      </c>
      <c r="L57" s="585">
        <f>SUM(L43:L56)</f>
        <v>16903.038499999995</v>
      </c>
      <c r="M57" s="37" t="s">
        <v>34</v>
      </c>
    </row>
    <row r="58" spans="1:13" s="7" customFormat="1" ht="14.4" thickTop="1">
      <c r="A58" s="98" t="s">
        <v>359</v>
      </c>
      <c r="B58" s="99" t="s">
        <v>360</v>
      </c>
      <c r="C58" s="593"/>
      <c r="D58" s="594"/>
      <c r="E58" s="595"/>
      <c r="F58" s="596"/>
      <c r="G58" s="597"/>
      <c r="H58" s="598"/>
      <c r="I58" s="598"/>
      <c r="J58" s="598"/>
      <c r="K58" s="598"/>
      <c r="L58" s="599"/>
      <c r="M58" s="78"/>
    </row>
    <row r="59" spans="1:13" ht="20.100000000000001" customHeight="1">
      <c r="A59" s="251"/>
      <c r="B59" s="191" t="s">
        <v>361</v>
      </c>
      <c r="C59" s="94"/>
      <c r="D59" s="570"/>
      <c r="E59" s="571"/>
      <c r="F59" s="571"/>
      <c r="G59" s="572"/>
      <c r="H59" s="572"/>
      <c r="I59" s="581"/>
      <c r="J59" s="581"/>
      <c r="K59" s="581"/>
      <c r="L59" s="575"/>
      <c r="M59" s="85"/>
    </row>
    <row r="60" spans="1:13" ht="20.100000000000001" customHeight="1">
      <c r="A60" s="251"/>
      <c r="B60" s="191" t="s">
        <v>355</v>
      </c>
      <c r="C60" s="94">
        <v>4.5</v>
      </c>
      <c r="D60" s="570"/>
      <c r="E60" s="571"/>
      <c r="F60" s="571"/>
      <c r="G60" s="600" t="s">
        <v>341</v>
      </c>
      <c r="H60" s="572">
        <v>42.75</v>
      </c>
      <c r="I60" s="581">
        <f>C60*H60</f>
        <v>192.375</v>
      </c>
      <c r="J60" s="581">
        <v>80</v>
      </c>
      <c r="K60" s="581">
        <f>J60*C60</f>
        <v>360</v>
      </c>
      <c r="L60" s="575">
        <f>K60+I60</f>
        <v>552.375</v>
      </c>
      <c r="M60" s="85"/>
    </row>
    <row r="61" spans="1:13" ht="18" customHeight="1">
      <c r="A61" s="251"/>
      <c r="B61" s="191" t="s">
        <v>343</v>
      </c>
      <c r="C61" s="94">
        <v>1</v>
      </c>
      <c r="D61" s="570"/>
      <c r="E61" s="571"/>
      <c r="F61" s="571"/>
      <c r="G61" s="572" t="s">
        <v>35</v>
      </c>
      <c r="H61" s="572">
        <f>SUM(I58:I60)*0.1</f>
        <v>19.237500000000001</v>
      </c>
      <c r="I61" s="581">
        <f>C61*H61</f>
        <v>19.237500000000001</v>
      </c>
      <c r="J61" s="572">
        <f>H61*0.3</f>
        <v>5.7712500000000002</v>
      </c>
      <c r="K61" s="581">
        <f>C61*J61</f>
        <v>5.7712500000000002</v>
      </c>
      <c r="L61" s="575">
        <f>I61+K61</f>
        <v>25.008749999999999</v>
      </c>
      <c r="M61" s="85"/>
    </row>
    <row r="62" spans="1:13" ht="18" customHeight="1">
      <c r="A62" s="251"/>
      <c r="B62" s="191"/>
      <c r="C62" s="94"/>
      <c r="D62" s="570"/>
      <c r="E62" s="571"/>
      <c r="F62" s="571"/>
      <c r="G62" s="572"/>
      <c r="H62" s="572"/>
      <c r="I62" s="581"/>
      <c r="J62" s="581"/>
      <c r="K62" s="581"/>
      <c r="L62" s="575"/>
      <c r="M62" s="85"/>
    </row>
    <row r="63" spans="1:13" ht="18" customHeight="1">
      <c r="A63" s="251"/>
      <c r="B63" s="191"/>
      <c r="C63" s="94"/>
      <c r="D63" s="570"/>
      <c r="E63" s="571"/>
      <c r="F63" s="572"/>
      <c r="G63" s="600"/>
      <c r="H63" s="572"/>
      <c r="I63" s="581"/>
      <c r="J63" s="581"/>
      <c r="K63" s="581"/>
      <c r="L63" s="575"/>
      <c r="M63" s="85"/>
    </row>
    <row r="64" spans="1:13" ht="18" customHeight="1">
      <c r="A64" s="251"/>
      <c r="B64" s="191"/>
      <c r="C64" s="94"/>
      <c r="D64" s="570"/>
      <c r="E64" s="571"/>
      <c r="F64" s="572"/>
      <c r="G64" s="572"/>
      <c r="H64" s="572"/>
      <c r="I64" s="581"/>
      <c r="J64" s="581"/>
      <c r="K64" s="581"/>
      <c r="L64" s="575"/>
      <c r="M64" s="85"/>
    </row>
    <row r="65" spans="1:13" ht="18" customHeight="1">
      <c r="A65" s="251"/>
      <c r="B65" s="191"/>
      <c r="C65" s="94"/>
      <c r="D65" s="570"/>
      <c r="E65" s="571"/>
      <c r="F65" s="572"/>
      <c r="G65" s="572"/>
      <c r="H65" s="572"/>
      <c r="I65" s="581"/>
      <c r="J65" s="581"/>
      <c r="K65" s="581"/>
      <c r="L65" s="575"/>
      <c r="M65" s="85"/>
    </row>
    <row r="66" spans="1:13" ht="18" customHeight="1">
      <c r="A66" s="251"/>
      <c r="B66" s="191"/>
      <c r="C66" s="94"/>
      <c r="D66" s="570"/>
      <c r="E66" s="571"/>
      <c r="F66" s="572"/>
      <c r="G66" s="572"/>
      <c r="H66" s="572"/>
      <c r="I66" s="581"/>
      <c r="J66" s="581"/>
      <c r="K66" s="581"/>
      <c r="L66" s="575"/>
      <c r="M66" s="85"/>
    </row>
    <row r="67" spans="1:13" s="7" customFormat="1">
      <c r="A67" s="251"/>
      <c r="B67" s="191"/>
      <c r="C67" s="94"/>
      <c r="D67" s="570"/>
      <c r="E67" s="571"/>
      <c r="F67" s="572"/>
      <c r="G67" s="572"/>
      <c r="H67" s="572"/>
      <c r="I67" s="581"/>
      <c r="J67" s="581"/>
      <c r="K67" s="581"/>
      <c r="L67" s="575"/>
      <c r="M67" s="85"/>
    </row>
    <row r="68" spans="1:13" ht="20.100000000000001" customHeight="1" thickBot="1">
      <c r="A68" s="251"/>
      <c r="B68" s="191"/>
      <c r="C68" s="94"/>
      <c r="D68" s="570"/>
      <c r="E68" s="571"/>
      <c r="F68" s="572"/>
      <c r="G68" s="572"/>
      <c r="H68" s="572"/>
      <c r="I68" s="581"/>
      <c r="J68" s="581"/>
      <c r="K68" s="581"/>
      <c r="L68" s="575"/>
      <c r="M68" s="85"/>
    </row>
    <row r="69" spans="1:13" ht="20.100000000000001" customHeight="1" thickTop="1" thickBot="1">
      <c r="A69" s="252"/>
      <c r="B69" s="44" t="s">
        <v>362</v>
      </c>
      <c r="C69" s="48"/>
      <c r="D69" s="582"/>
      <c r="E69" s="583"/>
      <c r="F69" s="583"/>
      <c r="G69" s="583"/>
      <c r="H69" s="584"/>
      <c r="I69" s="585">
        <f>SUM(I59:I68)</f>
        <v>211.61250000000001</v>
      </c>
      <c r="J69" s="584"/>
      <c r="K69" s="585">
        <f>SUM(K59:K68)</f>
        <v>365.77125000000001</v>
      </c>
      <c r="L69" s="585">
        <f>SUM(L59:L68)</f>
        <v>577.38374999999996</v>
      </c>
      <c r="M69" s="37" t="s">
        <v>34</v>
      </c>
    </row>
    <row r="70" spans="1:13" ht="18" customHeight="1" thickTop="1">
      <c r="A70" s="98" t="s">
        <v>363</v>
      </c>
      <c r="B70" s="99" t="s">
        <v>364</v>
      </c>
      <c r="C70" s="593"/>
      <c r="D70" s="594"/>
      <c r="E70" s="595"/>
      <c r="F70" s="596"/>
      <c r="G70" s="597"/>
      <c r="H70" s="598"/>
      <c r="I70" s="598"/>
      <c r="J70" s="598"/>
      <c r="K70" s="598"/>
      <c r="L70" s="599"/>
      <c r="M70" s="78"/>
    </row>
    <row r="71" spans="1:13" ht="18" customHeight="1">
      <c r="A71" s="251"/>
      <c r="B71" s="191" t="s">
        <v>354</v>
      </c>
      <c r="C71" s="94"/>
      <c r="D71" s="570">
        <v>0</v>
      </c>
      <c r="E71" s="571"/>
      <c r="F71" s="571">
        <v>3</v>
      </c>
      <c r="G71" s="572"/>
      <c r="H71" s="572"/>
      <c r="I71" s="581"/>
      <c r="J71" s="581"/>
      <c r="K71" s="581"/>
      <c r="L71" s="575"/>
      <c r="M71" s="85"/>
    </row>
    <row r="72" spans="1:13" ht="18" customHeight="1">
      <c r="A72" s="251"/>
      <c r="B72" s="592" t="s">
        <v>355</v>
      </c>
      <c r="C72" s="94">
        <v>18.399999999999999</v>
      </c>
      <c r="D72" s="570"/>
      <c r="E72" s="571"/>
      <c r="F72" s="571"/>
      <c r="G72" s="600" t="s">
        <v>341</v>
      </c>
      <c r="H72" s="572">
        <v>42.75</v>
      </c>
      <c r="I72" s="581">
        <f>C72*H72</f>
        <v>786.59999999999991</v>
      </c>
      <c r="J72" s="581">
        <v>80</v>
      </c>
      <c r="K72" s="581">
        <f>J72*C72</f>
        <v>1472</v>
      </c>
      <c r="L72" s="575">
        <f>K72+I72</f>
        <v>2258.6</v>
      </c>
      <c r="M72" s="85"/>
    </row>
    <row r="73" spans="1:13" ht="18" customHeight="1">
      <c r="A73" s="251"/>
      <c r="B73" s="191" t="s">
        <v>426</v>
      </c>
      <c r="C73" s="94">
        <v>0</v>
      </c>
      <c r="D73" s="570">
        <v>0</v>
      </c>
      <c r="E73" s="571">
        <v>12</v>
      </c>
      <c r="F73" s="572"/>
      <c r="G73" s="600" t="s">
        <v>124</v>
      </c>
      <c r="H73" s="572">
        <v>1475</v>
      </c>
      <c r="I73" s="581">
        <f>C73*H73</f>
        <v>0</v>
      </c>
      <c r="J73" s="581">
        <f>H73*0.3</f>
        <v>442.5</v>
      </c>
      <c r="K73" s="581">
        <f>J73*C73</f>
        <v>0</v>
      </c>
      <c r="L73" s="575">
        <f>K73+I73</f>
        <v>0</v>
      </c>
      <c r="M73" s="85"/>
    </row>
    <row r="74" spans="1:13" ht="18" customHeight="1">
      <c r="A74" s="251"/>
      <c r="B74" s="191"/>
      <c r="C74" s="94"/>
      <c r="D74" s="570">
        <v>0</v>
      </c>
      <c r="E74" s="571">
        <v>12</v>
      </c>
      <c r="F74" s="572"/>
      <c r="G74" s="572"/>
      <c r="H74" s="572"/>
      <c r="I74" s="581"/>
      <c r="J74" s="581"/>
      <c r="K74" s="581"/>
      <c r="L74" s="575"/>
      <c r="M74" s="85"/>
    </row>
    <row r="75" spans="1:13" ht="18" customHeight="1" thickBot="1">
      <c r="A75" s="251"/>
      <c r="B75" s="191"/>
      <c r="C75" s="94"/>
      <c r="D75" s="570">
        <v>0</v>
      </c>
      <c r="E75" s="571">
        <v>12</v>
      </c>
      <c r="F75" s="572"/>
      <c r="G75" s="572"/>
      <c r="H75" s="572"/>
      <c r="I75" s="581"/>
      <c r="J75" s="581"/>
      <c r="K75" s="581"/>
      <c r="L75" s="575"/>
      <c r="M75" s="85"/>
    </row>
    <row r="76" spans="1:13" s="7" customFormat="1" ht="15" thickTop="1" thickBot="1">
      <c r="A76" s="252"/>
      <c r="B76" s="44" t="s">
        <v>365</v>
      </c>
      <c r="C76" s="48"/>
      <c r="D76" s="582"/>
      <c r="E76" s="583"/>
      <c r="F76" s="583"/>
      <c r="G76" s="583"/>
      <c r="H76" s="584"/>
      <c r="I76" s="585">
        <f>SUM(I71:I75)</f>
        <v>786.59999999999991</v>
      </c>
      <c r="J76" s="584"/>
      <c r="K76" s="585">
        <f>SUM(K71:K75)</f>
        <v>1472</v>
      </c>
      <c r="L76" s="585">
        <f>SUM(L71:L75)</f>
        <v>2258.6</v>
      </c>
      <c r="M76" s="37" t="s">
        <v>34</v>
      </c>
    </row>
    <row r="77" spans="1:13" s="345" customFormat="1" ht="14.4" thickTop="1">
      <c r="A77" s="98" t="s">
        <v>366</v>
      </c>
      <c r="B77" s="99" t="s">
        <v>367</v>
      </c>
      <c r="C77" s="593"/>
      <c r="D77" s="594"/>
      <c r="E77" s="595"/>
      <c r="F77" s="596"/>
      <c r="G77" s="597"/>
      <c r="H77" s="598"/>
      <c r="I77" s="598"/>
      <c r="J77" s="598"/>
      <c r="K77" s="598"/>
      <c r="L77" s="599"/>
      <c r="M77" s="78"/>
    </row>
    <row r="78" spans="1:13">
      <c r="A78" s="251"/>
      <c r="B78" s="191" t="s">
        <v>368</v>
      </c>
      <c r="C78" s="94">
        <v>69</v>
      </c>
      <c r="D78" s="570">
        <v>0</v>
      </c>
      <c r="E78" s="571"/>
      <c r="F78" s="571">
        <v>3</v>
      </c>
      <c r="G78" s="572" t="s">
        <v>341</v>
      </c>
      <c r="H78" s="572">
        <v>120</v>
      </c>
      <c r="I78" s="581">
        <f t="shared" ref="I78:I84" si="5">H78*C78</f>
        <v>8280</v>
      </c>
      <c r="J78" s="581">
        <v>48</v>
      </c>
      <c r="K78" s="581">
        <f t="shared" ref="K78:K84" si="6">J78*C78</f>
        <v>3312</v>
      </c>
      <c r="L78" s="575">
        <f t="shared" ref="L78:L84" si="7">K78+I78</f>
        <v>11592</v>
      </c>
      <c r="M78" s="85"/>
    </row>
    <row r="79" spans="1:13">
      <c r="A79" s="251"/>
      <c r="B79" s="191" t="s">
        <v>369</v>
      </c>
      <c r="C79" s="94">
        <v>11</v>
      </c>
      <c r="D79" s="570"/>
      <c r="E79" s="571"/>
      <c r="F79" s="571"/>
      <c r="G79" s="572" t="s">
        <v>124</v>
      </c>
      <c r="H79" s="572">
        <f>200/3*4+500</f>
        <v>766.66666666666674</v>
      </c>
      <c r="I79" s="581">
        <f t="shared" si="5"/>
        <v>8433.3333333333339</v>
      </c>
      <c r="J79" s="581">
        <v>100</v>
      </c>
      <c r="K79" s="581">
        <f t="shared" si="6"/>
        <v>1100</v>
      </c>
      <c r="L79" s="575">
        <f t="shared" si="7"/>
        <v>9533.3333333333339</v>
      </c>
      <c r="M79" s="85"/>
    </row>
    <row r="80" spans="1:13">
      <c r="A80" s="251"/>
      <c r="B80" s="191" t="s">
        <v>370</v>
      </c>
      <c r="C80" s="94">
        <v>1</v>
      </c>
      <c r="D80" s="570"/>
      <c r="E80" s="571"/>
      <c r="F80" s="571"/>
      <c r="G80" s="572" t="s">
        <v>124</v>
      </c>
      <c r="H80" s="572">
        <f>300+500</f>
        <v>800</v>
      </c>
      <c r="I80" s="581">
        <f t="shared" si="5"/>
        <v>800</v>
      </c>
      <c r="J80" s="581">
        <v>150</v>
      </c>
      <c r="K80" s="581">
        <f t="shared" si="6"/>
        <v>150</v>
      </c>
      <c r="L80" s="575">
        <f t="shared" si="7"/>
        <v>950</v>
      </c>
      <c r="M80" s="85"/>
    </row>
    <row r="81" spans="1:13">
      <c r="A81" s="251"/>
      <c r="B81" s="191" t="s">
        <v>427</v>
      </c>
      <c r="C81" s="94">
        <v>1</v>
      </c>
      <c r="D81" s="570"/>
      <c r="E81" s="571"/>
      <c r="F81" s="571"/>
      <c r="G81" s="572" t="s">
        <v>124</v>
      </c>
      <c r="H81" s="572">
        <v>2900</v>
      </c>
      <c r="I81" s="581">
        <f t="shared" si="5"/>
        <v>2900</v>
      </c>
      <c r="J81" s="581">
        <v>200</v>
      </c>
      <c r="K81" s="581">
        <f t="shared" si="6"/>
        <v>200</v>
      </c>
      <c r="L81" s="575">
        <f t="shared" si="7"/>
        <v>3100</v>
      </c>
      <c r="M81" s="85"/>
    </row>
    <row r="82" spans="1:13">
      <c r="A82" s="251"/>
      <c r="B82" s="191" t="s">
        <v>371</v>
      </c>
      <c r="C82" s="94">
        <v>1</v>
      </c>
      <c r="D82" s="570">
        <v>0</v>
      </c>
      <c r="E82" s="571">
        <v>12</v>
      </c>
      <c r="F82" s="572"/>
      <c r="G82" s="572" t="s">
        <v>124</v>
      </c>
      <c r="H82" s="572">
        <v>3700</v>
      </c>
      <c r="I82" s="581">
        <f t="shared" si="5"/>
        <v>3700</v>
      </c>
      <c r="J82" s="581">
        <v>200</v>
      </c>
      <c r="K82" s="581">
        <f t="shared" si="6"/>
        <v>200</v>
      </c>
      <c r="L82" s="575">
        <f t="shared" si="7"/>
        <v>3900</v>
      </c>
      <c r="M82" s="85"/>
    </row>
    <row r="83" spans="1:13">
      <c r="A83" s="251"/>
      <c r="B83" s="191" t="s">
        <v>425</v>
      </c>
      <c r="C83" s="601">
        <v>3</v>
      </c>
      <c r="D83" s="570"/>
      <c r="E83" s="571"/>
      <c r="F83" s="572"/>
      <c r="G83" s="572" t="s">
        <v>420</v>
      </c>
      <c r="H83" s="572">
        <v>0</v>
      </c>
      <c r="I83" s="581">
        <f t="shared" si="5"/>
        <v>0</v>
      </c>
      <c r="J83" s="581">
        <v>99</v>
      </c>
      <c r="K83" s="581">
        <f t="shared" si="6"/>
        <v>297</v>
      </c>
      <c r="L83" s="575">
        <f t="shared" si="7"/>
        <v>297</v>
      </c>
      <c r="M83" s="85"/>
    </row>
    <row r="84" spans="1:13">
      <c r="A84" s="251"/>
      <c r="B84" s="191" t="s">
        <v>428</v>
      </c>
      <c r="C84" s="94">
        <v>1</v>
      </c>
      <c r="D84" s="570"/>
      <c r="E84" s="571"/>
      <c r="F84" s="572"/>
      <c r="G84" s="572" t="s">
        <v>124</v>
      </c>
      <c r="H84" s="572">
        <f>200/3*4+500</f>
        <v>766.66666666666674</v>
      </c>
      <c r="I84" s="581">
        <f t="shared" si="5"/>
        <v>766.66666666666674</v>
      </c>
      <c r="J84" s="581">
        <v>100</v>
      </c>
      <c r="K84" s="581">
        <f t="shared" si="6"/>
        <v>100</v>
      </c>
      <c r="L84" s="575">
        <f t="shared" si="7"/>
        <v>866.66666666666674</v>
      </c>
      <c r="M84" s="85"/>
    </row>
    <row r="85" spans="1:13">
      <c r="A85" s="251"/>
      <c r="B85" s="191"/>
      <c r="C85" s="94"/>
      <c r="D85" s="570"/>
      <c r="E85" s="571"/>
      <c r="F85" s="572"/>
      <c r="G85" s="572"/>
      <c r="H85" s="572"/>
      <c r="I85" s="581"/>
      <c r="J85" s="581"/>
      <c r="K85" s="581"/>
      <c r="L85" s="575"/>
      <c r="M85" s="85"/>
    </row>
    <row r="86" spans="1:13">
      <c r="A86" s="251"/>
      <c r="B86" s="191"/>
      <c r="C86" s="94"/>
      <c r="D86" s="570"/>
      <c r="E86" s="571"/>
      <c r="F86" s="572"/>
      <c r="G86" s="572"/>
      <c r="H86" s="572"/>
      <c r="I86" s="581"/>
      <c r="J86" s="581"/>
      <c r="K86" s="581"/>
      <c r="L86" s="575"/>
      <c r="M86" s="85"/>
    </row>
    <row r="87" spans="1:13">
      <c r="A87" s="251"/>
      <c r="B87" s="191"/>
      <c r="C87" s="94"/>
      <c r="D87" s="570"/>
      <c r="E87" s="571"/>
      <c r="F87" s="572"/>
      <c r="G87" s="572"/>
      <c r="H87" s="572"/>
      <c r="I87" s="581"/>
      <c r="J87" s="581"/>
      <c r="K87" s="581"/>
      <c r="L87" s="575"/>
      <c r="M87" s="85"/>
    </row>
    <row r="88" spans="1:13">
      <c r="A88" s="251"/>
      <c r="B88" s="191"/>
      <c r="C88" s="94"/>
      <c r="D88" s="570"/>
      <c r="E88" s="571"/>
      <c r="F88" s="572"/>
      <c r="G88" s="572"/>
      <c r="H88" s="572"/>
      <c r="I88" s="581"/>
      <c r="J88" s="581"/>
      <c r="K88" s="581"/>
      <c r="L88" s="575"/>
      <c r="M88" s="85"/>
    </row>
    <row r="89" spans="1:13">
      <c r="A89" s="251"/>
      <c r="B89" s="191"/>
      <c r="C89" s="94"/>
      <c r="D89" s="570"/>
      <c r="E89" s="571"/>
      <c r="F89" s="572"/>
      <c r="G89" s="572"/>
      <c r="H89" s="572"/>
      <c r="I89" s="581"/>
      <c r="J89" s="581"/>
      <c r="K89" s="581"/>
      <c r="L89" s="575"/>
      <c r="M89" s="85"/>
    </row>
    <row r="90" spans="1:13">
      <c r="A90" s="251"/>
      <c r="B90" s="191"/>
      <c r="C90" s="94"/>
      <c r="D90" s="570">
        <v>0</v>
      </c>
      <c r="E90" s="571">
        <v>12</v>
      </c>
      <c r="F90" s="572"/>
      <c r="G90" s="572"/>
      <c r="H90" s="572"/>
      <c r="I90" s="581"/>
      <c r="J90" s="581"/>
      <c r="K90" s="581"/>
      <c r="L90" s="575"/>
      <c r="M90" s="85"/>
    </row>
    <row r="91" spans="1:13" ht="14.4" thickBot="1">
      <c r="A91" s="251"/>
      <c r="B91" s="191"/>
      <c r="C91" s="94"/>
      <c r="D91" s="570">
        <v>0</v>
      </c>
      <c r="E91" s="571">
        <v>12</v>
      </c>
      <c r="F91" s="572"/>
      <c r="G91" s="572"/>
      <c r="H91" s="572"/>
      <c r="I91" s="581"/>
      <c r="J91" s="581"/>
      <c r="K91" s="581"/>
      <c r="L91" s="575"/>
      <c r="M91" s="85"/>
    </row>
    <row r="92" spans="1:13" ht="15" thickTop="1" thickBot="1">
      <c r="A92" s="252"/>
      <c r="B92" s="44" t="s">
        <v>372</v>
      </c>
      <c r="C92" s="48"/>
      <c r="D92" s="582"/>
      <c r="E92" s="583"/>
      <c r="F92" s="583"/>
      <c r="G92" s="583"/>
      <c r="H92" s="584"/>
      <c r="I92" s="585">
        <f>SUM(I78:I91)</f>
        <v>24880.000000000004</v>
      </c>
      <c r="J92" s="584"/>
      <c r="K92" s="585">
        <f>SUM(K78:K91)</f>
        <v>5359</v>
      </c>
      <c r="L92" s="585">
        <f>SUM(L78:L91)</f>
        <v>30239.000000000004</v>
      </c>
      <c r="M92" s="37" t="s">
        <v>34</v>
      </c>
    </row>
    <row r="93" spans="1:13" ht="15" thickTop="1" thickBot="1">
      <c r="A93" s="338"/>
      <c r="B93" s="339" t="s">
        <v>162</v>
      </c>
      <c r="C93" s="339"/>
      <c r="D93" s="602"/>
      <c r="E93" s="603"/>
      <c r="F93" s="603"/>
      <c r="G93" s="603"/>
      <c r="H93" s="604"/>
      <c r="I93" s="605">
        <f>I92+I76+I69+I57+I41</f>
        <v>60112.719125000003</v>
      </c>
      <c r="J93" s="604"/>
      <c r="K93" s="605">
        <f>K92+K76+K69+K57+K41</f>
        <v>26207.254712499998</v>
      </c>
      <c r="L93" s="605">
        <f>L92+L76+L69+L57+L41</f>
        <v>86319.973837500002</v>
      </c>
      <c r="M93" s="344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2016-12-18T05:49:11Z</cp:lastPrinted>
  <dcterms:created xsi:type="dcterms:W3CDTF">2009-11-05T09:30:11Z</dcterms:created>
  <dcterms:modified xsi:type="dcterms:W3CDTF">2017-03-09T06:08:08Z</dcterms:modified>
</cp:coreProperties>
</file>