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240" yWindow="90" windowWidth="19440" windowHeight="12240" activeTab="1"/>
  </bookViews>
  <sheets>
    <sheet name="Matlock" sheetId="1" r:id="rId1"/>
    <sheet name="Davisson" sheetId="2" r:id="rId2"/>
  </sheets>
  <definedNames>
    <definedName name="_xlnm.Print_Area" localSheetId="1">Davisson!$A$1:$T$97</definedName>
    <definedName name="_xlnm.Print_Area" localSheetId="0">Matlock!$A$1:$T$97</definedName>
  </definedNames>
  <calcPr calcId="152511"/>
</workbook>
</file>

<file path=xl/calcChain.xml><?xml version="1.0" encoding="utf-8"?>
<calcChain xmlns="http://schemas.openxmlformats.org/spreadsheetml/2006/main">
  <c r="F15" i="2" l="1"/>
  <c r="I15" i="2" s="1"/>
  <c r="E18" i="2" s="1"/>
  <c r="B24" i="2" s="1"/>
  <c r="F15" i="1"/>
  <c r="B104" i="2"/>
  <c r="N105" i="1"/>
  <c r="A25" i="2"/>
  <c r="H11" i="2"/>
  <c r="D24" i="2" l="1"/>
  <c r="C24" i="2"/>
  <c r="F24" i="2"/>
  <c r="E24" i="2"/>
  <c r="B25" i="2"/>
  <c r="D25" i="2" s="1"/>
  <c r="A26" i="2"/>
  <c r="H18" i="2"/>
  <c r="I18" i="2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25" i="2" l="1"/>
  <c r="C25" i="2"/>
  <c r="J25" i="2" s="1"/>
  <c r="L25" i="2" s="1"/>
  <c r="E25" i="2"/>
  <c r="P25" i="2" s="1"/>
  <c r="R25" i="2" s="1"/>
  <c r="P24" i="2"/>
  <c r="K24" i="2"/>
  <c r="M24" i="2" s="1"/>
  <c r="O24" i="2"/>
  <c r="J24" i="2"/>
  <c r="L24" i="2" s="1"/>
  <c r="O25" i="2"/>
  <c r="R24" i="2"/>
  <c r="H24" i="2"/>
  <c r="Q24" i="2"/>
  <c r="G24" i="2"/>
  <c r="Q25" i="2"/>
  <c r="B26" i="2"/>
  <c r="A27" i="2"/>
  <c r="I15" i="1"/>
  <c r="E18" i="1" s="1"/>
  <c r="H11" i="1"/>
  <c r="G25" i="2" l="1"/>
  <c r="H25" i="2"/>
  <c r="K25" i="2"/>
  <c r="M25" i="2" s="1"/>
  <c r="F26" i="2"/>
  <c r="E26" i="2"/>
  <c r="D26" i="2"/>
  <c r="C26" i="2"/>
  <c r="B27" i="2"/>
  <c r="A28" i="2"/>
  <c r="B27" i="1"/>
  <c r="B31" i="1"/>
  <c r="B35" i="1"/>
  <c r="B41" i="1"/>
  <c r="B24" i="1"/>
  <c r="B26" i="1"/>
  <c r="B28" i="1"/>
  <c r="B30" i="1"/>
  <c r="B32" i="1"/>
  <c r="B34" i="1"/>
  <c r="B36" i="1"/>
  <c r="B38" i="1"/>
  <c r="B40" i="1"/>
  <c r="B42" i="1"/>
  <c r="B44" i="1"/>
  <c r="B25" i="1"/>
  <c r="B29" i="1"/>
  <c r="B33" i="1"/>
  <c r="B37" i="1"/>
  <c r="B39" i="1"/>
  <c r="B43" i="1"/>
  <c r="H18" i="1"/>
  <c r="I18" i="1" s="1"/>
  <c r="D33" i="1" l="1"/>
  <c r="C33" i="1"/>
  <c r="F33" i="1"/>
  <c r="E33" i="1"/>
  <c r="F42" i="1"/>
  <c r="E42" i="1"/>
  <c r="D42" i="1"/>
  <c r="C42" i="1"/>
  <c r="F38" i="1"/>
  <c r="E38" i="1"/>
  <c r="D38" i="1"/>
  <c r="C38" i="1"/>
  <c r="F30" i="1"/>
  <c r="E30" i="1"/>
  <c r="D30" i="1"/>
  <c r="C30" i="1"/>
  <c r="D41" i="1"/>
  <c r="C41" i="1"/>
  <c r="F41" i="1"/>
  <c r="E41" i="1"/>
  <c r="D43" i="1"/>
  <c r="C43" i="1"/>
  <c r="F43" i="1"/>
  <c r="E43" i="1"/>
  <c r="D37" i="1"/>
  <c r="C37" i="1"/>
  <c r="F37" i="1"/>
  <c r="E37" i="1"/>
  <c r="D29" i="1"/>
  <c r="C29" i="1"/>
  <c r="F29" i="1"/>
  <c r="E29" i="1"/>
  <c r="F44" i="1"/>
  <c r="E44" i="1"/>
  <c r="D44" i="1"/>
  <c r="C44" i="1"/>
  <c r="F40" i="1"/>
  <c r="E40" i="1"/>
  <c r="D40" i="1"/>
  <c r="C40" i="1"/>
  <c r="F36" i="1"/>
  <c r="E36" i="1"/>
  <c r="D36" i="1"/>
  <c r="C36" i="1"/>
  <c r="F32" i="1"/>
  <c r="E32" i="1"/>
  <c r="D32" i="1"/>
  <c r="C32" i="1"/>
  <c r="F28" i="1"/>
  <c r="E28" i="1"/>
  <c r="D28" i="1"/>
  <c r="C28" i="1"/>
  <c r="F24" i="1"/>
  <c r="E24" i="1"/>
  <c r="D24" i="1"/>
  <c r="C24" i="1"/>
  <c r="D35" i="1"/>
  <c r="C35" i="1"/>
  <c r="F35" i="1"/>
  <c r="E35" i="1"/>
  <c r="D27" i="1"/>
  <c r="C27" i="1"/>
  <c r="F27" i="1"/>
  <c r="E27" i="1"/>
  <c r="D39" i="1"/>
  <c r="C39" i="1"/>
  <c r="F39" i="1"/>
  <c r="E39" i="1"/>
  <c r="D25" i="1"/>
  <c r="C25" i="1"/>
  <c r="F25" i="1"/>
  <c r="E25" i="1"/>
  <c r="F34" i="1"/>
  <c r="E34" i="1"/>
  <c r="D34" i="1"/>
  <c r="C34" i="1"/>
  <c r="F26" i="1"/>
  <c r="E26" i="1"/>
  <c r="D26" i="1"/>
  <c r="C26" i="1"/>
  <c r="D31" i="1"/>
  <c r="C31" i="1"/>
  <c r="F31" i="1"/>
  <c r="E31" i="1"/>
  <c r="O26" i="2"/>
  <c r="Q26" i="2" s="1"/>
  <c r="J26" i="2"/>
  <c r="L26" i="2" s="1"/>
  <c r="P26" i="2"/>
  <c r="R26" i="2" s="1"/>
  <c r="K26" i="2"/>
  <c r="M26" i="2" s="1"/>
  <c r="D27" i="2"/>
  <c r="C27" i="2"/>
  <c r="F27" i="2"/>
  <c r="E27" i="2"/>
  <c r="H26" i="2"/>
  <c r="B28" i="2"/>
  <c r="A29" i="2"/>
  <c r="G26" i="2"/>
  <c r="J24" i="1" l="1"/>
  <c r="L24" i="1" s="1"/>
  <c r="K24" i="1"/>
  <c r="M24" i="1" s="1"/>
  <c r="K31" i="1"/>
  <c r="M31" i="1" s="1"/>
  <c r="J31" i="1"/>
  <c r="L31" i="1" s="1"/>
  <c r="J26" i="1"/>
  <c r="L26" i="1" s="1"/>
  <c r="K26" i="1"/>
  <c r="M26" i="1" s="1"/>
  <c r="J34" i="1"/>
  <c r="L34" i="1" s="1"/>
  <c r="K34" i="1"/>
  <c r="M34" i="1" s="1"/>
  <c r="K25" i="1"/>
  <c r="M25" i="1" s="1"/>
  <c r="J25" i="1"/>
  <c r="L25" i="1" s="1"/>
  <c r="K39" i="1"/>
  <c r="M39" i="1" s="1"/>
  <c r="J39" i="1"/>
  <c r="L39" i="1" s="1"/>
  <c r="K27" i="1"/>
  <c r="M27" i="1" s="1"/>
  <c r="J27" i="1"/>
  <c r="L27" i="1" s="1"/>
  <c r="K35" i="1"/>
  <c r="M35" i="1" s="1"/>
  <c r="J35" i="1"/>
  <c r="L35" i="1" s="1"/>
  <c r="J28" i="1"/>
  <c r="L28" i="1" s="1"/>
  <c r="K28" i="1"/>
  <c r="M28" i="1" s="1"/>
  <c r="J32" i="1"/>
  <c r="L32" i="1" s="1"/>
  <c r="K32" i="1"/>
  <c r="M32" i="1" s="1"/>
  <c r="J36" i="1"/>
  <c r="L36" i="1" s="1"/>
  <c r="K36" i="1"/>
  <c r="M36" i="1" s="1"/>
  <c r="J40" i="1"/>
  <c r="L40" i="1" s="1"/>
  <c r="K40" i="1"/>
  <c r="M40" i="1" s="1"/>
  <c r="J44" i="1"/>
  <c r="L44" i="1" s="1"/>
  <c r="K44" i="1"/>
  <c r="M44" i="1" s="1"/>
  <c r="K29" i="1"/>
  <c r="M29" i="1" s="1"/>
  <c r="J29" i="1"/>
  <c r="L29" i="1" s="1"/>
  <c r="K37" i="1"/>
  <c r="M37" i="1" s="1"/>
  <c r="J37" i="1"/>
  <c r="L37" i="1" s="1"/>
  <c r="K43" i="1"/>
  <c r="M43" i="1" s="1"/>
  <c r="J43" i="1"/>
  <c r="L43" i="1" s="1"/>
  <c r="K41" i="1"/>
  <c r="M41" i="1" s="1"/>
  <c r="J41" i="1"/>
  <c r="L41" i="1" s="1"/>
  <c r="J30" i="1"/>
  <c r="L30" i="1" s="1"/>
  <c r="K30" i="1"/>
  <c r="M30" i="1" s="1"/>
  <c r="J38" i="1"/>
  <c r="L38" i="1" s="1"/>
  <c r="K38" i="1"/>
  <c r="M38" i="1" s="1"/>
  <c r="J42" i="1"/>
  <c r="L42" i="1" s="1"/>
  <c r="K42" i="1"/>
  <c r="M42" i="1" s="1"/>
  <c r="K33" i="1"/>
  <c r="M33" i="1" s="1"/>
  <c r="J33" i="1"/>
  <c r="L33" i="1" s="1"/>
  <c r="H24" i="1"/>
  <c r="P24" i="1"/>
  <c r="R24" i="1" s="1"/>
  <c r="O24" i="1"/>
  <c r="Q24" i="1" s="1"/>
  <c r="P27" i="2"/>
  <c r="K27" i="2"/>
  <c r="M27" i="2" s="1"/>
  <c r="J27" i="2"/>
  <c r="L27" i="2" s="1"/>
  <c r="O27" i="2"/>
  <c r="Q27" i="2" s="1"/>
  <c r="R27" i="2"/>
  <c r="G25" i="1"/>
  <c r="O25" i="1"/>
  <c r="Q25" i="1" s="1"/>
  <c r="O40" i="1"/>
  <c r="Q40" i="1" s="1"/>
  <c r="P40" i="1"/>
  <c r="R40" i="1" s="1"/>
  <c r="H31" i="1"/>
  <c r="P31" i="1"/>
  <c r="R31" i="1" s="1"/>
  <c r="O41" i="1"/>
  <c r="Q41" i="1" s="1"/>
  <c r="O26" i="1"/>
  <c r="Q26" i="1" s="1"/>
  <c r="P26" i="1"/>
  <c r="R26" i="1" s="1"/>
  <c r="O30" i="1"/>
  <c r="Q30" i="1" s="1"/>
  <c r="P30" i="1"/>
  <c r="R30" i="1" s="1"/>
  <c r="O34" i="1"/>
  <c r="Q34" i="1" s="1"/>
  <c r="P34" i="1"/>
  <c r="R34" i="1" s="1"/>
  <c r="G38" i="1"/>
  <c r="O38" i="1"/>
  <c r="Q38" i="1" s="1"/>
  <c r="P38" i="1"/>
  <c r="R38" i="1" s="1"/>
  <c r="O42" i="1"/>
  <c r="Q42" i="1" s="1"/>
  <c r="P42" i="1"/>
  <c r="R42" i="1" s="1"/>
  <c r="H25" i="1"/>
  <c r="P25" i="1"/>
  <c r="R25" i="1" s="1"/>
  <c r="O33" i="1"/>
  <c r="Q33" i="1" s="1"/>
  <c r="H39" i="1"/>
  <c r="P39" i="1"/>
  <c r="R39" i="1" s="1"/>
  <c r="H27" i="1"/>
  <c r="P27" i="1"/>
  <c r="R27" i="1" s="1"/>
  <c r="H35" i="1"/>
  <c r="P35" i="1"/>
  <c r="R35" i="1" s="1"/>
  <c r="O28" i="1"/>
  <c r="Q28" i="1" s="1"/>
  <c r="P28" i="1"/>
  <c r="R28" i="1" s="1"/>
  <c r="O32" i="1"/>
  <c r="Q32" i="1" s="1"/>
  <c r="P32" i="1"/>
  <c r="R32" i="1" s="1"/>
  <c r="O36" i="1"/>
  <c r="Q36" i="1" s="1"/>
  <c r="P36" i="1"/>
  <c r="R36" i="1" s="1"/>
  <c r="O44" i="1"/>
  <c r="Q44" i="1" s="1"/>
  <c r="P44" i="1"/>
  <c r="R44" i="1" s="1"/>
  <c r="O29" i="1"/>
  <c r="Q29" i="1" s="1"/>
  <c r="O37" i="1"/>
  <c r="Q37" i="1" s="1"/>
  <c r="H37" i="1"/>
  <c r="P37" i="1"/>
  <c r="R37" i="1" s="1"/>
  <c r="G43" i="1"/>
  <c r="O43" i="1"/>
  <c r="Q43" i="1" s="1"/>
  <c r="G31" i="1"/>
  <c r="O31" i="1"/>
  <c r="Q31" i="1" s="1"/>
  <c r="H41" i="1"/>
  <c r="P41" i="1"/>
  <c r="R41" i="1" s="1"/>
  <c r="H33" i="1"/>
  <c r="P33" i="1"/>
  <c r="R33" i="1" s="1"/>
  <c r="G39" i="1"/>
  <c r="O39" i="1"/>
  <c r="Q39" i="1" s="1"/>
  <c r="G27" i="1"/>
  <c r="O27" i="1"/>
  <c r="Q27" i="1" s="1"/>
  <c r="G35" i="1"/>
  <c r="O35" i="1"/>
  <c r="Q35" i="1" s="1"/>
  <c r="H29" i="1"/>
  <c r="P29" i="1"/>
  <c r="R29" i="1" s="1"/>
  <c r="H43" i="1"/>
  <c r="P43" i="1"/>
  <c r="R43" i="1" s="1"/>
  <c r="F28" i="2"/>
  <c r="E28" i="2"/>
  <c r="D28" i="2"/>
  <c r="C28" i="2"/>
  <c r="B29" i="2"/>
  <c r="A30" i="2"/>
  <c r="G27" i="2"/>
  <c r="H27" i="2"/>
  <c r="G40" i="1"/>
  <c r="H40" i="1"/>
  <c r="G41" i="1"/>
  <c r="G26" i="1"/>
  <c r="H26" i="1"/>
  <c r="G30" i="1"/>
  <c r="H30" i="1"/>
  <c r="G34" i="1"/>
  <c r="H34" i="1"/>
  <c r="H38" i="1"/>
  <c r="G42" i="1"/>
  <c r="H42" i="1"/>
  <c r="G33" i="1"/>
  <c r="G24" i="1"/>
  <c r="G28" i="1"/>
  <c r="H28" i="1"/>
  <c r="G32" i="1"/>
  <c r="H32" i="1"/>
  <c r="G36" i="1"/>
  <c r="H36" i="1"/>
  <c r="G44" i="1"/>
  <c r="H44" i="1"/>
  <c r="G29" i="1"/>
  <c r="G37" i="1"/>
  <c r="O28" i="2" l="1"/>
  <c r="J28" i="2"/>
  <c r="L28" i="2" s="1"/>
  <c r="P28" i="2"/>
  <c r="K28" i="2"/>
  <c r="M28" i="2" s="1"/>
  <c r="D29" i="2"/>
  <c r="C29" i="2"/>
  <c r="F29" i="2"/>
  <c r="E29" i="2"/>
  <c r="R28" i="2"/>
  <c r="H28" i="2"/>
  <c r="B30" i="2"/>
  <c r="A31" i="2"/>
  <c r="Q28" i="2"/>
  <c r="G28" i="2"/>
  <c r="P29" i="2" l="1"/>
  <c r="R29" i="2" s="1"/>
  <c r="K29" i="2"/>
  <c r="M29" i="2" s="1"/>
  <c r="O29" i="2"/>
  <c r="J29" i="2"/>
  <c r="L29" i="2" s="1"/>
  <c r="Q29" i="2"/>
  <c r="F30" i="2"/>
  <c r="E30" i="2"/>
  <c r="D30" i="2"/>
  <c r="C30" i="2"/>
  <c r="H29" i="2"/>
  <c r="G29" i="2"/>
  <c r="B31" i="2"/>
  <c r="A32" i="2"/>
  <c r="O30" i="2" l="1"/>
  <c r="J30" i="2"/>
  <c r="L30" i="2" s="1"/>
  <c r="P30" i="2"/>
  <c r="K30" i="2"/>
  <c r="M30" i="2" s="1"/>
  <c r="D31" i="2"/>
  <c r="C31" i="2"/>
  <c r="F31" i="2"/>
  <c r="E31" i="2"/>
  <c r="B32" i="2"/>
  <c r="A33" i="2"/>
  <c r="Q30" i="2"/>
  <c r="G30" i="2"/>
  <c r="R30" i="2"/>
  <c r="H30" i="2"/>
  <c r="P31" i="2" l="1"/>
  <c r="R31" i="2" s="1"/>
  <c r="K31" i="2"/>
  <c r="M31" i="2" s="1"/>
  <c r="O31" i="2"/>
  <c r="Q31" i="2" s="1"/>
  <c r="J31" i="2"/>
  <c r="L31" i="2" s="1"/>
  <c r="F32" i="2"/>
  <c r="E32" i="2"/>
  <c r="D32" i="2"/>
  <c r="C32" i="2"/>
  <c r="H31" i="2"/>
  <c r="B33" i="2"/>
  <c r="A34" i="2"/>
  <c r="G31" i="2"/>
  <c r="O32" i="2" l="1"/>
  <c r="J32" i="2"/>
  <c r="L32" i="2" s="1"/>
  <c r="P32" i="2"/>
  <c r="K32" i="2"/>
  <c r="M32" i="2" s="1"/>
  <c r="D33" i="2"/>
  <c r="C33" i="2"/>
  <c r="F33" i="2"/>
  <c r="E33" i="2"/>
  <c r="R32" i="2"/>
  <c r="H32" i="2"/>
  <c r="A35" i="2"/>
  <c r="B34" i="2"/>
  <c r="Q32" i="2"/>
  <c r="G32" i="2"/>
  <c r="P33" i="2" l="1"/>
  <c r="R33" i="2" s="1"/>
  <c r="K33" i="2"/>
  <c r="M33" i="2" s="1"/>
  <c r="J33" i="2"/>
  <c r="L33" i="2" s="1"/>
  <c r="O33" i="2"/>
  <c r="Q33" i="2" s="1"/>
  <c r="F34" i="2"/>
  <c r="E34" i="2"/>
  <c r="D34" i="2"/>
  <c r="C34" i="2"/>
  <c r="H33" i="2"/>
  <c r="G33" i="2"/>
  <c r="B35" i="2"/>
  <c r="A36" i="2"/>
  <c r="O34" i="2" l="1"/>
  <c r="J34" i="2"/>
  <c r="L34" i="2" s="1"/>
  <c r="P34" i="2"/>
  <c r="K34" i="2"/>
  <c r="M34" i="2" s="1"/>
  <c r="D35" i="2"/>
  <c r="C35" i="2"/>
  <c r="F35" i="2"/>
  <c r="E35" i="2"/>
  <c r="R34" i="2"/>
  <c r="H34" i="2"/>
  <c r="B36" i="2"/>
  <c r="A37" i="2"/>
  <c r="Q34" i="2"/>
  <c r="G34" i="2"/>
  <c r="P35" i="2" l="1"/>
  <c r="R35" i="2" s="1"/>
  <c r="K35" i="2"/>
  <c r="M35" i="2" s="1"/>
  <c r="O35" i="2"/>
  <c r="Q35" i="2" s="1"/>
  <c r="J35" i="2"/>
  <c r="L35" i="2" s="1"/>
  <c r="F36" i="2"/>
  <c r="E36" i="2"/>
  <c r="D36" i="2"/>
  <c r="C36" i="2"/>
  <c r="H35" i="2"/>
  <c r="B37" i="2"/>
  <c r="A38" i="2"/>
  <c r="G35" i="2"/>
  <c r="O36" i="2" l="1"/>
  <c r="J36" i="2"/>
  <c r="L36" i="2" s="1"/>
  <c r="P36" i="2"/>
  <c r="K36" i="2"/>
  <c r="M36" i="2" s="1"/>
  <c r="D37" i="2"/>
  <c r="C37" i="2"/>
  <c r="F37" i="2"/>
  <c r="E37" i="2"/>
  <c r="R36" i="2"/>
  <c r="H36" i="2"/>
  <c r="Q36" i="2"/>
  <c r="G36" i="2"/>
  <c r="B38" i="2"/>
  <c r="A39" i="2"/>
  <c r="P37" i="2" l="1"/>
  <c r="K37" i="2"/>
  <c r="M37" i="2" s="1"/>
  <c r="O37" i="2"/>
  <c r="J37" i="2"/>
  <c r="L37" i="2" s="1"/>
  <c r="F38" i="2"/>
  <c r="E38" i="2"/>
  <c r="D38" i="2"/>
  <c r="C38" i="2"/>
  <c r="R37" i="2"/>
  <c r="H37" i="2"/>
  <c r="B39" i="2"/>
  <c r="A40" i="2"/>
  <c r="Q37" i="2"/>
  <c r="G37" i="2"/>
  <c r="O38" i="2" l="1"/>
  <c r="J38" i="2"/>
  <c r="L38" i="2" s="1"/>
  <c r="P38" i="2"/>
  <c r="K38" i="2"/>
  <c r="M38" i="2" s="1"/>
  <c r="D39" i="2"/>
  <c r="C39" i="2"/>
  <c r="F39" i="2"/>
  <c r="E39" i="2"/>
  <c r="R38" i="2"/>
  <c r="H38" i="2"/>
  <c r="B40" i="2"/>
  <c r="A41" i="2"/>
  <c r="Q38" i="2"/>
  <c r="G38" i="2"/>
  <c r="P39" i="2" l="1"/>
  <c r="K39" i="2"/>
  <c r="M39" i="2" s="1"/>
  <c r="O39" i="2"/>
  <c r="J39" i="2"/>
  <c r="L39" i="2" s="1"/>
  <c r="F40" i="2"/>
  <c r="E40" i="2"/>
  <c r="D40" i="2"/>
  <c r="C40" i="2"/>
  <c r="R39" i="2"/>
  <c r="H39" i="2"/>
  <c r="Q39" i="2"/>
  <c r="G39" i="2"/>
  <c r="B41" i="2"/>
  <c r="A42" i="2"/>
  <c r="O40" i="2" l="1"/>
  <c r="J40" i="2"/>
  <c r="L40" i="2" s="1"/>
  <c r="P40" i="2"/>
  <c r="R40" i="2" s="1"/>
  <c r="K40" i="2"/>
  <c r="M40" i="2" s="1"/>
  <c r="D41" i="2"/>
  <c r="C41" i="2"/>
  <c r="F41" i="2"/>
  <c r="E41" i="2"/>
  <c r="H40" i="2"/>
  <c r="B42" i="2"/>
  <c r="A43" i="2"/>
  <c r="Q40" i="2"/>
  <c r="G40" i="2"/>
  <c r="P41" i="2" l="1"/>
  <c r="K41" i="2"/>
  <c r="M41" i="2" s="1"/>
  <c r="O41" i="2"/>
  <c r="J41" i="2"/>
  <c r="L41" i="2" s="1"/>
  <c r="F42" i="2"/>
  <c r="E42" i="2"/>
  <c r="D42" i="2"/>
  <c r="C42" i="2"/>
  <c r="R41" i="2"/>
  <c r="H41" i="2"/>
  <c r="B43" i="2"/>
  <c r="A44" i="2"/>
  <c r="B44" i="2" s="1"/>
  <c r="Q41" i="2"/>
  <c r="G41" i="2"/>
  <c r="O42" i="2" l="1"/>
  <c r="J42" i="2"/>
  <c r="L42" i="2" s="1"/>
  <c r="P42" i="2"/>
  <c r="K42" i="2"/>
  <c r="M42" i="2" s="1"/>
  <c r="D43" i="2"/>
  <c r="C43" i="2"/>
  <c r="F43" i="2"/>
  <c r="E43" i="2"/>
  <c r="F44" i="2"/>
  <c r="E44" i="2"/>
  <c r="D44" i="2"/>
  <c r="C44" i="2"/>
  <c r="R42" i="2"/>
  <c r="H42" i="2"/>
  <c r="Q42" i="2"/>
  <c r="G42" i="2"/>
  <c r="O44" i="2" l="1"/>
  <c r="J44" i="2"/>
  <c r="L44" i="2" s="1"/>
  <c r="P44" i="2"/>
  <c r="R44" i="2" s="1"/>
  <c r="K44" i="2"/>
  <c r="M44" i="2" s="1"/>
  <c r="P43" i="2"/>
  <c r="K43" i="2"/>
  <c r="M43" i="2" s="1"/>
  <c r="O43" i="2"/>
  <c r="Q43" i="2" s="1"/>
  <c r="J43" i="2"/>
  <c r="L43" i="2" s="1"/>
  <c r="R43" i="2"/>
  <c r="H43" i="2"/>
  <c r="Q44" i="2"/>
  <c r="G44" i="2"/>
  <c r="G43" i="2"/>
  <c r="H44" i="2"/>
</calcChain>
</file>

<file path=xl/comments1.xml><?xml version="1.0" encoding="utf-8"?>
<comments xmlns="http://schemas.openxmlformats.org/spreadsheetml/2006/main">
  <authors>
    <author>punlop.v</author>
    <author>user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for layer from depth 0 to 8B</t>
        </r>
      </text>
    </comment>
    <comment ref="F20" authorId="1" shapeId="0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Mt transformed to axial loads if using pile cap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1.0 = Fixed
0     = Free</t>
        </r>
      </text>
    </comment>
    <comment ref="L105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from graph</t>
        </r>
      </text>
    </comment>
  </commentList>
</comments>
</file>

<file path=xl/comments2.xml><?xml version="1.0" encoding="utf-8"?>
<comments xmlns="http://schemas.openxmlformats.org/spreadsheetml/2006/main">
  <authors>
    <author>punlop.v</author>
    <author>user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for layer from depth 0 to 8B</t>
        </r>
      </text>
    </comment>
    <comment ref="F20" authorId="1" shapeId="0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Mt transformed to axial loads if using pile cap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1.0 = Fixed
0     = Free</t>
        </r>
      </text>
    </comment>
  </commentList>
</comments>
</file>

<file path=xl/sharedStrings.xml><?xml version="1.0" encoding="utf-8"?>
<sst xmlns="http://schemas.openxmlformats.org/spreadsheetml/2006/main" count="135" uniqueCount="69">
  <si>
    <t>Project Name :</t>
  </si>
  <si>
    <t>Project No:</t>
  </si>
  <si>
    <t>Client :</t>
  </si>
  <si>
    <t>Subject :</t>
  </si>
  <si>
    <t>Prepared by:</t>
  </si>
  <si>
    <t>PV</t>
  </si>
  <si>
    <t>Date :</t>
  </si>
  <si>
    <t>Checked by:</t>
  </si>
  <si>
    <t>Input Parameters</t>
  </si>
  <si>
    <t>Pile Modulus, E</t>
  </si>
  <si>
    <t>kPa</t>
  </si>
  <si>
    <t>Pile Moment of Inertia , I</t>
  </si>
  <si>
    <t>Pile Length, L</t>
  </si>
  <si>
    <t>m</t>
  </si>
  <si>
    <t>Load at Head, H</t>
  </si>
  <si>
    <t>kN</t>
  </si>
  <si>
    <t>kN.m</t>
  </si>
  <si>
    <t>EI =</t>
  </si>
  <si>
    <t>T =</t>
  </si>
  <si>
    <t>L/T =</t>
  </si>
  <si>
    <t>z (m)</t>
  </si>
  <si>
    <t>Z (-)</t>
  </si>
  <si>
    <t>Ax</t>
  </si>
  <si>
    <t>Bx</t>
  </si>
  <si>
    <t>Am</t>
  </si>
  <si>
    <t>Bm</t>
  </si>
  <si>
    <t>Fx</t>
  </si>
  <si>
    <t>Fm</t>
  </si>
  <si>
    <t>xz (mm)</t>
  </si>
  <si>
    <t>Mz (kN.m)</t>
  </si>
  <si>
    <t>Output</t>
  </si>
  <si>
    <t>Free Head</t>
  </si>
  <si>
    <t>Fixed Head</t>
  </si>
  <si>
    <t>Partially-Fixed Head</t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</si>
  <si>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=</t>
    </r>
  </si>
  <si>
    <t>Laterally-Loaded Pile Elastic Analysis for Sand and NC Clay (Modulus Linearly-Increasing with Depth)</t>
  </si>
  <si>
    <t>Reference:</t>
  </si>
  <si>
    <t>Matlock and Reese (1960)</t>
  </si>
  <si>
    <t>Laterally-Loaded Pile Elastic Analysis for OC Clay (Modulus Constant with Depth)</t>
  </si>
  <si>
    <t>R =</t>
  </si>
  <si>
    <t>L/R =</t>
  </si>
  <si>
    <t>Pile Size, B</t>
  </si>
  <si>
    <t>Davisson and Gill (1963)</t>
  </si>
  <si>
    <t>Remark:</t>
  </si>
  <si>
    <t>k =</t>
  </si>
  <si>
    <t>Separate Calculation for kh</t>
  </si>
  <si>
    <t>Pile Size, B =</t>
  </si>
  <si>
    <t>Moment at Head, M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</si>
  <si>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</si>
  <si>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</si>
  <si>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0"/>
        <rFont val="Arial"/>
        <family val="2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0"/>
        <rFont val="Arial"/>
        <family val="2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</si>
  <si>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</si>
  <si>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</si>
  <si>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</si>
  <si>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</si>
  <si>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r>
      <t>Soil n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</t>
    </r>
  </si>
  <si>
    <r>
      <t>Soil k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</t>
    </r>
  </si>
  <si>
    <r>
      <t>m</t>
    </r>
    <r>
      <rPr>
        <vertAlign val="superscript"/>
        <sz val="11"/>
        <color theme="1"/>
        <rFont val="Calibri"/>
        <family val="2"/>
        <scheme val="minor"/>
      </rPr>
      <t>4</t>
    </r>
  </si>
  <si>
    <r>
      <t>kN.m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</si>
  <si>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kN/m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</si>
  <si>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</si>
  <si>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</t>
    </r>
  </si>
  <si>
    <r>
      <t>constant giving variation of soil modulus with depth = n</t>
    </r>
    <r>
      <rPr>
        <vertAlign val="subscript"/>
        <sz val="11"/>
        <color theme="1"/>
        <rFont val="Calibri"/>
        <family val="2"/>
        <scheme val="minor"/>
      </rPr>
      <t>h</t>
    </r>
  </si>
  <si>
    <r>
      <t>n</t>
    </r>
    <r>
      <rPr>
        <vertAlign val="subscript"/>
        <sz val="11"/>
        <color theme="1"/>
        <rFont val="Calibri"/>
        <family val="2"/>
        <scheme val="minor"/>
      </rPr>
      <t xml:space="preserve">h </t>
    </r>
    <r>
      <rPr>
        <sz val="11"/>
        <color theme="1"/>
        <rFont val="Calibri"/>
        <family val="2"/>
        <scheme val="minor"/>
      </rPr>
      <t>=</t>
    </r>
  </si>
  <si>
    <r>
      <t>lb/in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=</t>
    </r>
  </si>
  <si>
    <r>
      <t>n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=</t>
    </r>
  </si>
  <si>
    <r>
      <t>300 to 600 kN/m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for soft NC clay</t>
    </r>
  </si>
  <si>
    <r>
      <t>Separate Calculation for n</t>
    </r>
    <r>
      <rPr>
        <b/>
        <u/>
        <vertAlign val="subscript"/>
        <sz val="11"/>
        <color rgb="FF0000FF"/>
        <rFont val="Calibri"/>
        <family val="2"/>
        <scheme val="minor"/>
      </rPr>
      <t>h</t>
    </r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</si>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</sst>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b/>
      <sz val="11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vertAlign val="subscript"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Border="1" applyProtection="1"/>
    <xf numFmtId="0" fontId="0" fillId="2" borderId="1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Border="1" applyProtection="1"/>
    <xf numFmtId="0" fontId="0" fillId="2" borderId="4" xfId="0" applyFill="1" applyBorder="1" applyProtection="1">
      <protection locked="0"/>
    </xf>
    <xf numFmtId="15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5" fontId="0" fillId="0" borderId="5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5" fontId="0" fillId="0" borderId="9" xfId="0" applyNumberFormat="1" applyBorder="1"/>
    <xf numFmtId="165" fontId="0" fillId="0" borderId="10" xfId="0" applyNumberFormat="1" applyBorder="1"/>
    <xf numFmtId="165" fontId="0" fillId="0" borderId="9" xfId="0" applyNumberForma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66" fontId="6" fillId="0" borderId="9" xfId="0" applyNumberFormat="1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2" fontId="6" fillId="0" borderId="5" xfId="0" applyNumberFormat="1" applyFont="1" applyBorder="1"/>
    <xf numFmtId="2" fontId="6" fillId="0" borderId="9" xfId="0" applyNumberFormat="1" applyFont="1" applyBorder="1"/>
    <xf numFmtId="2" fontId="6" fillId="0" borderId="6" xfId="0" applyNumberFormat="1" applyFont="1" applyBorder="1"/>
    <xf numFmtId="166" fontId="6" fillId="0" borderId="5" xfId="0" applyNumberFormat="1" applyFont="1" applyBorder="1"/>
    <xf numFmtId="166" fontId="6" fillId="0" borderId="9" xfId="0" applyNumberFormat="1" applyFont="1" applyBorder="1"/>
    <xf numFmtId="166" fontId="6" fillId="0" borderId="6" xfId="0" applyNumberFormat="1" applyFont="1" applyBorder="1"/>
    <xf numFmtId="0" fontId="0" fillId="0" borderId="4" xfId="0" applyFont="1" applyBorder="1" applyAlignment="1">
      <alignment horizontal="center"/>
    </xf>
    <xf numFmtId="165" fontId="0" fillId="0" borderId="5" xfId="0" applyNumberFormat="1" applyFont="1" applyBorder="1"/>
    <xf numFmtId="165" fontId="0" fillId="0" borderId="7" xfId="0" applyNumberFormat="1" applyFont="1" applyBorder="1"/>
    <xf numFmtId="0" fontId="0" fillId="0" borderId="13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3" fillId="0" borderId="15" xfId="0" applyFont="1" applyBorder="1" applyProtection="1"/>
    <xf numFmtId="0" fontId="3" fillId="0" borderId="15" xfId="0" applyFont="1" applyFill="1" applyBorder="1" applyProtection="1"/>
    <xf numFmtId="0" fontId="5" fillId="0" borderId="15" xfId="0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2" fillId="0" borderId="0" xfId="0" applyFont="1" applyBorder="1"/>
    <xf numFmtId="0" fontId="0" fillId="0" borderId="0" xfId="0" applyFill="1" applyBorder="1"/>
    <xf numFmtId="0" fontId="7" fillId="0" borderId="15" xfId="0" applyFont="1" applyBorder="1"/>
    <xf numFmtId="0" fontId="0" fillId="0" borderId="17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2" xfId="0" applyBorder="1"/>
    <xf numFmtId="0" fontId="18" fillId="0" borderId="21" xfId="0" applyFont="1" applyBorder="1"/>
    <xf numFmtId="0" fontId="7" fillId="0" borderId="21" xfId="0" applyFont="1" applyBorder="1"/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horizontal="center"/>
    </xf>
    <xf numFmtId="0" fontId="19" fillId="0" borderId="0" xfId="0" applyFont="1"/>
    <xf numFmtId="164" fontId="6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0" fontId="2" fillId="0" borderId="15" xfId="0" applyFont="1" applyBorder="1"/>
    <xf numFmtId="0" fontId="13" fillId="0" borderId="12" xfId="0" applyFont="1" applyBorder="1"/>
    <xf numFmtId="0" fontId="0" fillId="0" borderId="15" xfId="0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00B050"/>
                </a:solidFill>
              </a:defRPr>
            </a:pPr>
            <a:r>
              <a:rPr lang="en-GB">
                <a:solidFill>
                  <a:srgbClr val="00B050"/>
                </a:solidFill>
              </a:rPr>
              <a:t>Deflection, Free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Matlock!$G$24:$G$44</c:f>
              <c:numCache>
                <c:formatCode>0.000</c:formatCode>
                <c:ptCount val="21"/>
                <c:pt idx="0">
                  <c:v>34.691797570508925</c:v>
                </c:pt>
                <c:pt idx="1">
                  <c:v>22.493328866787824</c:v>
                </c:pt>
                <c:pt idx="2">
                  <c:v>12.371883626938569</c:v>
                </c:pt>
                <c:pt idx="3">
                  <c:v>5.2284532799615526</c:v>
                </c:pt>
                <c:pt idx="4">
                  <c:v>1.054697099673308</c:v>
                </c:pt>
                <c:pt idx="5">
                  <c:v>-0.75450218083374498</c:v>
                </c:pt>
                <c:pt idx="6">
                  <c:v>-1.094747152206863</c:v>
                </c:pt>
                <c:pt idx="7">
                  <c:v>-0.8520989093237441</c:v>
                </c:pt>
                <c:pt idx="8">
                  <c:v>-0.6093146292587146</c:v>
                </c:pt>
                <c:pt idx="9">
                  <c:v>-0.35834954672392988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Matlock!$A$24:$A$44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19768"/>
        <c:axId val="186017416"/>
      </c:scatterChart>
      <c:valAx>
        <c:axId val="18601976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Deflection (mm)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6017416"/>
        <c:crosses val="autoZero"/>
        <c:crossBetween val="midCat"/>
        <c:majorUnit val="5"/>
        <c:minorUnit val="1"/>
      </c:valAx>
      <c:valAx>
        <c:axId val="186017416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6019768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FF0000"/>
                </a:solidFill>
              </a:defRPr>
            </a:pPr>
            <a:r>
              <a:rPr lang="en-GB">
                <a:solidFill>
                  <a:srgbClr val="FF0000"/>
                </a:solidFill>
              </a:rPr>
              <a:t>Moment, 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Davisson!$M$24:$M$44</c:f>
              <c:numCache>
                <c:formatCode>0.00</c:formatCode>
                <c:ptCount val="21"/>
                <c:pt idx="0">
                  <c:v>-426.05865190444086</c:v>
                </c:pt>
                <c:pt idx="1">
                  <c:v>-208.54559358144067</c:v>
                </c:pt>
                <c:pt idx="2">
                  <c:v>-70.74493165407678</c:v>
                </c:pt>
                <c:pt idx="3">
                  <c:v>12.754197325097786</c:v>
                </c:pt>
                <c:pt idx="4">
                  <c:v>59.715789983628824</c:v>
                </c:pt>
                <c:pt idx="5">
                  <c:v>81.921070921114975</c:v>
                </c:pt>
                <c:pt idx="6">
                  <c:v>86.832587501161427</c:v>
                </c:pt>
                <c:pt idx="7">
                  <c:v>79.258304643332409</c:v>
                </c:pt>
                <c:pt idx="8">
                  <c:v>63.015699615107252</c:v>
                </c:pt>
                <c:pt idx="9">
                  <c:v>42.59585682383036</c:v>
                </c:pt>
                <c:pt idx="10">
                  <c:v>24.827562608672007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Davisson!$A$24:$A$44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2920"/>
        <c:axId val="187444096"/>
      </c:scatterChart>
      <c:valAx>
        <c:axId val="1874429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Moment (kN.m)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4096"/>
        <c:crosses val="autoZero"/>
        <c:crossBetween val="midCat"/>
      </c:valAx>
      <c:valAx>
        <c:axId val="187444096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2920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chemeClr val="accent6">
                    <a:lumMod val="75000"/>
                  </a:schemeClr>
                </a:solidFill>
              </a:defRPr>
            </a:pPr>
            <a:r>
              <a:rPr lang="en-GB">
                <a:solidFill>
                  <a:schemeClr val="accent6">
                    <a:lumMod val="75000"/>
                  </a:schemeClr>
                </a:solidFill>
              </a:rPr>
              <a:t>Deflection, Partially-Fixed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Matlock!$R$21</c:f>
              <c:strCache>
                <c:ptCount val="1"/>
                <c:pt idx="0">
                  <c:v>0.5</c:v>
                </c:pt>
              </c:strCache>
            </c:strRef>
          </c:tx>
          <c:xVal>
            <c:numRef>
              <c:f>Davisson!$Q$24:$Q$44</c:f>
              <c:numCache>
                <c:formatCode>0.000</c:formatCode>
                <c:ptCount val="21"/>
                <c:pt idx="0">
                  <c:v>38.931677387272686</c:v>
                </c:pt>
                <c:pt idx="1">
                  <c:v>31.48942848032247</c:v>
                </c:pt>
                <c:pt idx="2">
                  <c:v>23.708295453671447</c:v>
                </c:pt>
                <c:pt idx="3">
                  <c:v>16.551426975950893</c:v>
                </c:pt>
                <c:pt idx="4">
                  <c:v>10.562377221304297</c:v>
                </c:pt>
                <c:pt idx="5">
                  <c:v>5.9483977877895544</c:v>
                </c:pt>
                <c:pt idx="6">
                  <c:v>2.6637296157812109</c:v>
                </c:pt>
                <c:pt idx="7">
                  <c:v>0.49289490637261962</c:v>
                </c:pt>
                <c:pt idx="8">
                  <c:v>-0.86601096022184532</c:v>
                </c:pt>
                <c:pt idx="9">
                  <c:v>-1.7180275062644712</c:v>
                </c:pt>
                <c:pt idx="10">
                  <c:v>-2.2880372380921825</c:v>
                </c:pt>
                <c:pt idx="11">
                  <c:v>-2.6374737277141334</c:v>
                </c:pt>
                <c:pt idx="12">
                  <c:v>-2.5810296944097204</c:v>
                </c:pt>
                <c:pt idx="13">
                  <c:v>-1.6033650863262372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Davisson!$A$24:$A$44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59200"/>
        <c:axId val="187960376"/>
      </c:scatterChart>
      <c:valAx>
        <c:axId val="1879592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Deflection (mm)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960376"/>
        <c:crosses val="autoZero"/>
        <c:crossBetween val="midCat"/>
        <c:majorUnit val="5"/>
        <c:minorUnit val="1"/>
      </c:valAx>
      <c:valAx>
        <c:axId val="187960376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959200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chemeClr val="accent6">
                    <a:lumMod val="75000"/>
                  </a:schemeClr>
                </a:solidFill>
              </a:defRPr>
            </a:pPr>
            <a:r>
              <a:rPr lang="en-GB">
                <a:solidFill>
                  <a:schemeClr val="accent6">
                    <a:lumMod val="75000"/>
                  </a:schemeClr>
                </a:solidFill>
              </a:rPr>
              <a:t>Moment, Partially-Fixed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Matlock!$R$21</c:f>
              <c:strCache>
                <c:ptCount val="1"/>
                <c:pt idx="0">
                  <c:v>0.5</c:v>
                </c:pt>
              </c:strCache>
            </c:strRef>
          </c:tx>
          <c:xVal>
            <c:numRef>
              <c:f>Davisson!$R$24:$R$44</c:f>
              <c:numCache>
                <c:formatCode>0.00</c:formatCode>
                <c:ptCount val="21"/>
                <c:pt idx="0">
                  <c:v>-213.02932595222043</c:v>
                </c:pt>
                <c:pt idx="1">
                  <c:v>-7.3139873497140169</c:v>
                </c:pt>
                <c:pt idx="2">
                  <c:v>103.48614189714645</c:v>
                </c:pt>
                <c:pt idx="3">
                  <c:v>152.53158774678164</c:v>
                </c:pt>
                <c:pt idx="4">
                  <c:v>163.73883972371979</c:v>
                </c:pt>
                <c:pt idx="5">
                  <c:v>153.44444571055104</c:v>
                </c:pt>
                <c:pt idx="6">
                  <c:v>132.06910673988082</c:v>
                </c:pt>
                <c:pt idx="7">
                  <c:v>105.78177178628248</c:v>
                </c:pt>
                <c:pt idx="8">
                  <c:v>78.163732558253102</c:v>
                </c:pt>
                <c:pt idx="9">
                  <c:v>51.872718290164634</c:v>
                </c:pt>
                <c:pt idx="10">
                  <c:v>30.306990534222937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Davisson!$A$24:$A$44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60768"/>
        <c:axId val="187958024"/>
      </c:scatterChart>
      <c:valAx>
        <c:axId val="18796076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Moment (kN.m)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958024"/>
        <c:crosses val="autoZero"/>
        <c:crossBetween val="midCat"/>
      </c:valAx>
      <c:valAx>
        <c:axId val="18795802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960768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00B050"/>
                </a:solidFill>
              </a:defRPr>
            </a:pPr>
            <a:r>
              <a:rPr lang="en-GB">
                <a:solidFill>
                  <a:srgbClr val="00B050"/>
                </a:solidFill>
              </a:rPr>
              <a:t>Moment, Free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Matlock!$H$24:$H$44</c:f>
              <c:numCache>
                <c:formatCode>0.00</c:formatCode>
                <c:ptCount val="21"/>
                <c:pt idx="0">
                  <c:v>30</c:v>
                </c:pt>
                <c:pt idx="1">
                  <c:v>247.23485676664396</c:v>
                </c:pt>
                <c:pt idx="2">
                  <c:v>359.97793245191599</c:v>
                </c:pt>
                <c:pt idx="3">
                  <c:v>353.75909886599959</c:v>
                </c:pt>
                <c:pt idx="4">
                  <c:v>269.91409881465358</c:v>
                </c:pt>
                <c:pt idx="5">
                  <c:v>162.90295020010191</c:v>
                </c:pt>
                <c:pt idx="6">
                  <c:v>73.313640589778203</c:v>
                </c:pt>
                <c:pt idx="7">
                  <c:v>16.551112252928231</c:v>
                </c:pt>
                <c:pt idx="8">
                  <c:v>-12.78846233492791</c:v>
                </c:pt>
                <c:pt idx="9">
                  <c:v>-20.858114519674629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Matlock!$A$24:$A$44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23688"/>
        <c:axId val="186024080"/>
      </c:scatterChart>
      <c:valAx>
        <c:axId val="18602368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Moment (kN.m)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6024080"/>
        <c:crosses val="autoZero"/>
        <c:crossBetween val="midCat"/>
      </c:valAx>
      <c:valAx>
        <c:axId val="186024080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6023688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FF0000"/>
                </a:solidFill>
              </a:defRPr>
            </a:pPr>
            <a:r>
              <a:rPr lang="en-GB">
                <a:solidFill>
                  <a:srgbClr val="FF0000"/>
                </a:solidFill>
              </a:rPr>
              <a:t>Deflection, 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Matlock!$L$24:$L$44</c:f>
              <c:numCache>
                <c:formatCode>0.000</c:formatCode>
                <c:ptCount val="21"/>
                <c:pt idx="0">
                  <c:v>12.692905201378284</c:v>
                </c:pt>
                <c:pt idx="1">
                  <c:v>11.219931450353231</c:v>
                </c:pt>
                <c:pt idx="2">
                  <c:v>8.1154972062737727</c:v>
                </c:pt>
                <c:pt idx="3">
                  <c:v>4.8295842545354786</c:v>
                </c:pt>
                <c:pt idx="4">
                  <c:v>2.2353728678940836</c:v>
                </c:pt>
                <c:pt idx="5">
                  <c:v>0.6489602886646193</c:v>
                </c:pt>
                <c:pt idx="6">
                  <c:v>-6.3775800879827885E-2</c:v>
                </c:pt>
                <c:pt idx="7">
                  <c:v>-0.29316881990940025</c:v>
                </c:pt>
                <c:pt idx="8">
                  <c:v>-0.4046098422394051</c:v>
                </c:pt>
                <c:pt idx="9">
                  <c:v>-0.3702491613322797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Matlock!$A$24:$A$44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20160"/>
        <c:axId val="186024864"/>
      </c:scatterChart>
      <c:valAx>
        <c:axId val="1860201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Deflection (mm)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6024864"/>
        <c:crosses val="autoZero"/>
        <c:crossBetween val="midCat"/>
        <c:majorUnit val="5"/>
        <c:minorUnit val="1"/>
      </c:valAx>
      <c:valAx>
        <c:axId val="18602486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6020160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FF0000"/>
                </a:solidFill>
              </a:defRPr>
            </a:pPr>
            <a:r>
              <a:rPr lang="en-GB">
                <a:solidFill>
                  <a:srgbClr val="FF0000"/>
                </a:solidFill>
              </a:rPr>
              <a:t>Moment, 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Matlock!$M$24:$M$44</c:f>
              <c:numCache>
                <c:formatCode>0.00</c:formatCode>
                <c:ptCount val="21"/>
                <c:pt idx="0">
                  <c:v>-417.33457308772984</c:v>
                </c:pt>
                <c:pt idx="1">
                  <c:v>-186.92762802876211</c:v>
                </c:pt>
                <c:pt idx="2">
                  <c:v>-10.448233086912294</c:v>
                </c:pt>
                <c:pt idx="3">
                  <c:v>87.802390645683474</c:v>
                </c:pt>
                <c:pt idx="4">
                  <c:v>116.09640814243144</c:v>
                </c:pt>
                <c:pt idx="5">
                  <c:v>98.656399067126927</c:v>
                </c:pt>
                <c:pt idx="6">
                  <c:v>62.822780171187937</c:v>
                </c:pt>
                <c:pt idx="7">
                  <c:v>30.011621463281219</c:v>
                </c:pt>
                <c:pt idx="8">
                  <c:v>10.462856151334137</c:v>
                </c:pt>
                <c:pt idx="9">
                  <c:v>1.7788843569472514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Matlock!$A$24:$A$44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0568"/>
        <c:axId val="187440960"/>
      </c:scatterChart>
      <c:valAx>
        <c:axId val="18744056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Moment (kN.m)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0960"/>
        <c:crosses val="autoZero"/>
        <c:crossBetween val="midCat"/>
      </c:valAx>
      <c:valAx>
        <c:axId val="187440960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0568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chemeClr val="accent6">
                    <a:lumMod val="75000"/>
                  </a:schemeClr>
                </a:solidFill>
              </a:defRPr>
            </a:pPr>
            <a:r>
              <a:rPr lang="en-GB">
                <a:solidFill>
                  <a:schemeClr val="accent6">
                    <a:lumMod val="75000"/>
                  </a:schemeClr>
                </a:solidFill>
              </a:rPr>
              <a:t>Deflection, Partially-Fixed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Matlock!$R$21</c:f>
              <c:strCache>
                <c:ptCount val="1"/>
                <c:pt idx="0">
                  <c:v>0.5</c:v>
                </c:pt>
              </c:strCache>
            </c:strRef>
          </c:tx>
          <c:xVal>
            <c:numRef>
              <c:f>Matlock!$Q$24:$Q$44</c:f>
              <c:numCache>
                <c:formatCode>0.000</c:formatCode>
                <c:ptCount val="21"/>
                <c:pt idx="0">
                  <c:v>22.954685653426562</c:v>
                </c:pt>
                <c:pt idx="1">
                  <c:v>16.478611173632029</c:v>
                </c:pt>
                <c:pt idx="2">
                  <c:v>10.100965485087293</c:v>
                </c:pt>
                <c:pt idx="3">
                  <c:v>5.015643911511134</c:v>
                </c:pt>
                <c:pt idx="4">
                  <c:v>1.6846253431897824</c:v>
                </c:pt>
                <c:pt idx="5">
                  <c:v>-5.7101144185364109E-3</c:v>
                </c:pt>
                <c:pt idx="6">
                  <c:v>-0.54469099797925591</c:v>
                </c:pt>
                <c:pt idx="7">
                  <c:v>-0.55389184947710979</c:v>
                </c:pt>
                <c:pt idx="8">
                  <c:v>-0.50009808531218447</c:v>
                </c:pt>
                <c:pt idx="9">
                  <c:v>-0.36469837129585853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Matlock!$A$24:$A$44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39392"/>
        <c:axId val="187438216"/>
      </c:scatterChart>
      <c:valAx>
        <c:axId val="18743939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Deflection (mm)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38216"/>
        <c:crosses val="autoZero"/>
        <c:crossBetween val="midCat"/>
        <c:majorUnit val="5"/>
        <c:minorUnit val="1"/>
      </c:valAx>
      <c:valAx>
        <c:axId val="187438216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39392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chemeClr val="accent6">
                    <a:lumMod val="75000"/>
                  </a:schemeClr>
                </a:solidFill>
              </a:defRPr>
            </a:pPr>
            <a:r>
              <a:rPr lang="en-GB">
                <a:solidFill>
                  <a:schemeClr val="accent6">
                    <a:lumMod val="75000"/>
                  </a:schemeClr>
                </a:solidFill>
              </a:rPr>
              <a:t>Moment, Partially-Fixed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Matlock!$R$21</c:f>
              <c:strCache>
                <c:ptCount val="1"/>
                <c:pt idx="0">
                  <c:v>0.5</c:v>
                </c:pt>
              </c:strCache>
            </c:strRef>
          </c:tx>
          <c:xVal>
            <c:numRef>
              <c:f>Matlock!$R$24:$R$44</c:f>
              <c:numCache>
                <c:formatCode>0.00</c:formatCode>
                <c:ptCount val="21"/>
                <c:pt idx="0">
                  <c:v>-208.66728654386492</c:v>
                </c:pt>
                <c:pt idx="1">
                  <c:v>15.595300159111465</c:v>
                </c:pt>
                <c:pt idx="2">
                  <c:v>162.34373846650666</c:v>
                </c:pt>
                <c:pt idx="3">
                  <c:v>211.86269803352309</c:v>
                </c:pt>
                <c:pt idx="4">
                  <c:v>187.84744655081633</c:v>
                </c:pt>
                <c:pt idx="5">
                  <c:v>128.62536257062612</c:v>
                </c:pt>
                <c:pt idx="6">
                  <c:v>67.716431386088217</c:v>
                </c:pt>
                <c:pt idx="7">
                  <c:v>23.73272396373067</c:v>
                </c:pt>
                <c:pt idx="8">
                  <c:v>-0.38314107084790222</c:v>
                </c:pt>
                <c:pt idx="9">
                  <c:v>-8.7805523941102805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Matlock!$A$24:$A$44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1352"/>
        <c:axId val="187439000"/>
      </c:scatterChart>
      <c:valAx>
        <c:axId val="1874413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Moment (kN.m)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39000"/>
        <c:crosses val="autoZero"/>
        <c:crossBetween val="midCat"/>
      </c:valAx>
      <c:valAx>
        <c:axId val="187439000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1352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00B050"/>
                </a:solidFill>
              </a:defRPr>
            </a:pPr>
            <a:r>
              <a:rPr lang="en-GB">
                <a:solidFill>
                  <a:srgbClr val="00B050"/>
                </a:solidFill>
              </a:rPr>
              <a:t>Deflection, Free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Davisson!$G$24:$G$44</c:f>
              <c:numCache>
                <c:formatCode>0.000</c:formatCode>
                <c:ptCount val="21"/>
                <c:pt idx="0">
                  <c:v>53.080877110680383</c:v>
                </c:pt>
                <c:pt idx="1">
                  <c:v>38.964422253529492</c:v>
                </c:pt>
                <c:pt idx="2">
                  <c:v>26.576684163586492</c:v>
                </c:pt>
                <c:pt idx="3">
                  <c:v>16.430997675128506</c:v>
                </c:pt>
                <c:pt idx="4">
                  <c:v>8.6782752462738451</c:v>
                </c:pt>
                <c:pt idx="5">
                  <c:v>3.1902988773842633</c:v>
                </c:pt>
                <c:pt idx="6">
                  <c:v>-0.35698797053286696</c:v>
                </c:pt>
                <c:pt idx="7">
                  <c:v>-2.4001884574223391</c:v>
                </c:pt>
                <c:pt idx="8">
                  <c:v>-3.405160445778916</c:v>
                </c:pt>
                <c:pt idx="9">
                  <c:v>-3.7837245822450671</c:v>
                </c:pt>
                <c:pt idx="10">
                  <c:v>-3.810372379208832</c:v>
                </c:pt>
                <c:pt idx="11">
                  <c:v>-3.5389742964015536</c:v>
                </c:pt>
                <c:pt idx="12">
                  <c:v>-2.7194878224957599</c:v>
                </c:pt>
                <c:pt idx="13">
                  <c:v>-0.71466555670285747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Davisson!$A$24:$A$44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2136"/>
        <c:axId val="187443704"/>
      </c:scatterChart>
      <c:valAx>
        <c:axId val="18744213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Deflection (mm)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3704"/>
        <c:crosses val="autoZero"/>
        <c:crossBetween val="midCat"/>
        <c:majorUnit val="5"/>
        <c:minorUnit val="1"/>
      </c:valAx>
      <c:valAx>
        <c:axId val="18744370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2136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00B050"/>
                </a:solidFill>
              </a:defRPr>
            </a:pPr>
            <a:r>
              <a:rPr lang="en-GB">
                <a:solidFill>
                  <a:srgbClr val="00B050"/>
                </a:solidFill>
              </a:rPr>
              <a:t>Moment, Free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Davisson!$H$24:$H$44</c:f>
              <c:numCache>
                <c:formatCode>0.00</c:formatCode>
                <c:ptCount val="21"/>
                <c:pt idx="0">
                  <c:v>30</c:v>
                </c:pt>
                <c:pt idx="1">
                  <c:v>222.25619696259955</c:v>
                </c:pt>
                <c:pt idx="2">
                  <c:v>302.25342511421178</c:v>
                </c:pt>
                <c:pt idx="3">
                  <c:v>311.9932244284899</c:v>
                </c:pt>
                <c:pt idx="4">
                  <c:v>282.41100633189239</c:v>
                </c:pt>
                <c:pt idx="5">
                  <c:v>235.04014849563751</c:v>
                </c:pt>
                <c:pt idx="6">
                  <c:v>183.67608962765652</c:v>
                </c:pt>
                <c:pt idx="7">
                  <c:v>136.04042426454626</c:v>
                </c:pt>
                <c:pt idx="8">
                  <c:v>95.444997563524993</c:v>
                </c:pt>
                <c:pt idx="9">
                  <c:v>62.456000094384436</c:v>
                </c:pt>
                <c:pt idx="10">
                  <c:v>36.558062631447186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Davisson!$A$24:$A$44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39784"/>
        <c:axId val="187444880"/>
      </c:scatterChart>
      <c:valAx>
        <c:axId val="18743978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Moment (kN.m)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4880"/>
        <c:crosses val="autoZero"/>
        <c:crossBetween val="midCat"/>
      </c:valAx>
      <c:valAx>
        <c:axId val="187444880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39784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>
                <a:solidFill>
                  <a:srgbClr val="FF0000"/>
                </a:solidFill>
              </a:defRPr>
            </a:pPr>
            <a:r>
              <a:rPr lang="en-GB">
                <a:solidFill>
                  <a:srgbClr val="FF0000"/>
                </a:solidFill>
              </a:rPr>
              <a:t>Deflection, Fixed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Davisson!$L$24:$L$44</c:f>
              <c:numCache>
                <c:formatCode>0.000</c:formatCode>
                <c:ptCount val="21"/>
                <c:pt idx="0">
                  <c:v>26.529081659243243</c:v>
                </c:pt>
                <c:pt idx="1">
                  <c:v>24.937162087103733</c:v>
                </c:pt>
                <c:pt idx="2">
                  <c:v>21.193986075377342</c:v>
                </c:pt>
                <c:pt idx="3">
                  <c:v>16.656990255931909</c:v>
                </c:pt>
                <c:pt idx="4">
                  <c:v>12.213902082320015</c:v>
                </c:pt>
                <c:pt idx="5">
                  <c:v>8.3660317481812569</c:v>
                </c:pt>
                <c:pt idx="6">
                  <c:v>5.3115641056444582</c:v>
                </c:pt>
                <c:pt idx="7">
                  <c:v>3.0288505837298016</c:v>
                </c:pt>
                <c:pt idx="8">
                  <c:v>1.3597011067510665</c:v>
                </c:pt>
                <c:pt idx="9">
                  <c:v>9.2676012717981274E-2</c:v>
                </c:pt>
                <c:pt idx="10">
                  <c:v>-0.95362202826184306</c:v>
                </c:pt>
                <c:pt idx="11">
                  <c:v>-1.8472560955803849</c:v>
                </c:pt>
                <c:pt idx="12">
                  <c:v>-2.4596630997273405</c:v>
                </c:pt>
                <c:pt idx="13">
                  <c:v>-2.3823618638877404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Davisson!$A$24:$A$44</c:f>
              <c:numCache>
                <c:formatCode>0.00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40176"/>
        <c:axId val="187441744"/>
      </c:scatterChart>
      <c:valAx>
        <c:axId val="18744017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Deflection (mm)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1744"/>
        <c:crosses val="autoZero"/>
        <c:crossBetween val="midCat"/>
        <c:majorUnit val="5"/>
        <c:minorUnit val="1"/>
      </c:valAx>
      <c:valAx>
        <c:axId val="18744174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 sz="1400"/>
                </a:pPr>
                <a:r>
                  <a:rPr lang="en-GB" sz="1400"/>
                  <a:t>z (m)</a:t>
                </a:r>
              </a:p>
            </c:rich>
          </c:tx>
          <c:layout>
            <c:manualLayout>
              <c:xMode val="edge"/>
              <c:yMode val="edge"/>
              <c:x val="1.3888888888888897E-2"/>
              <c:y val="0.48729282150522041"/>
            </c:manualLayout>
          </c:layout>
          <c:overlay val="0"/>
        </c:title>
        <c:numFmt formatCode="General" sourceLinked="0"/>
        <c:majorTickMark val="none"/>
        <c:minorTickMark val="in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7440176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44</xdr:row>
      <xdr:rowOff>23812</xdr:rowOff>
    </xdr:from>
    <xdr:to>
      <xdr:col>6</xdr:col>
      <xdr:colOff>200025</xdr:colOff>
      <xdr:row>69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70</xdr:row>
      <xdr:rowOff>0</xdr:rowOff>
    </xdr:from>
    <xdr:to>
      <xdr:col>6</xdr:col>
      <xdr:colOff>200025</xdr:colOff>
      <xdr:row>95</xdr:row>
      <xdr:rowOff>147638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44</xdr:row>
      <xdr:rowOff>28575</xdr:rowOff>
    </xdr:from>
    <xdr:to>
      <xdr:col>19</xdr:col>
      <xdr:colOff>581025</xdr:colOff>
      <xdr:row>69</xdr:row>
      <xdr:rowOff>176213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70</xdr:row>
      <xdr:rowOff>0</xdr:rowOff>
    </xdr:from>
    <xdr:to>
      <xdr:col>19</xdr:col>
      <xdr:colOff>581025</xdr:colOff>
      <xdr:row>95</xdr:row>
      <xdr:rowOff>147638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44</xdr:row>
      <xdr:rowOff>19050</xdr:rowOff>
    </xdr:from>
    <xdr:to>
      <xdr:col>12</xdr:col>
      <xdr:colOff>752475</xdr:colOff>
      <xdr:row>69</xdr:row>
      <xdr:rowOff>166688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247650</xdr:colOff>
      <xdr:row>70</xdr:row>
      <xdr:rowOff>0</xdr:rowOff>
    </xdr:from>
    <xdr:to>
      <xdr:col>12</xdr:col>
      <xdr:colOff>752475</xdr:colOff>
      <xdr:row>95</xdr:row>
      <xdr:rowOff>147638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9525</xdr:colOff>
      <xdr:row>107</xdr:row>
      <xdr:rowOff>63499</xdr:rowOff>
    </xdr:from>
    <xdr:to>
      <xdr:col>20</xdr:col>
      <xdr:colOff>212900</xdr:colOff>
      <xdr:row>151</xdr:row>
      <xdr:rowOff>175680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29475" y="18484849"/>
          <a:ext cx="7051850" cy="849418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180975</xdr:colOff>
      <xdr:row>98</xdr:row>
      <xdr:rowOff>0</xdr:rowOff>
    </xdr:from>
    <xdr:to>
      <xdr:col>9</xdr:col>
      <xdr:colOff>56340</xdr:colOff>
      <xdr:row>119</xdr:row>
      <xdr:rowOff>18526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0975" y="16706850"/>
          <a:ext cx="6485715" cy="41904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44</xdr:row>
      <xdr:rowOff>23812</xdr:rowOff>
    </xdr:from>
    <xdr:to>
      <xdr:col>6</xdr:col>
      <xdr:colOff>200025</xdr:colOff>
      <xdr:row>69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70</xdr:row>
      <xdr:rowOff>0</xdr:rowOff>
    </xdr:from>
    <xdr:to>
      <xdr:col>6</xdr:col>
      <xdr:colOff>200025</xdr:colOff>
      <xdr:row>95</xdr:row>
      <xdr:rowOff>147638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44</xdr:row>
      <xdr:rowOff>28575</xdr:rowOff>
    </xdr:from>
    <xdr:to>
      <xdr:col>19</xdr:col>
      <xdr:colOff>581025</xdr:colOff>
      <xdr:row>69</xdr:row>
      <xdr:rowOff>176213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70</xdr:row>
      <xdr:rowOff>0</xdr:rowOff>
    </xdr:from>
    <xdr:to>
      <xdr:col>19</xdr:col>
      <xdr:colOff>581025</xdr:colOff>
      <xdr:row>95</xdr:row>
      <xdr:rowOff>147638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44</xdr:row>
      <xdr:rowOff>19050</xdr:rowOff>
    </xdr:from>
    <xdr:to>
      <xdr:col>12</xdr:col>
      <xdr:colOff>752475</xdr:colOff>
      <xdr:row>69</xdr:row>
      <xdr:rowOff>166688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247650</xdr:colOff>
      <xdr:row>70</xdr:row>
      <xdr:rowOff>0</xdr:rowOff>
    </xdr:from>
    <xdr:to>
      <xdr:col>12</xdr:col>
      <xdr:colOff>752475</xdr:colOff>
      <xdr:row>95</xdr:row>
      <xdr:rowOff>147638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19050</xdr:colOff>
      <xdr:row>98</xdr:row>
      <xdr:rowOff>9525</xdr:rowOff>
    </xdr:from>
    <xdr:to>
      <xdr:col>12</xdr:col>
      <xdr:colOff>227790</xdr:colOff>
      <xdr:row>119</xdr:row>
      <xdr:rowOff>113776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57425" y="16716375"/>
          <a:ext cx="6485715" cy="419047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7"/>
  <sheetViews>
    <sheetView zoomScale="70" zoomScaleNormal="70" workbookViewId="0">
      <selection activeCell="X21" sqref="X21"/>
    </sheetView>
  </sheetViews>
  <sheetFormatPr defaultRowHeight="15" x14ac:dyDescent="0.25"/>
  <cols>
    <col min="1" max="1" width="15.28515625" customWidth="1"/>
    <col min="5" max="5" width="14.85546875" customWidth="1"/>
    <col min="7" max="7" width="10.85546875" customWidth="1"/>
    <col min="8" max="8" width="12.42578125" customWidth="1"/>
    <col min="12" max="12" width="10.28515625" bestFit="1" customWidth="1"/>
    <col min="13" max="13" width="11.85546875" customWidth="1"/>
    <col min="15" max="16" width="10.28515625" bestFit="1" customWidth="1"/>
    <col min="18" max="18" width="11.85546875" customWidth="1"/>
    <col min="19" max="19" width="11.5703125" bestFit="1" customWidth="1"/>
  </cols>
  <sheetData>
    <row r="1" spans="1:20" ht="15.75" thickTop="1" x14ac:dyDescent="0.25">
      <c r="A1" s="63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65" t="s">
        <v>68</v>
      </c>
    </row>
    <row r="2" spans="1:20" x14ac:dyDescent="0.25">
      <c r="A2" s="64" t="s">
        <v>49</v>
      </c>
      <c r="B2" s="38" t="s">
        <v>50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x14ac:dyDescent="0.25">
      <c r="A3" s="64" t="s">
        <v>51</v>
      </c>
      <c r="B3" s="38" t="s">
        <v>52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</row>
    <row r="4" spans="1:20" x14ac:dyDescent="0.25">
      <c r="A4" s="64" t="s">
        <v>53</v>
      </c>
      <c r="B4" s="38" t="s">
        <v>54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0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 ht="23.25" x14ac:dyDescent="0.35">
      <c r="A6" s="62" t="s">
        <v>35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0" hidden="1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 hidden="1" x14ac:dyDescent="0.25">
      <c r="A8" s="40" t="s">
        <v>0</v>
      </c>
      <c r="B8" s="2"/>
      <c r="C8" s="3"/>
      <c r="D8" s="3"/>
      <c r="E8" s="4"/>
      <c r="F8" s="1"/>
      <c r="G8" s="1" t="s">
        <v>1</v>
      </c>
      <c r="H8" s="5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</row>
    <row r="9" spans="1:20" hidden="1" x14ac:dyDescent="0.25">
      <c r="A9" s="40" t="s">
        <v>2</v>
      </c>
      <c r="B9" s="6"/>
      <c r="C9" s="3"/>
      <c r="D9" s="3"/>
      <c r="E9" s="4"/>
      <c r="F9" s="1"/>
      <c r="G9" s="1"/>
      <c r="H9" s="1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</row>
    <row r="10" spans="1:20" hidden="1" x14ac:dyDescent="0.25">
      <c r="A10" s="40" t="s">
        <v>3</v>
      </c>
      <c r="B10" s="6"/>
      <c r="C10" s="3"/>
      <c r="D10" s="3"/>
      <c r="E10" s="4"/>
      <c r="F10" s="1"/>
      <c r="G10" s="7"/>
      <c r="H10" s="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1:20" hidden="1" x14ac:dyDescent="0.25">
      <c r="A11" s="40" t="s">
        <v>4</v>
      </c>
      <c r="B11" s="8" t="s">
        <v>5</v>
      </c>
      <c r="C11" s="1"/>
      <c r="D11" s="1"/>
      <c r="E11" s="1"/>
      <c r="F11" s="7"/>
      <c r="G11" s="1" t="s">
        <v>6</v>
      </c>
      <c r="H11" s="9">
        <f ca="1">TODAY()</f>
        <v>41838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</row>
    <row r="12" spans="1:20" hidden="1" x14ac:dyDescent="0.25">
      <c r="A12" s="40" t="s">
        <v>7</v>
      </c>
      <c r="B12" s="10"/>
      <c r="C12" s="1"/>
      <c r="D12" s="1"/>
      <c r="E12" s="1"/>
      <c r="F12" s="1"/>
      <c r="G12" s="1"/>
      <c r="H12" s="1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</row>
    <row r="13" spans="1:20" x14ac:dyDescent="0.25">
      <c r="A13" s="41" t="s">
        <v>36</v>
      </c>
      <c r="B13" s="38" t="s">
        <v>37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47"/>
      <c r="S13" s="47"/>
      <c r="T13" s="39"/>
    </row>
    <row r="14" spans="1:20" x14ac:dyDescent="0.25">
      <c r="A14" s="42" t="s">
        <v>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47"/>
      <c r="S14" s="47"/>
      <c r="T14" s="39"/>
    </row>
    <row r="15" spans="1:20" ht="17.25" x14ac:dyDescent="0.25">
      <c r="A15" s="41" t="s">
        <v>9</v>
      </c>
      <c r="B15" s="72">
        <v>200000000</v>
      </c>
      <c r="C15" s="38" t="s">
        <v>10</v>
      </c>
      <c r="D15" s="38" t="s">
        <v>11</v>
      </c>
      <c r="E15" s="38"/>
      <c r="F15" s="72">
        <f>58064/100000000</f>
        <v>5.8064E-4</v>
      </c>
      <c r="G15" s="38" t="s">
        <v>57</v>
      </c>
      <c r="H15" s="43" t="s">
        <v>17</v>
      </c>
      <c r="I15" s="43">
        <f>B15*F15</f>
        <v>116128</v>
      </c>
      <c r="J15" s="38" t="s">
        <v>58</v>
      </c>
      <c r="K15" s="38"/>
      <c r="L15" s="38"/>
      <c r="M15" s="38"/>
      <c r="N15" s="38"/>
      <c r="O15" s="38"/>
      <c r="P15" s="38"/>
      <c r="Q15" s="38"/>
      <c r="R15" s="60"/>
      <c r="S15" s="11"/>
      <c r="T15" s="39"/>
    </row>
    <row r="16" spans="1:20" x14ac:dyDescent="0.25">
      <c r="A16" s="41" t="s">
        <v>12</v>
      </c>
      <c r="B16" s="73">
        <v>20</v>
      </c>
      <c r="C16" s="38" t="s">
        <v>13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60"/>
      <c r="S16" s="11"/>
      <c r="T16" s="39"/>
    </row>
    <row r="17" spans="1:20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60"/>
      <c r="S17" s="61"/>
      <c r="T17" s="39"/>
    </row>
    <row r="18" spans="1:20" ht="18.75" x14ac:dyDescent="0.35">
      <c r="A18" s="37" t="s">
        <v>55</v>
      </c>
      <c r="B18" s="74">
        <v>5000</v>
      </c>
      <c r="C18" s="38" t="s">
        <v>59</v>
      </c>
      <c r="D18" s="43" t="s">
        <v>18</v>
      </c>
      <c r="E18" s="44">
        <f>(I15/B18)^0.2</f>
        <v>1.8758296165395982</v>
      </c>
      <c r="F18" s="38" t="s">
        <v>13</v>
      </c>
      <c r="G18" s="43" t="s">
        <v>19</v>
      </c>
      <c r="H18" s="45">
        <f>B16/E18</f>
        <v>10.661949157671701</v>
      </c>
      <c r="I18" s="46" t="str">
        <f>IF(H18&gt;5, "Long Pile, OK", "Short Pile, Not Applicable")</f>
        <v>Long Pile, OK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</row>
    <row r="19" spans="1:20" x14ac:dyDescent="0.2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</row>
    <row r="20" spans="1:20" x14ac:dyDescent="0.25">
      <c r="A20" s="37" t="s">
        <v>14</v>
      </c>
      <c r="B20" s="73">
        <v>240</v>
      </c>
      <c r="C20" s="38" t="s">
        <v>15</v>
      </c>
      <c r="D20" s="38" t="s">
        <v>47</v>
      </c>
      <c r="E20" s="38"/>
      <c r="F20" s="73">
        <v>30</v>
      </c>
      <c r="G20" s="38" t="s">
        <v>16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  <row r="21" spans="1:20" x14ac:dyDescent="0.25">
      <c r="A21" s="37"/>
      <c r="B21" s="11"/>
      <c r="C21" s="47"/>
      <c r="D21" s="47"/>
      <c r="E21" s="47"/>
      <c r="F21" s="11"/>
      <c r="G21" s="47"/>
      <c r="H21" s="38"/>
      <c r="I21" s="38"/>
      <c r="J21" s="38"/>
      <c r="K21" s="38"/>
      <c r="L21" s="38"/>
      <c r="M21" s="38"/>
      <c r="N21" s="38"/>
      <c r="O21" s="38"/>
      <c r="P21" s="38"/>
      <c r="Q21" s="43" t="s">
        <v>34</v>
      </c>
      <c r="R21" s="74">
        <v>0.5</v>
      </c>
      <c r="S21" s="38"/>
      <c r="T21" s="39"/>
    </row>
    <row r="22" spans="1:20" x14ac:dyDescent="0.25">
      <c r="A22" s="48" t="s">
        <v>30</v>
      </c>
      <c r="B22" s="38"/>
      <c r="C22" s="38"/>
      <c r="D22" s="38"/>
      <c r="E22" s="38"/>
      <c r="F22" s="38"/>
      <c r="G22" s="66" t="s">
        <v>31</v>
      </c>
      <c r="H22" s="67"/>
      <c r="I22" s="38"/>
      <c r="J22" s="38"/>
      <c r="K22" s="38"/>
      <c r="L22" s="68" t="s">
        <v>32</v>
      </c>
      <c r="M22" s="69"/>
      <c r="N22" s="38"/>
      <c r="O22" s="38"/>
      <c r="P22" s="38"/>
      <c r="Q22" s="70" t="s">
        <v>33</v>
      </c>
      <c r="R22" s="71"/>
      <c r="S22" s="38"/>
      <c r="T22" s="39"/>
    </row>
    <row r="23" spans="1:20" x14ac:dyDescent="0.25">
      <c r="A23" s="49" t="s">
        <v>20</v>
      </c>
      <c r="B23" s="12" t="s">
        <v>21</v>
      </c>
      <c r="C23" s="33" t="s">
        <v>22</v>
      </c>
      <c r="D23" s="33" t="s">
        <v>23</v>
      </c>
      <c r="E23" s="12" t="s">
        <v>24</v>
      </c>
      <c r="F23" s="12" t="s">
        <v>25</v>
      </c>
      <c r="G23" s="12" t="s">
        <v>28</v>
      </c>
      <c r="H23" s="12" t="s">
        <v>29</v>
      </c>
      <c r="I23" s="43"/>
      <c r="J23" s="12" t="s">
        <v>26</v>
      </c>
      <c r="K23" s="12" t="s">
        <v>27</v>
      </c>
      <c r="L23" s="12" t="s">
        <v>28</v>
      </c>
      <c r="M23" s="12" t="s">
        <v>29</v>
      </c>
      <c r="N23" s="38"/>
      <c r="O23" s="12" t="s">
        <v>26</v>
      </c>
      <c r="P23" s="12" t="s">
        <v>27</v>
      </c>
      <c r="Q23" s="12" t="s">
        <v>28</v>
      </c>
      <c r="R23" s="12" t="s">
        <v>29</v>
      </c>
      <c r="S23" s="38"/>
      <c r="T23" s="39"/>
    </row>
    <row r="24" spans="1:20" x14ac:dyDescent="0.25">
      <c r="A24" s="50">
        <v>0</v>
      </c>
      <c r="B24" s="13">
        <f>A24/$E$18</f>
        <v>0</v>
      </c>
      <c r="C24" s="34">
        <f>IF(B24&lt;5,0.004156*B24^5-0.055702*B24^4+0.224269*B24^3-0.0215*B24^2-1.622689*B24+2.435,0)</f>
        <v>2.4350000000000001</v>
      </c>
      <c r="D24" s="35">
        <f>IF(B24&lt;5,-0.000417*B24^6+0.007516*B24^5-0.045021*B24^4+0.051733*B24^3+0.472151*B24^2-1.744496*B24+1.623,0)</f>
        <v>1.623</v>
      </c>
      <c r="E24" s="18">
        <f>IF(B24&lt;5,0.002001*B24^6-0.033599*B24^5+0.204316*B24^4-0.479061*B24^3+0.035948*B24^2+0.997481*B24, 0)</f>
        <v>0</v>
      </c>
      <c r="F24" s="15">
        <f>IF(B24&lt;5, 0.001609*B24^6-0.024141*B24^5+0.125766*B24^4-0.228518*B24^3-0.032762*B24^2+0.01*B24+1, 0)</f>
        <v>1</v>
      </c>
      <c r="G24" s="24">
        <f t="shared" ref="G24:G44" si="0">1000*((C24*$B$20*$E$18^3)+(D24*$F$20*$E$18^2))/$I$15</f>
        <v>34.691797570508925</v>
      </c>
      <c r="H24" s="27">
        <f>(E24*$B$20*$E$18)+(F24*$F$20)</f>
        <v>30</v>
      </c>
      <c r="I24" s="38"/>
      <c r="J24" s="15">
        <f>C24-(0.927*D24)</f>
        <v>0.93047900000000006</v>
      </c>
      <c r="K24" s="15">
        <f>E24-(0.927*F24)</f>
        <v>-0.92700000000000005</v>
      </c>
      <c r="L24" s="30">
        <f t="shared" ref="L24:L44" si="1">1000*(J24*$B$20*$E$18^3)/$I$15</f>
        <v>12.692905201378284</v>
      </c>
      <c r="M24" s="27">
        <f>K24*$B$20*$E$18</f>
        <v>-417.33457308772984</v>
      </c>
      <c r="N24" s="38"/>
      <c r="O24" s="15">
        <f>C24-(0.927*$R$21*D24)</f>
        <v>1.6827395000000001</v>
      </c>
      <c r="P24" s="15">
        <f>E24-(0.927*$R$21*F24)</f>
        <v>-0.46350000000000002</v>
      </c>
      <c r="Q24" s="30">
        <f>1000*(O24*$B$20*$E$18^3)/$I$15</f>
        <v>22.954685653426562</v>
      </c>
      <c r="R24" s="27">
        <f>P24*$B$20*$E$18</f>
        <v>-208.66728654386492</v>
      </c>
      <c r="S24" s="38"/>
      <c r="T24" s="39"/>
    </row>
    <row r="25" spans="1:20" x14ac:dyDescent="0.25">
      <c r="A25" s="51">
        <f>A24+($B$16*0.05)</f>
        <v>1</v>
      </c>
      <c r="B25" s="20">
        <f t="shared" ref="B25:B44" si="2">A25/$E$18</f>
        <v>0.53309745788358509</v>
      </c>
      <c r="C25" s="21">
        <f t="shared" ref="C25:C44" si="3">IF(B25&lt;5,0.004156*B25^5-0.055702*B25^4+0.224269*B25^3-0.0215*B25^2-1.622689*B25+2.435,0)</f>
        <v>1.5934959235550268</v>
      </c>
      <c r="D25" s="22">
        <f t="shared" ref="D25:D44" si="4">IF(B25&lt;5,-0.000417*B25^6+0.007516*B25^5-0.045021*B25^4+0.051733*B25^3+0.472151*B25^2-1.744496*B25+1.623,0)</f>
        <v>0.83171114708246519</v>
      </c>
      <c r="E25" s="23">
        <f t="shared" ref="E25:E44" si="5">IF(B25&lt;5,0.002001*B25^6-0.033599*B25^5+0.204316*B25^4-0.479061*B25^3+0.035948*B25^2+0.997481*B25, 0)</f>
        <v>0.48449280437437103</v>
      </c>
      <c r="F25" s="21">
        <f t="shared" ref="F25:F44" si="6">IF(B25&lt;5, 0.001609*B25^6-0.024141*B25^5+0.125766*B25^4-0.228518*B25^3-0.032762*B25^2+0.01*B25+1, 0)</f>
        <v>0.97055428065529714</v>
      </c>
      <c r="G25" s="25">
        <f t="shared" si="0"/>
        <v>22.493328866787824</v>
      </c>
      <c r="H25" s="28">
        <f t="shared" ref="H25:H44" si="7">(E25*$B$20*$E$18)+(F25*$F$20)</f>
        <v>247.23485676664396</v>
      </c>
      <c r="I25" s="38"/>
      <c r="J25" s="21">
        <f t="shared" ref="J25:J44" si="8">C25-(0.927*D25)</f>
        <v>0.82249969020958147</v>
      </c>
      <c r="K25" s="21">
        <f t="shared" ref="K25:K44" si="9">E25-(0.927*F25)</f>
        <v>-0.41521101379308945</v>
      </c>
      <c r="L25" s="31">
        <f t="shared" si="1"/>
        <v>11.219931450353231</v>
      </c>
      <c r="M25" s="28">
        <f t="shared" ref="M25:M44" si="10">K25*$B$20*$E$18</f>
        <v>-186.92762802876211</v>
      </c>
      <c r="N25" s="38"/>
      <c r="O25" s="21">
        <f t="shared" ref="O25:O44" si="11">C25-(0.927*$R$21*D25)</f>
        <v>1.2079978068823041</v>
      </c>
      <c r="P25" s="21">
        <f t="shared" ref="P25:P44" si="12">E25-(0.927*$R$21*F25)</f>
        <v>3.4640895290640794E-2</v>
      </c>
      <c r="Q25" s="31">
        <f t="shared" ref="Q25:Q44" si="13">1000*(O25*$B$20*$E$18^3)/$I$15</f>
        <v>16.478611173632029</v>
      </c>
      <c r="R25" s="28">
        <f t="shared" ref="R25:R44" si="14">P25*$B$20*$E$18</f>
        <v>15.595300159111465</v>
      </c>
      <c r="S25" s="38"/>
      <c r="T25" s="39"/>
    </row>
    <row r="26" spans="1:20" x14ac:dyDescent="0.25">
      <c r="A26" s="51">
        <f t="shared" ref="A26:A44" si="15">A25+($B$16*0.05)</f>
        <v>2</v>
      </c>
      <c r="B26" s="20">
        <f t="shared" si="2"/>
        <v>1.0661949157671702</v>
      </c>
      <c r="C26" s="21">
        <f t="shared" si="3"/>
        <v>0.88602038885309575</v>
      </c>
      <c r="D26" s="22">
        <f t="shared" si="4"/>
        <v>0.31402104455188806</v>
      </c>
      <c r="E26" s="23">
        <f t="shared" si="5"/>
        <v>0.74441664607346947</v>
      </c>
      <c r="F26" s="21">
        <f t="shared" si="6"/>
        <v>0.8280740810663465</v>
      </c>
      <c r="G26" s="25">
        <f t="shared" si="0"/>
        <v>12.371883626938569</v>
      </c>
      <c r="H26" s="28">
        <f t="shared" si="7"/>
        <v>359.97793245191599</v>
      </c>
      <c r="I26" s="38"/>
      <c r="J26" s="21">
        <f t="shared" si="8"/>
        <v>0.59492288055349551</v>
      </c>
      <c r="K26" s="21">
        <f t="shared" si="9"/>
        <v>-2.3208027075033777E-2</v>
      </c>
      <c r="L26" s="31">
        <f t="shared" si="1"/>
        <v>8.1154972062737727</v>
      </c>
      <c r="M26" s="28">
        <f t="shared" si="10"/>
        <v>-10.448233086912294</v>
      </c>
      <c r="N26" s="38"/>
      <c r="O26" s="21">
        <f t="shared" si="11"/>
        <v>0.74047163470329558</v>
      </c>
      <c r="P26" s="21">
        <f t="shared" si="12"/>
        <v>0.36060430949921785</v>
      </c>
      <c r="Q26" s="31">
        <f t="shared" si="13"/>
        <v>10.100965485087293</v>
      </c>
      <c r="R26" s="28">
        <f t="shared" si="14"/>
        <v>162.34373846650666</v>
      </c>
      <c r="S26" s="38"/>
      <c r="T26" s="39"/>
    </row>
    <row r="27" spans="1:20" x14ac:dyDescent="0.25">
      <c r="A27" s="51">
        <f t="shared" si="15"/>
        <v>3</v>
      </c>
      <c r="B27" s="20">
        <f t="shared" si="2"/>
        <v>1.5992923736507552</v>
      </c>
      <c r="C27" s="21">
        <f t="shared" si="3"/>
        <v>0.38132136480279177</v>
      </c>
      <c r="D27" s="22">
        <f t="shared" si="4"/>
        <v>2.9427137394195224E-2</v>
      </c>
      <c r="E27" s="23">
        <f t="shared" si="5"/>
        <v>0.7461654176447593</v>
      </c>
      <c r="F27" s="21">
        <f t="shared" si="6"/>
        <v>0.59453644815456175</v>
      </c>
      <c r="G27" s="25">
        <f t="shared" si="0"/>
        <v>5.2284532799615526</v>
      </c>
      <c r="H27" s="28">
        <f t="shared" si="7"/>
        <v>353.75909886599959</v>
      </c>
      <c r="I27" s="38"/>
      <c r="J27" s="21">
        <f t="shared" si="8"/>
        <v>0.35404240843837281</v>
      </c>
      <c r="K27" s="21">
        <f t="shared" si="9"/>
        <v>0.19503013020548055</v>
      </c>
      <c r="L27" s="31">
        <f t="shared" si="1"/>
        <v>4.8295842545354786</v>
      </c>
      <c r="M27" s="28">
        <f t="shared" si="10"/>
        <v>87.802390645683474</v>
      </c>
      <c r="N27" s="38"/>
      <c r="O27" s="21">
        <f t="shared" si="11"/>
        <v>0.36768188662058227</v>
      </c>
      <c r="P27" s="21">
        <f t="shared" si="12"/>
        <v>0.47059777392511992</v>
      </c>
      <c r="Q27" s="31">
        <f t="shared" si="13"/>
        <v>5.015643911511134</v>
      </c>
      <c r="R27" s="28">
        <f t="shared" si="14"/>
        <v>211.86269803352309</v>
      </c>
      <c r="S27" s="38"/>
      <c r="T27" s="39"/>
    </row>
    <row r="28" spans="1:20" x14ac:dyDescent="0.25">
      <c r="A28" s="51">
        <f t="shared" si="15"/>
        <v>4</v>
      </c>
      <c r="B28" s="20">
        <f t="shared" si="2"/>
        <v>2.1323898315343404</v>
      </c>
      <c r="C28" s="21">
        <f t="shared" si="3"/>
        <v>8.3121198963338028E-2</v>
      </c>
      <c r="D28" s="22">
        <f t="shared" si="4"/>
        <v>-8.7106056962723555E-2</v>
      </c>
      <c r="E28" s="23">
        <f t="shared" si="5"/>
        <v>0.57663038500908437</v>
      </c>
      <c r="F28" s="21">
        <f t="shared" si="6"/>
        <v>0.34385379518174619</v>
      </c>
      <c r="G28" s="25">
        <f t="shared" si="0"/>
        <v>1.054697099673308</v>
      </c>
      <c r="H28" s="28">
        <f t="shared" si="7"/>
        <v>269.91409881465358</v>
      </c>
      <c r="I28" s="38"/>
      <c r="J28" s="21">
        <f t="shared" si="8"/>
        <v>0.16386851376778278</v>
      </c>
      <c r="K28" s="21">
        <f t="shared" si="9"/>
        <v>0.25787791687560563</v>
      </c>
      <c r="L28" s="31">
        <f t="shared" si="1"/>
        <v>2.2353728678940836</v>
      </c>
      <c r="M28" s="28">
        <f t="shared" si="10"/>
        <v>116.09640814243144</v>
      </c>
      <c r="N28" s="38"/>
      <c r="O28" s="21">
        <f t="shared" si="11"/>
        <v>0.1234948563655604</v>
      </c>
      <c r="P28" s="21">
        <f t="shared" si="12"/>
        <v>0.41725415094234497</v>
      </c>
      <c r="Q28" s="31">
        <f t="shared" si="13"/>
        <v>1.6846253431897824</v>
      </c>
      <c r="R28" s="28">
        <f t="shared" si="14"/>
        <v>187.84744655081633</v>
      </c>
      <c r="S28" s="38"/>
      <c r="T28" s="39"/>
    </row>
    <row r="29" spans="1:20" x14ac:dyDescent="0.25">
      <c r="A29" s="51">
        <f t="shared" si="15"/>
        <v>5</v>
      </c>
      <c r="B29" s="20">
        <f t="shared" si="2"/>
        <v>2.6654872894179253</v>
      </c>
      <c r="C29" s="21">
        <f t="shared" si="3"/>
        <v>-4.8410524918891973E-2</v>
      </c>
      <c r="D29" s="22">
        <f t="shared" si="4"/>
        <v>-0.10354246703766479</v>
      </c>
      <c r="E29" s="23">
        <f t="shared" si="5"/>
        <v>0.35227596693698571</v>
      </c>
      <c r="F29" s="21">
        <f t="shared" si="6"/>
        <v>0.14362080419922107</v>
      </c>
      <c r="G29" s="25">
        <f t="shared" si="0"/>
        <v>-0.75450218083374498</v>
      </c>
      <c r="H29" s="28">
        <f t="shared" si="7"/>
        <v>162.90295020010191</v>
      </c>
      <c r="I29" s="38"/>
      <c r="J29" s="21">
        <f t="shared" si="8"/>
        <v>4.7573342025023294E-2</v>
      </c>
      <c r="K29" s="21">
        <f t="shared" si="9"/>
        <v>0.21913948144430775</v>
      </c>
      <c r="L29" s="31">
        <f t="shared" si="1"/>
        <v>0.6489602886646193</v>
      </c>
      <c r="M29" s="28">
        <f t="shared" si="10"/>
        <v>98.656399067126927</v>
      </c>
      <c r="N29" s="38"/>
      <c r="O29" s="21">
        <f t="shared" si="11"/>
        <v>-4.1859144693433964E-4</v>
      </c>
      <c r="P29" s="21">
        <f t="shared" si="12"/>
        <v>0.28570772419064672</v>
      </c>
      <c r="Q29" s="31">
        <f t="shared" si="13"/>
        <v>-5.7101144185364109E-3</v>
      </c>
      <c r="R29" s="28">
        <f t="shared" si="14"/>
        <v>128.62536257062612</v>
      </c>
      <c r="S29" s="38"/>
      <c r="T29" s="39"/>
    </row>
    <row r="30" spans="1:20" x14ac:dyDescent="0.25">
      <c r="A30" s="51">
        <f t="shared" si="15"/>
        <v>6</v>
      </c>
      <c r="B30" s="20">
        <f t="shared" si="2"/>
        <v>3.1985847473015103</v>
      </c>
      <c r="C30" s="21">
        <f t="shared" si="3"/>
        <v>-7.5184129373864206E-2</v>
      </c>
      <c r="D30" s="22">
        <f t="shared" si="4"/>
        <v>-7.6061397779814799E-2</v>
      </c>
      <c r="E30" s="23">
        <f t="shared" si="5"/>
        <v>0.16128437688043373</v>
      </c>
      <c r="F30" s="21">
        <f t="shared" si="6"/>
        <v>2.3451932959657085E-2</v>
      </c>
      <c r="G30" s="25">
        <f t="shared" si="0"/>
        <v>-1.094747152206863</v>
      </c>
      <c r="H30" s="28">
        <f t="shared" si="7"/>
        <v>73.313640589778203</v>
      </c>
      <c r="I30" s="38"/>
      <c r="J30" s="21">
        <f t="shared" si="8"/>
        <v>-4.6752136319758858E-3</v>
      </c>
      <c r="K30" s="21">
        <f t="shared" si="9"/>
        <v>0.13954443502683161</v>
      </c>
      <c r="L30" s="31">
        <f t="shared" si="1"/>
        <v>-6.3775800879827885E-2</v>
      </c>
      <c r="M30" s="28">
        <f t="shared" si="10"/>
        <v>62.822780171187937</v>
      </c>
      <c r="N30" s="38"/>
      <c r="O30" s="21">
        <f t="shared" si="11"/>
        <v>-3.9929671502920046E-2</v>
      </c>
      <c r="P30" s="21">
        <f t="shared" si="12"/>
        <v>0.15041440595363267</v>
      </c>
      <c r="Q30" s="31">
        <f t="shared" si="13"/>
        <v>-0.54469099797925591</v>
      </c>
      <c r="R30" s="28">
        <f t="shared" si="14"/>
        <v>67.716431386088217</v>
      </c>
      <c r="S30" s="38"/>
      <c r="T30" s="39"/>
    </row>
    <row r="31" spans="1:20" x14ac:dyDescent="0.25">
      <c r="A31" s="51">
        <f t="shared" si="15"/>
        <v>7</v>
      </c>
      <c r="B31" s="20">
        <f t="shared" si="2"/>
        <v>3.7316822051850953</v>
      </c>
      <c r="C31" s="21">
        <f t="shared" si="3"/>
        <v>-5.9716985671368406E-2</v>
      </c>
      <c r="D31" s="22">
        <f t="shared" si="4"/>
        <v>-4.1235873147522861E-2</v>
      </c>
      <c r="E31" s="23">
        <f t="shared" si="5"/>
        <v>3.8769127159981931E-2</v>
      </c>
      <c r="F31" s="21">
        <f t="shared" si="6"/>
        <v>-3.0090473708396237E-2</v>
      </c>
      <c r="G31" s="25">
        <f t="shared" si="0"/>
        <v>-0.8520989093237441</v>
      </c>
      <c r="H31" s="28">
        <f t="shared" si="7"/>
        <v>16.551112252928231</v>
      </c>
      <c r="I31" s="38"/>
      <c r="J31" s="21">
        <f t="shared" si="8"/>
        <v>-2.1491331263614709E-2</v>
      </c>
      <c r="K31" s="21">
        <f t="shared" si="9"/>
        <v>6.6662996287665241E-2</v>
      </c>
      <c r="L31" s="31">
        <f t="shared" si="1"/>
        <v>-0.29316881990940025</v>
      </c>
      <c r="M31" s="28">
        <f t="shared" si="10"/>
        <v>30.011621463281219</v>
      </c>
      <c r="N31" s="38"/>
      <c r="O31" s="21">
        <f t="shared" si="11"/>
        <v>-4.0604158467491561E-2</v>
      </c>
      <c r="P31" s="21">
        <f t="shared" si="12"/>
        <v>5.2716061723823586E-2</v>
      </c>
      <c r="Q31" s="31">
        <f t="shared" si="13"/>
        <v>-0.55389184947710979</v>
      </c>
      <c r="R31" s="28">
        <f t="shared" si="14"/>
        <v>23.73272396373067</v>
      </c>
      <c r="S31" s="38"/>
      <c r="T31" s="39"/>
    </row>
    <row r="32" spans="1:20" x14ac:dyDescent="0.25">
      <c r="A32" s="51">
        <f t="shared" si="15"/>
        <v>8</v>
      </c>
      <c r="B32" s="20">
        <f t="shared" si="2"/>
        <v>4.2647796630686807</v>
      </c>
      <c r="C32" s="21">
        <f t="shared" si="3"/>
        <v>-4.3660656284515209E-2</v>
      </c>
      <c r="D32" s="22">
        <f t="shared" si="4"/>
        <v>-1.5102390782116837E-2</v>
      </c>
      <c r="E32" s="23">
        <f t="shared" si="5"/>
        <v>-2.4942604492656173E-2</v>
      </c>
      <c r="F32" s="21">
        <f t="shared" si="6"/>
        <v>-5.1977468063265642E-2</v>
      </c>
      <c r="G32" s="25">
        <f t="shared" si="0"/>
        <v>-0.6093146292587146</v>
      </c>
      <c r="H32" s="28">
        <f t="shared" si="7"/>
        <v>-12.78846233492791</v>
      </c>
      <c r="I32" s="38"/>
      <c r="J32" s="21">
        <f t="shared" si="8"/>
        <v>-2.9660740029492899E-2</v>
      </c>
      <c r="K32" s="21">
        <f t="shared" si="9"/>
        <v>2.3240508401991079E-2</v>
      </c>
      <c r="L32" s="31">
        <f t="shared" si="1"/>
        <v>-0.4046098422394051</v>
      </c>
      <c r="M32" s="28">
        <f t="shared" si="10"/>
        <v>10.462856151334137</v>
      </c>
      <c r="N32" s="38"/>
      <c r="O32" s="21">
        <f t="shared" si="11"/>
        <v>-3.6660698157004054E-2</v>
      </c>
      <c r="P32" s="21">
        <f t="shared" si="12"/>
        <v>-8.5104804533254683E-4</v>
      </c>
      <c r="Q32" s="31">
        <f t="shared" si="13"/>
        <v>-0.50009808531218447</v>
      </c>
      <c r="R32" s="28">
        <f t="shared" si="14"/>
        <v>-0.38314107084790222</v>
      </c>
      <c r="S32" s="38"/>
      <c r="T32" s="39"/>
    </row>
    <row r="33" spans="1:20" x14ac:dyDescent="0.25">
      <c r="A33" s="51">
        <f t="shared" si="15"/>
        <v>9</v>
      </c>
      <c r="B33" s="20">
        <f t="shared" si="2"/>
        <v>4.7978771209522657</v>
      </c>
      <c r="C33" s="21">
        <f t="shared" si="3"/>
        <v>-2.6328037353214651E-2</v>
      </c>
      <c r="D33" s="22">
        <f t="shared" si="4"/>
        <v>8.7791122322378179E-4</v>
      </c>
      <c r="E33" s="23">
        <f t="shared" si="5"/>
        <v>-4.2958746036604545E-2</v>
      </c>
      <c r="F33" s="21">
        <f t="shared" si="6"/>
        <v>-5.0604179150227191E-2</v>
      </c>
      <c r="G33" s="25">
        <f t="shared" si="0"/>
        <v>-0.35834954672392988</v>
      </c>
      <c r="H33" s="28">
        <f t="shared" si="7"/>
        <v>-20.858114519674629</v>
      </c>
      <c r="I33" s="38"/>
      <c r="J33" s="21">
        <f t="shared" si="8"/>
        <v>-2.7141861057143096E-2</v>
      </c>
      <c r="K33" s="21">
        <f t="shared" si="9"/>
        <v>3.9513280356560654E-3</v>
      </c>
      <c r="L33" s="31">
        <f t="shared" si="1"/>
        <v>-0.3702491613322797</v>
      </c>
      <c r="M33" s="28">
        <f t="shared" si="10"/>
        <v>1.7788843569472514</v>
      </c>
      <c r="N33" s="38"/>
      <c r="O33" s="21">
        <f t="shared" si="11"/>
        <v>-2.6734949205178875E-2</v>
      </c>
      <c r="P33" s="21">
        <f t="shared" si="12"/>
        <v>-1.950370900047424E-2</v>
      </c>
      <c r="Q33" s="31">
        <f t="shared" si="13"/>
        <v>-0.36469837129585853</v>
      </c>
      <c r="R33" s="28">
        <f t="shared" si="14"/>
        <v>-8.7805523941102805</v>
      </c>
      <c r="S33" s="38"/>
      <c r="T33" s="39"/>
    </row>
    <row r="34" spans="1:20" x14ac:dyDescent="0.25">
      <c r="A34" s="51">
        <f t="shared" si="15"/>
        <v>10</v>
      </c>
      <c r="B34" s="20">
        <f t="shared" si="2"/>
        <v>5.3309745788358507</v>
      </c>
      <c r="C34" s="21">
        <f t="shared" si="3"/>
        <v>0</v>
      </c>
      <c r="D34" s="22">
        <f t="shared" si="4"/>
        <v>0</v>
      </c>
      <c r="E34" s="23">
        <f t="shared" si="5"/>
        <v>0</v>
      </c>
      <c r="F34" s="21">
        <f t="shared" si="6"/>
        <v>0</v>
      </c>
      <c r="G34" s="25">
        <f t="shared" si="0"/>
        <v>0</v>
      </c>
      <c r="H34" s="28">
        <f t="shared" si="7"/>
        <v>0</v>
      </c>
      <c r="I34" s="38"/>
      <c r="J34" s="21">
        <f t="shared" si="8"/>
        <v>0</v>
      </c>
      <c r="K34" s="21">
        <f t="shared" si="9"/>
        <v>0</v>
      </c>
      <c r="L34" s="31">
        <f t="shared" si="1"/>
        <v>0</v>
      </c>
      <c r="M34" s="28">
        <f t="shared" si="10"/>
        <v>0</v>
      </c>
      <c r="N34" s="38"/>
      <c r="O34" s="21">
        <f t="shared" si="11"/>
        <v>0</v>
      </c>
      <c r="P34" s="21">
        <f t="shared" si="12"/>
        <v>0</v>
      </c>
      <c r="Q34" s="31">
        <f t="shared" si="13"/>
        <v>0</v>
      </c>
      <c r="R34" s="28">
        <f t="shared" si="14"/>
        <v>0</v>
      </c>
      <c r="S34" s="38"/>
      <c r="T34" s="39"/>
    </row>
    <row r="35" spans="1:20" x14ac:dyDescent="0.25">
      <c r="A35" s="51">
        <f t="shared" si="15"/>
        <v>11</v>
      </c>
      <c r="B35" s="20">
        <f t="shared" si="2"/>
        <v>5.8640720367194357</v>
      </c>
      <c r="C35" s="21">
        <f t="shared" si="3"/>
        <v>0</v>
      </c>
      <c r="D35" s="22">
        <f t="shared" si="4"/>
        <v>0</v>
      </c>
      <c r="E35" s="23">
        <f t="shared" si="5"/>
        <v>0</v>
      </c>
      <c r="F35" s="21">
        <f t="shared" si="6"/>
        <v>0</v>
      </c>
      <c r="G35" s="25">
        <f t="shared" si="0"/>
        <v>0</v>
      </c>
      <c r="H35" s="28">
        <f t="shared" si="7"/>
        <v>0</v>
      </c>
      <c r="I35" s="38"/>
      <c r="J35" s="21">
        <f t="shared" si="8"/>
        <v>0</v>
      </c>
      <c r="K35" s="21">
        <f t="shared" si="9"/>
        <v>0</v>
      </c>
      <c r="L35" s="31">
        <f t="shared" si="1"/>
        <v>0</v>
      </c>
      <c r="M35" s="28">
        <f t="shared" si="10"/>
        <v>0</v>
      </c>
      <c r="N35" s="38"/>
      <c r="O35" s="21">
        <f t="shared" si="11"/>
        <v>0</v>
      </c>
      <c r="P35" s="21">
        <f t="shared" si="12"/>
        <v>0</v>
      </c>
      <c r="Q35" s="31">
        <f t="shared" si="13"/>
        <v>0</v>
      </c>
      <c r="R35" s="28">
        <f t="shared" si="14"/>
        <v>0</v>
      </c>
      <c r="S35" s="38"/>
      <c r="T35" s="39"/>
    </row>
    <row r="36" spans="1:20" x14ac:dyDescent="0.25">
      <c r="A36" s="51">
        <f t="shared" si="15"/>
        <v>12</v>
      </c>
      <c r="B36" s="20">
        <f t="shared" si="2"/>
        <v>6.3971694946030206</v>
      </c>
      <c r="C36" s="21">
        <f t="shared" si="3"/>
        <v>0</v>
      </c>
      <c r="D36" s="22">
        <f t="shared" si="4"/>
        <v>0</v>
      </c>
      <c r="E36" s="23">
        <f t="shared" si="5"/>
        <v>0</v>
      </c>
      <c r="F36" s="21">
        <f t="shared" si="6"/>
        <v>0</v>
      </c>
      <c r="G36" s="25">
        <f t="shared" si="0"/>
        <v>0</v>
      </c>
      <c r="H36" s="28">
        <f t="shared" si="7"/>
        <v>0</v>
      </c>
      <c r="I36" s="38"/>
      <c r="J36" s="21">
        <f t="shared" si="8"/>
        <v>0</v>
      </c>
      <c r="K36" s="21">
        <f t="shared" si="9"/>
        <v>0</v>
      </c>
      <c r="L36" s="31">
        <f t="shared" si="1"/>
        <v>0</v>
      </c>
      <c r="M36" s="28">
        <f t="shared" si="10"/>
        <v>0</v>
      </c>
      <c r="N36" s="38"/>
      <c r="O36" s="21">
        <f t="shared" si="11"/>
        <v>0</v>
      </c>
      <c r="P36" s="21">
        <f t="shared" si="12"/>
        <v>0</v>
      </c>
      <c r="Q36" s="31">
        <f t="shared" si="13"/>
        <v>0</v>
      </c>
      <c r="R36" s="28">
        <f t="shared" si="14"/>
        <v>0</v>
      </c>
      <c r="S36" s="38"/>
      <c r="T36" s="39"/>
    </row>
    <row r="37" spans="1:20" x14ac:dyDescent="0.25">
      <c r="A37" s="51">
        <f t="shared" si="15"/>
        <v>13</v>
      </c>
      <c r="B37" s="20">
        <f t="shared" si="2"/>
        <v>6.9302669524866056</v>
      </c>
      <c r="C37" s="21">
        <f t="shared" si="3"/>
        <v>0</v>
      </c>
      <c r="D37" s="22">
        <f t="shared" si="4"/>
        <v>0</v>
      </c>
      <c r="E37" s="23">
        <f t="shared" si="5"/>
        <v>0</v>
      </c>
      <c r="F37" s="21">
        <f t="shared" si="6"/>
        <v>0</v>
      </c>
      <c r="G37" s="25">
        <f t="shared" si="0"/>
        <v>0</v>
      </c>
      <c r="H37" s="28">
        <f t="shared" si="7"/>
        <v>0</v>
      </c>
      <c r="I37" s="38"/>
      <c r="J37" s="21">
        <f t="shared" si="8"/>
        <v>0</v>
      </c>
      <c r="K37" s="21">
        <f t="shared" si="9"/>
        <v>0</v>
      </c>
      <c r="L37" s="31">
        <f t="shared" si="1"/>
        <v>0</v>
      </c>
      <c r="M37" s="28">
        <f t="shared" si="10"/>
        <v>0</v>
      </c>
      <c r="N37" s="38"/>
      <c r="O37" s="21">
        <f t="shared" si="11"/>
        <v>0</v>
      </c>
      <c r="P37" s="21">
        <f t="shared" si="12"/>
        <v>0</v>
      </c>
      <c r="Q37" s="31">
        <f t="shared" si="13"/>
        <v>0</v>
      </c>
      <c r="R37" s="28">
        <f t="shared" si="14"/>
        <v>0</v>
      </c>
      <c r="S37" s="38"/>
      <c r="T37" s="39"/>
    </row>
    <row r="38" spans="1:20" x14ac:dyDescent="0.25">
      <c r="A38" s="51">
        <f t="shared" si="15"/>
        <v>14</v>
      </c>
      <c r="B38" s="20">
        <f t="shared" si="2"/>
        <v>7.4633644103701906</v>
      </c>
      <c r="C38" s="21">
        <f t="shared" si="3"/>
        <v>0</v>
      </c>
      <c r="D38" s="22">
        <f t="shared" si="4"/>
        <v>0</v>
      </c>
      <c r="E38" s="23">
        <f t="shared" si="5"/>
        <v>0</v>
      </c>
      <c r="F38" s="21">
        <f t="shared" si="6"/>
        <v>0</v>
      </c>
      <c r="G38" s="25">
        <f t="shared" si="0"/>
        <v>0</v>
      </c>
      <c r="H38" s="28">
        <f t="shared" si="7"/>
        <v>0</v>
      </c>
      <c r="I38" s="38"/>
      <c r="J38" s="21">
        <f t="shared" si="8"/>
        <v>0</v>
      </c>
      <c r="K38" s="21">
        <f t="shared" si="9"/>
        <v>0</v>
      </c>
      <c r="L38" s="31">
        <f t="shared" si="1"/>
        <v>0</v>
      </c>
      <c r="M38" s="28">
        <f t="shared" si="10"/>
        <v>0</v>
      </c>
      <c r="N38" s="38"/>
      <c r="O38" s="21">
        <f t="shared" si="11"/>
        <v>0</v>
      </c>
      <c r="P38" s="21">
        <f t="shared" si="12"/>
        <v>0</v>
      </c>
      <c r="Q38" s="31">
        <f t="shared" si="13"/>
        <v>0</v>
      </c>
      <c r="R38" s="28">
        <f t="shared" si="14"/>
        <v>0</v>
      </c>
      <c r="S38" s="38"/>
      <c r="T38" s="39"/>
    </row>
    <row r="39" spans="1:20" x14ac:dyDescent="0.25">
      <c r="A39" s="51">
        <f t="shared" si="15"/>
        <v>15</v>
      </c>
      <c r="B39" s="20">
        <f t="shared" si="2"/>
        <v>7.9964618682537765</v>
      </c>
      <c r="C39" s="21">
        <f t="shared" si="3"/>
        <v>0</v>
      </c>
      <c r="D39" s="22">
        <f t="shared" si="4"/>
        <v>0</v>
      </c>
      <c r="E39" s="23">
        <f t="shared" si="5"/>
        <v>0</v>
      </c>
      <c r="F39" s="21">
        <f t="shared" si="6"/>
        <v>0</v>
      </c>
      <c r="G39" s="25">
        <f t="shared" si="0"/>
        <v>0</v>
      </c>
      <c r="H39" s="28">
        <f t="shared" si="7"/>
        <v>0</v>
      </c>
      <c r="I39" s="38"/>
      <c r="J39" s="21">
        <f t="shared" si="8"/>
        <v>0</v>
      </c>
      <c r="K39" s="21">
        <f t="shared" si="9"/>
        <v>0</v>
      </c>
      <c r="L39" s="31">
        <f t="shared" si="1"/>
        <v>0</v>
      </c>
      <c r="M39" s="28">
        <f t="shared" si="10"/>
        <v>0</v>
      </c>
      <c r="N39" s="38"/>
      <c r="O39" s="21">
        <f t="shared" si="11"/>
        <v>0</v>
      </c>
      <c r="P39" s="21">
        <f t="shared" si="12"/>
        <v>0</v>
      </c>
      <c r="Q39" s="31">
        <f t="shared" si="13"/>
        <v>0</v>
      </c>
      <c r="R39" s="28">
        <f t="shared" si="14"/>
        <v>0</v>
      </c>
      <c r="S39" s="38"/>
      <c r="T39" s="39"/>
    </row>
    <row r="40" spans="1:20" x14ac:dyDescent="0.25">
      <c r="A40" s="51">
        <f t="shared" si="15"/>
        <v>16</v>
      </c>
      <c r="B40" s="20">
        <f t="shared" si="2"/>
        <v>8.5295593261373615</v>
      </c>
      <c r="C40" s="21">
        <f t="shared" si="3"/>
        <v>0</v>
      </c>
      <c r="D40" s="22">
        <f t="shared" si="4"/>
        <v>0</v>
      </c>
      <c r="E40" s="23">
        <f t="shared" si="5"/>
        <v>0</v>
      </c>
      <c r="F40" s="21">
        <f t="shared" si="6"/>
        <v>0</v>
      </c>
      <c r="G40" s="25">
        <f t="shared" si="0"/>
        <v>0</v>
      </c>
      <c r="H40" s="28">
        <f t="shared" si="7"/>
        <v>0</v>
      </c>
      <c r="I40" s="38"/>
      <c r="J40" s="21">
        <f t="shared" si="8"/>
        <v>0</v>
      </c>
      <c r="K40" s="21">
        <f t="shared" si="9"/>
        <v>0</v>
      </c>
      <c r="L40" s="31">
        <f t="shared" si="1"/>
        <v>0</v>
      </c>
      <c r="M40" s="28">
        <f t="shared" si="10"/>
        <v>0</v>
      </c>
      <c r="N40" s="38"/>
      <c r="O40" s="21">
        <f t="shared" si="11"/>
        <v>0</v>
      </c>
      <c r="P40" s="21">
        <f t="shared" si="12"/>
        <v>0</v>
      </c>
      <c r="Q40" s="31">
        <f t="shared" si="13"/>
        <v>0</v>
      </c>
      <c r="R40" s="28">
        <f t="shared" si="14"/>
        <v>0</v>
      </c>
      <c r="S40" s="38"/>
      <c r="T40" s="39"/>
    </row>
    <row r="41" spans="1:20" x14ac:dyDescent="0.25">
      <c r="A41" s="51">
        <f t="shared" si="15"/>
        <v>17</v>
      </c>
      <c r="B41" s="20">
        <f t="shared" si="2"/>
        <v>9.0626567840209464</v>
      </c>
      <c r="C41" s="21">
        <f t="shared" si="3"/>
        <v>0</v>
      </c>
      <c r="D41" s="22">
        <f t="shared" si="4"/>
        <v>0</v>
      </c>
      <c r="E41" s="23">
        <f t="shared" si="5"/>
        <v>0</v>
      </c>
      <c r="F41" s="21">
        <f t="shared" si="6"/>
        <v>0</v>
      </c>
      <c r="G41" s="25">
        <f t="shared" si="0"/>
        <v>0</v>
      </c>
      <c r="H41" s="28">
        <f t="shared" si="7"/>
        <v>0</v>
      </c>
      <c r="I41" s="38"/>
      <c r="J41" s="21">
        <f t="shared" si="8"/>
        <v>0</v>
      </c>
      <c r="K41" s="21">
        <f t="shared" si="9"/>
        <v>0</v>
      </c>
      <c r="L41" s="31">
        <f t="shared" si="1"/>
        <v>0</v>
      </c>
      <c r="M41" s="28">
        <f t="shared" si="10"/>
        <v>0</v>
      </c>
      <c r="N41" s="38"/>
      <c r="O41" s="21">
        <f t="shared" si="11"/>
        <v>0</v>
      </c>
      <c r="P41" s="21">
        <f t="shared" si="12"/>
        <v>0</v>
      </c>
      <c r="Q41" s="31">
        <f t="shared" si="13"/>
        <v>0</v>
      </c>
      <c r="R41" s="28">
        <f t="shared" si="14"/>
        <v>0</v>
      </c>
      <c r="S41" s="38"/>
      <c r="T41" s="39"/>
    </row>
    <row r="42" spans="1:20" x14ac:dyDescent="0.25">
      <c r="A42" s="51">
        <f t="shared" si="15"/>
        <v>18</v>
      </c>
      <c r="B42" s="20">
        <f t="shared" si="2"/>
        <v>9.5957542419045314</v>
      </c>
      <c r="C42" s="21">
        <f t="shared" si="3"/>
        <v>0</v>
      </c>
      <c r="D42" s="22">
        <f t="shared" si="4"/>
        <v>0</v>
      </c>
      <c r="E42" s="23">
        <f t="shared" si="5"/>
        <v>0</v>
      </c>
      <c r="F42" s="21">
        <f t="shared" si="6"/>
        <v>0</v>
      </c>
      <c r="G42" s="25">
        <f t="shared" si="0"/>
        <v>0</v>
      </c>
      <c r="H42" s="28">
        <f t="shared" si="7"/>
        <v>0</v>
      </c>
      <c r="I42" s="38"/>
      <c r="J42" s="21">
        <f t="shared" si="8"/>
        <v>0</v>
      </c>
      <c r="K42" s="21">
        <f t="shared" si="9"/>
        <v>0</v>
      </c>
      <c r="L42" s="31">
        <f t="shared" si="1"/>
        <v>0</v>
      </c>
      <c r="M42" s="28">
        <f t="shared" si="10"/>
        <v>0</v>
      </c>
      <c r="N42" s="38"/>
      <c r="O42" s="21">
        <f t="shared" si="11"/>
        <v>0</v>
      </c>
      <c r="P42" s="21">
        <f t="shared" si="12"/>
        <v>0</v>
      </c>
      <c r="Q42" s="31">
        <f t="shared" si="13"/>
        <v>0</v>
      </c>
      <c r="R42" s="28">
        <f t="shared" si="14"/>
        <v>0</v>
      </c>
      <c r="S42" s="38"/>
      <c r="T42" s="39"/>
    </row>
    <row r="43" spans="1:20" x14ac:dyDescent="0.25">
      <c r="A43" s="51">
        <f t="shared" si="15"/>
        <v>19</v>
      </c>
      <c r="B43" s="20">
        <f t="shared" si="2"/>
        <v>10.128851699788116</v>
      </c>
      <c r="C43" s="21">
        <f t="shared" si="3"/>
        <v>0</v>
      </c>
      <c r="D43" s="22">
        <f t="shared" si="4"/>
        <v>0</v>
      </c>
      <c r="E43" s="23">
        <f t="shared" si="5"/>
        <v>0</v>
      </c>
      <c r="F43" s="21">
        <f t="shared" si="6"/>
        <v>0</v>
      </c>
      <c r="G43" s="25">
        <f t="shared" si="0"/>
        <v>0</v>
      </c>
      <c r="H43" s="28">
        <f t="shared" si="7"/>
        <v>0</v>
      </c>
      <c r="I43" s="38"/>
      <c r="J43" s="21">
        <f t="shared" si="8"/>
        <v>0</v>
      </c>
      <c r="K43" s="21">
        <f t="shared" si="9"/>
        <v>0</v>
      </c>
      <c r="L43" s="31">
        <f t="shared" si="1"/>
        <v>0</v>
      </c>
      <c r="M43" s="28">
        <f t="shared" si="10"/>
        <v>0</v>
      </c>
      <c r="N43" s="38"/>
      <c r="O43" s="21">
        <f t="shared" si="11"/>
        <v>0</v>
      </c>
      <c r="P43" s="21">
        <f t="shared" si="12"/>
        <v>0</v>
      </c>
      <c r="Q43" s="31">
        <f t="shared" si="13"/>
        <v>0</v>
      </c>
      <c r="R43" s="28">
        <f t="shared" si="14"/>
        <v>0</v>
      </c>
      <c r="S43" s="38"/>
      <c r="T43" s="39"/>
    </row>
    <row r="44" spans="1:20" x14ac:dyDescent="0.25">
      <c r="A44" s="52">
        <f t="shared" si="15"/>
        <v>20</v>
      </c>
      <c r="B44" s="14">
        <f t="shared" si="2"/>
        <v>10.661949157671701</v>
      </c>
      <c r="C44" s="16">
        <f t="shared" si="3"/>
        <v>0</v>
      </c>
      <c r="D44" s="17">
        <f t="shared" si="4"/>
        <v>0</v>
      </c>
      <c r="E44" s="19">
        <f t="shared" si="5"/>
        <v>0</v>
      </c>
      <c r="F44" s="16">
        <f t="shared" si="6"/>
        <v>0</v>
      </c>
      <c r="G44" s="26">
        <f t="shared" si="0"/>
        <v>0</v>
      </c>
      <c r="H44" s="29">
        <f t="shared" si="7"/>
        <v>0</v>
      </c>
      <c r="I44" s="38"/>
      <c r="J44" s="16">
        <f t="shared" si="8"/>
        <v>0</v>
      </c>
      <c r="K44" s="16">
        <f t="shared" si="9"/>
        <v>0</v>
      </c>
      <c r="L44" s="32">
        <f t="shared" si="1"/>
        <v>0</v>
      </c>
      <c r="M44" s="29">
        <f t="shared" si="10"/>
        <v>0</v>
      </c>
      <c r="N44" s="38"/>
      <c r="O44" s="16">
        <f t="shared" si="11"/>
        <v>0</v>
      </c>
      <c r="P44" s="16">
        <f t="shared" si="12"/>
        <v>0</v>
      </c>
      <c r="Q44" s="32">
        <f t="shared" si="13"/>
        <v>0</v>
      </c>
      <c r="R44" s="29">
        <f t="shared" si="14"/>
        <v>0</v>
      </c>
      <c r="S44" s="38"/>
      <c r="T44" s="39"/>
    </row>
    <row r="45" spans="1:20" x14ac:dyDescent="0.25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</row>
    <row r="46" spans="1:20" x14ac:dyDescent="0.2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</row>
    <row r="47" spans="1:20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9"/>
    </row>
    <row r="48" spans="1:20" x14ac:dyDescent="0.2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</row>
    <row r="49" spans="1:20" x14ac:dyDescent="0.2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</row>
    <row r="50" spans="1:20" x14ac:dyDescent="0.2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</row>
    <row r="51" spans="1:20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9"/>
    </row>
    <row r="52" spans="1:20" x14ac:dyDescent="0.2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9"/>
    </row>
    <row r="53" spans="1:20" x14ac:dyDescent="0.2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9"/>
    </row>
    <row r="54" spans="1:20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9"/>
    </row>
    <row r="55" spans="1:20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</row>
    <row r="56" spans="1:20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9"/>
    </row>
    <row r="57" spans="1:20" x14ac:dyDescent="0.25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9"/>
    </row>
    <row r="58" spans="1:20" x14ac:dyDescent="0.25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</row>
    <row r="59" spans="1:20" x14ac:dyDescent="0.25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9"/>
    </row>
    <row r="60" spans="1:20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9"/>
    </row>
    <row r="61" spans="1:20" x14ac:dyDescent="0.2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9"/>
    </row>
    <row r="62" spans="1:20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</row>
    <row r="63" spans="1:20" x14ac:dyDescent="0.25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9"/>
    </row>
    <row r="64" spans="1:20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9"/>
    </row>
    <row r="65" spans="1:20" x14ac:dyDescent="0.25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9"/>
    </row>
    <row r="66" spans="1:20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9"/>
    </row>
    <row r="67" spans="1:20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9"/>
    </row>
    <row r="68" spans="1:20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9"/>
    </row>
    <row r="69" spans="1:20" x14ac:dyDescent="0.2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9"/>
    </row>
    <row r="70" spans="1:20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9"/>
    </row>
    <row r="71" spans="1:20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9"/>
    </row>
    <row r="72" spans="1:20" x14ac:dyDescent="0.25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9"/>
    </row>
    <row r="73" spans="1:20" x14ac:dyDescent="0.25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9"/>
    </row>
    <row r="74" spans="1:20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</row>
    <row r="75" spans="1:20" x14ac:dyDescent="0.25">
      <c r="A75" s="3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9"/>
    </row>
    <row r="76" spans="1:20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9"/>
    </row>
    <row r="77" spans="1:20" x14ac:dyDescent="0.25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9"/>
    </row>
    <row r="78" spans="1:20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9"/>
    </row>
    <row r="79" spans="1:20" x14ac:dyDescent="0.25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9"/>
    </row>
    <row r="80" spans="1:20" x14ac:dyDescent="0.25">
      <c r="A80" s="37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9"/>
    </row>
    <row r="81" spans="1:20" x14ac:dyDescent="0.25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9"/>
    </row>
    <row r="82" spans="1:20" x14ac:dyDescent="0.25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9"/>
    </row>
    <row r="83" spans="1:20" x14ac:dyDescent="0.25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9"/>
    </row>
    <row r="84" spans="1:20" x14ac:dyDescent="0.25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9"/>
    </row>
    <row r="85" spans="1:20" x14ac:dyDescent="0.25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9"/>
    </row>
    <row r="86" spans="1:20" x14ac:dyDescent="0.25">
      <c r="A86" s="37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9"/>
    </row>
    <row r="87" spans="1:20" x14ac:dyDescent="0.2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9"/>
    </row>
    <row r="88" spans="1:20" x14ac:dyDescent="0.25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9"/>
    </row>
    <row r="89" spans="1:20" x14ac:dyDescent="0.25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9"/>
    </row>
    <row r="90" spans="1:20" x14ac:dyDescent="0.25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9"/>
    </row>
    <row r="91" spans="1:20" x14ac:dyDescent="0.25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9"/>
    </row>
    <row r="92" spans="1:20" x14ac:dyDescent="0.25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9"/>
    </row>
    <row r="93" spans="1:20" x14ac:dyDescent="0.25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9"/>
    </row>
    <row r="94" spans="1:20" x14ac:dyDescent="0.25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9"/>
    </row>
    <row r="95" spans="1:20" x14ac:dyDescent="0.25">
      <c r="A95" s="37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9"/>
    </row>
    <row r="96" spans="1:20" x14ac:dyDescent="0.2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9"/>
    </row>
    <row r="97" spans="1:20" ht="15.75" thickBot="1" x14ac:dyDescent="0.3">
      <c r="A97" s="55" t="s">
        <v>43</v>
      </c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7"/>
      <c r="T97" s="53"/>
    </row>
    <row r="98" spans="1:20" ht="15.75" thickTop="1" x14ac:dyDescent="0.25"/>
    <row r="101" spans="1:20" ht="18" x14ac:dyDescent="0.35">
      <c r="K101" s="58" t="s">
        <v>67</v>
      </c>
    </row>
    <row r="103" spans="1:20" ht="18" x14ac:dyDescent="0.35">
      <c r="K103" s="56" t="s">
        <v>44</v>
      </c>
      <c r="L103" t="s">
        <v>62</v>
      </c>
    </row>
    <row r="105" spans="1:20" ht="18.75" x14ac:dyDescent="0.35">
      <c r="K105" s="56" t="s">
        <v>63</v>
      </c>
      <c r="L105" s="73">
        <v>19</v>
      </c>
      <c r="M105" t="s">
        <v>64</v>
      </c>
      <c r="N105" s="57">
        <f>L105*271.4</f>
        <v>5156.5999999999995</v>
      </c>
      <c r="O105" t="s">
        <v>59</v>
      </c>
    </row>
    <row r="107" spans="1:20" ht="18.75" x14ac:dyDescent="0.35">
      <c r="K107" s="56" t="s">
        <v>65</v>
      </c>
      <c r="L107" t="s">
        <v>66</v>
      </c>
    </row>
  </sheetData>
  <sheetProtection algorithmName="SHA-512" hashValue="QP4ZipP1WeiHBHzqp8BX5ONLXSHjm0WAqNK2CMpkyHqLWxfVAXlAQTT3+Zu8nmcfj4RNyabInNaalVH5C1i1+A==" saltValue="HEnCvdCaAOyxNau3ZWC4tA==" spinCount="100000" sheet="1" scenarios="1"/>
  <mergeCells count="3">
    <mergeCell ref="G22:H22"/>
    <mergeCell ref="L22:M22"/>
    <mergeCell ref="Q22:R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abSelected="1" zoomScale="60" zoomScaleNormal="60" workbookViewId="0">
      <selection activeCell="Y23" sqref="Y23"/>
    </sheetView>
  </sheetViews>
  <sheetFormatPr defaultRowHeight="15" x14ac:dyDescent="0.25"/>
  <cols>
    <col min="1" max="1" width="15.28515625" customWidth="1"/>
    <col min="5" max="5" width="14.85546875" customWidth="1"/>
    <col min="7" max="7" width="10.85546875" customWidth="1"/>
    <col min="8" max="8" width="12.42578125" customWidth="1"/>
    <col min="12" max="12" width="10.28515625" bestFit="1" customWidth="1"/>
    <col min="13" max="13" width="11.85546875" customWidth="1"/>
    <col min="15" max="16" width="10.28515625" bestFit="1" customWidth="1"/>
    <col min="18" max="18" width="11.85546875" customWidth="1"/>
    <col min="19" max="19" width="11.5703125" bestFit="1" customWidth="1"/>
  </cols>
  <sheetData>
    <row r="1" spans="1:20" ht="15.75" thickTop="1" x14ac:dyDescent="0.25">
      <c r="A1" s="63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65" t="s">
        <v>68</v>
      </c>
    </row>
    <row r="2" spans="1:20" x14ac:dyDescent="0.25">
      <c r="A2" s="64" t="s">
        <v>49</v>
      </c>
      <c r="B2" s="38" t="s">
        <v>50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x14ac:dyDescent="0.25">
      <c r="A3" s="64" t="s">
        <v>51</v>
      </c>
      <c r="B3" s="38" t="s">
        <v>52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/>
    </row>
    <row r="4" spans="1:20" x14ac:dyDescent="0.25">
      <c r="A4" s="64" t="s">
        <v>53</v>
      </c>
      <c r="B4" s="38" t="s">
        <v>54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0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</row>
    <row r="6" spans="1:20" ht="23.25" x14ac:dyDescent="0.35">
      <c r="A6" s="62" t="s">
        <v>38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</row>
    <row r="7" spans="1:20" hidden="1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 hidden="1" x14ac:dyDescent="0.25">
      <c r="A8" s="40" t="s">
        <v>0</v>
      </c>
      <c r="B8" s="2"/>
      <c r="C8" s="3"/>
      <c r="D8" s="3"/>
      <c r="E8" s="4"/>
      <c r="F8" s="1"/>
      <c r="G8" s="1" t="s">
        <v>1</v>
      </c>
      <c r="H8" s="5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</row>
    <row r="9" spans="1:20" hidden="1" x14ac:dyDescent="0.25">
      <c r="A9" s="40" t="s">
        <v>2</v>
      </c>
      <c r="B9" s="6"/>
      <c r="C9" s="3"/>
      <c r="D9" s="3"/>
      <c r="E9" s="4"/>
      <c r="F9" s="1"/>
      <c r="G9" s="1"/>
      <c r="H9" s="1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</row>
    <row r="10" spans="1:20" hidden="1" x14ac:dyDescent="0.25">
      <c r="A10" s="40" t="s">
        <v>3</v>
      </c>
      <c r="B10" s="6"/>
      <c r="C10" s="3"/>
      <c r="D10" s="3"/>
      <c r="E10" s="4"/>
      <c r="F10" s="1"/>
      <c r="G10" s="7"/>
      <c r="H10" s="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1:20" hidden="1" x14ac:dyDescent="0.25">
      <c r="A11" s="40" t="s">
        <v>4</v>
      </c>
      <c r="B11" s="8" t="s">
        <v>5</v>
      </c>
      <c r="C11" s="1"/>
      <c r="D11" s="1"/>
      <c r="E11" s="1"/>
      <c r="F11" s="7"/>
      <c r="G11" s="1" t="s">
        <v>6</v>
      </c>
      <c r="H11" s="9">
        <f ca="1">TODAY()</f>
        <v>41838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</row>
    <row r="12" spans="1:20" hidden="1" x14ac:dyDescent="0.25">
      <c r="A12" s="40" t="s">
        <v>7</v>
      </c>
      <c r="B12" s="10"/>
      <c r="C12" s="1"/>
      <c r="D12" s="1"/>
      <c r="E12" s="1"/>
      <c r="F12" s="1"/>
      <c r="G12" s="1"/>
      <c r="H12" s="1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</row>
    <row r="13" spans="1:20" x14ac:dyDescent="0.25">
      <c r="A13" s="41" t="s">
        <v>36</v>
      </c>
      <c r="B13" s="38" t="s">
        <v>42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</row>
    <row r="14" spans="1:20" x14ac:dyDescent="0.25">
      <c r="A14" s="42" t="s">
        <v>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47"/>
      <c r="S14" s="47"/>
      <c r="T14" s="39"/>
    </row>
    <row r="15" spans="1:20" ht="17.25" x14ac:dyDescent="0.25">
      <c r="A15" s="41" t="s">
        <v>9</v>
      </c>
      <c r="B15" s="72">
        <v>200000000</v>
      </c>
      <c r="C15" s="38" t="s">
        <v>10</v>
      </c>
      <c r="D15" s="38" t="s">
        <v>11</v>
      </c>
      <c r="E15" s="38"/>
      <c r="F15" s="72">
        <f>58064/100000000</f>
        <v>5.8064E-4</v>
      </c>
      <c r="G15" s="38" t="s">
        <v>57</v>
      </c>
      <c r="H15" s="43" t="s">
        <v>17</v>
      </c>
      <c r="I15" s="43">
        <f>B15*F15</f>
        <v>116128</v>
      </c>
      <c r="J15" s="38" t="s">
        <v>58</v>
      </c>
      <c r="K15" s="38"/>
      <c r="L15" s="38"/>
      <c r="M15" s="38"/>
      <c r="N15" s="38"/>
      <c r="O15" s="38"/>
      <c r="P15" s="38"/>
      <c r="Q15" s="38"/>
      <c r="R15" s="60"/>
      <c r="S15" s="11"/>
      <c r="T15" s="39"/>
    </row>
    <row r="16" spans="1:20" x14ac:dyDescent="0.25">
      <c r="A16" s="41" t="s">
        <v>12</v>
      </c>
      <c r="B16" s="73">
        <v>20</v>
      </c>
      <c r="C16" s="38" t="s">
        <v>13</v>
      </c>
      <c r="D16" s="38"/>
      <c r="E16" s="43" t="s">
        <v>41</v>
      </c>
      <c r="F16" s="73">
        <v>0.5</v>
      </c>
      <c r="G16" s="38" t="s">
        <v>13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60"/>
      <c r="S16" s="11"/>
      <c r="T16" s="39"/>
    </row>
    <row r="17" spans="1:20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60"/>
      <c r="S17" s="61"/>
      <c r="T17" s="39"/>
    </row>
    <row r="18" spans="1:20" ht="18.75" x14ac:dyDescent="0.35">
      <c r="A18" s="37" t="s">
        <v>56</v>
      </c>
      <c r="B18" s="74">
        <v>5000</v>
      </c>
      <c r="C18" s="38" t="s">
        <v>59</v>
      </c>
      <c r="D18" s="43" t="s">
        <v>39</v>
      </c>
      <c r="E18" s="44">
        <f>($I$15/($F$16*$B$18))^0.25</f>
        <v>2.6106535043164265</v>
      </c>
      <c r="F18" s="38" t="s">
        <v>13</v>
      </c>
      <c r="G18" s="43" t="s">
        <v>40</v>
      </c>
      <c r="H18" s="45">
        <f>B16/E18</f>
        <v>7.6609170718872548</v>
      </c>
      <c r="I18" s="46" t="str">
        <f>IF(H18&gt;5, "Long Pile, OK", "Short Pile, Not Applicable")</f>
        <v>Long Pile, OK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</row>
    <row r="19" spans="1:20" x14ac:dyDescent="0.2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</row>
    <row r="20" spans="1:20" x14ac:dyDescent="0.25">
      <c r="A20" s="37" t="s">
        <v>14</v>
      </c>
      <c r="B20" s="73">
        <v>240</v>
      </c>
      <c r="C20" s="38" t="s">
        <v>15</v>
      </c>
      <c r="D20" s="38" t="s">
        <v>47</v>
      </c>
      <c r="E20" s="38"/>
      <c r="F20" s="73">
        <v>30</v>
      </c>
      <c r="G20" s="38" t="s">
        <v>16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  <row r="21" spans="1:20" x14ac:dyDescent="0.25">
      <c r="A21" s="37"/>
      <c r="B21" s="11"/>
      <c r="C21" s="47"/>
      <c r="D21" s="47"/>
      <c r="E21" s="47"/>
      <c r="F21" s="11"/>
      <c r="G21" s="47"/>
      <c r="H21" s="38"/>
      <c r="I21" s="38"/>
      <c r="J21" s="38"/>
      <c r="K21" s="38"/>
      <c r="L21" s="38"/>
      <c r="M21" s="38"/>
      <c r="N21" s="38"/>
      <c r="O21" s="38"/>
      <c r="P21" s="38"/>
      <c r="Q21" s="43" t="s">
        <v>34</v>
      </c>
      <c r="R21" s="74">
        <v>0.5</v>
      </c>
      <c r="S21" s="38"/>
      <c r="T21" s="39"/>
    </row>
    <row r="22" spans="1:20" x14ac:dyDescent="0.25">
      <c r="A22" s="48" t="s">
        <v>30</v>
      </c>
      <c r="B22" s="38"/>
      <c r="C22" s="38"/>
      <c r="D22" s="38"/>
      <c r="E22" s="38"/>
      <c r="F22" s="38"/>
      <c r="G22" s="66" t="s">
        <v>31</v>
      </c>
      <c r="H22" s="67"/>
      <c r="I22" s="38"/>
      <c r="J22" s="38"/>
      <c r="K22" s="38"/>
      <c r="L22" s="68" t="s">
        <v>32</v>
      </c>
      <c r="M22" s="69"/>
      <c r="N22" s="38"/>
      <c r="O22" s="38"/>
      <c r="P22" s="38"/>
      <c r="Q22" s="70" t="s">
        <v>33</v>
      </c>
      <c r="R22" s="71"/>
      <c r="S22" s="38"/>
      <c r="T22" s="39"/>
    </row>
    <row r="23" spans="1:20" x14ac:dyDescent="0.25">
      <c r="A23" s="49" t="s">
        <v>20</v>
      </c>
      <c r="B23" s="12" t="s">
        <v>21</v>
      </c>
      <c r="C23" s="33" t="s">
        <v>22</v>
      </c>
      <c r="D23" s="33" t="s">
        <v>23</v>
      </c>
      <c r="E23" s="12" t="s">
        <v>24</v>
      </c>
      <c r="F23" s="12" t="s">
        <v>25</v>
      </c>
      <c r="G23" s="12" t="s">
        <v>28</v>
      </c>
      <c r="H23" s="12" t="s">
        <v>29</v>
      </c>
      <c r="I23" s="43"/>
      <c r="J23" s="12" t="s">
        <v>26</v>
      </c>
      <c r="K23" s="12" t="s">
        <v>27</v>
      </c>
      <c r="L23" s="12" t="s">
        <v>28</v>
      </c>
      <c r="M23" s="12" t="s">
        <v>29</v>
      </c>
      <c r="N23" s="38"/>
      <c r="O23" s="12" t="s">
        <v>26</v>
      </c>
      <c r="P23" s="12" t="s">
        <v>27</v>
      </c>
      <c r="Q23" s="12" t="s">
        <v>28</v>
      </c>
      <c r="R23" s="12" t="s">
        <v>29</v>
      </c>
      <c r="S23" s="38"/>
      <c r="T23" s="39"/>
    </row>
    <row r="24" spans="1:20" x14ac:dyDescent="0.25">
      <c r="A24" s="50">
        <v>0</v>
      </c>
      <c r="B24" s="13">
        <f>A24/$E$18</f>
        <v>0</v>
      </c>
      <c r="C24" s="34">
        <f>IF(B24&lt;5,0.002289*B24^5-0.028215*B24^4+0.102325*B24^3+0.046014*B24^2-0.974808*B24+1.396, 0)</f>
        <v>1.3959999999999999</v>
      </c>
      <c r="D24" s="35">
        <f>IF(B24&lt;5,0.007758*B24^4-0.111351*B24^3+0.613976*B24^2-1.440878*B24+0.992,0)</f>
        <v>0.99199999999999999</v>
      </c>
      <c r="E24" s="18">
        <f>IF(B24&lt;4.2,0.002684*B24^5-0.04377*B24^4+0.284378*B24^3-0.883014*B24^2+1.106902*B24,0)</f>
        <v>0</v>
      </c>
      <c r="F24" s="15">
        <f>IF(B24&lt;4.2,-0.014511*B24^4+0.14123*B24^3-0.390583*B24^2-0.014875*B24+1,0)</f>
        <v>1</v>
      </c>
      <c r="G24" s="24">
        <f t="shared" ref="G24:G44" si="0">1000*((C24*$B$20*$E$18^3)+(D24*$F$20*$E$18^2))/$I$15</f>
        <v>53.080877110680383</v>
      </c>
      <c r="H24" s="27">
        <f>(E24*$B$20*$E$18)+(F24*$F$20)</f>
        <v>30</v>
      </c>
      <c r="I24" s="38"/>
      <c r="J24" s="15">
        <f>C24-(0.68*D24)</f>
        <v>0.72143999999999986</v>
      </c>
      <c r="K24" s="15">
        <f>E24-(0.68*F24)</f>
        <v>-0.68</v>
      </c>
      <c r="L24" s="30">
        <f t="shared" ref="L24:L44" si="1">1000*(J24*$B$20*$E$18^3)/$I$15</f>
        <v>26.529081659243243</v>
      </c>
      <c r="M24" s="27">
        <f>K24*$B$20*$E$18</f>
        <v>-426.05865190444086</v>
      </c>
      <c r="N24" s="38"/>
      <c r="O24" s="15">
        <f>C24-(0.68*$R$21*D24)</f>
        <v>1.0587199999999999</v>
      </c>
      <c r="P24" s="15">
        <f>E24-(0.68*$R$21*F24)</f>
        <v>-0.34</v>
      </c>
      <c r="Q24" s="30">
        <f>1000*(O24*$B$20*$E$18^3)/$I$15</f>
        <v>38.931677387272686</v>
      </c>
      <c r="R24" s="27">
        <f>P24*$B$20*$E$18</f>
        <v>-213.02932595222043</v>
      </c>
      <c r="S24" s="38"/>
      <c r="T24" s="39"/>
    </row>
    <row r="25" spans="1:20" x14ac:dyDescent="0.25">
      <c r="A25" s="51">
        <f>A24+($B$16*0.05)</f>
        <v>1</v>
      </c>
      <c r="B25" s="20">
        <f t="shared" ref="B25:B44" si="2">A25/$E$18</f>
        <v>0.38304585359436277</v>
      </c>
      <c r="C25" s="21">
        <f t="shared" ref="C25:C44" si="3">IF(B25&lt;5,0.002289*B25^5-0.028215*B25^4+0.102325*B25^3+0.046014*B25^2-0.974808*B25+1.396, 0)</f>
        <v>1.03451754199736</v>
      </c>
      <c r="D25" s="22">
        <f t="shared" ref="D25:D44" si="4">IF(B25&lt;5,0.007758*B25^4-0.111351*B25^3+0.613976*B25^2-1.440878*B25+0.992,0)</f>
        <v>0.52407160602546721</v>
      </c>
      <c r="E25" s="23">
        <f t="shared" ref="E25:E44" si="5">IF(B25&lt;4.2,0.002684*B25^5-0.04377*B25^4+0.284378*B25^3-0.883014*B25^2+1.106902*B25,0)</f>
        <v>0.30949724938186185</v>
      </c>
      <c r="F25" s="21">
        <f t="shared" ref="F25:F44" si="6">IF(B25&lt;4.2,-0.014511*B25^4+0.14123*B25^3-0.390583*B25^2-0.014875*B25+1,0)</f>
        <v>0.9446192693528972</v>
      </c>
      <c r="G25" s="25">
        <f t="shared" si="0"/>
        <v>38.964422253529492</v>
      </c>
      <c r="H25" s="28">
        <f t="shared" ref="H25:H44" si="7">(E25*$B$20*$E$18)+(F25*$F$20)</f>
        <v>222.25619696259955</v>
      </c>
      <c r="I25" s="38"/>
      <c r="J25" s="21">
        <f t="shared" ref="J25:J44" si="8">C25-(0.68*D25)</f>
        <v>0.67814884990004232</v>
      </c>
      <c r="K25" s="21">
        <f t="shared" ref="K25:K44" si="9">E25-(0.68*F25)</f>
        <v>-0.33284385377810832</v>
      </c>
      <c r="L25" s="31">
        <f t="shared" si="1"/>
        <v>24.937162087103733</v>
      </c>
      <c r="M25" s="28">
        <f t="shared" ref="M25:M44" si="10">K25*$B$20*$E$18</f>
        <v>-208.54559358144067</v>
      </c>
      <c r="N25" s="38"/>
      <c r="O25" s="21">
        <f t="shared" ref="O25:O44" si="11">C25-(0.68*$R$21*D25)</f>
        <v>0.85633319594870116</v>
      </c>
      <c r="P25" s="21">
        <f t="shared" ref="P25:P44" si="12">E25-(0.68*$R$21*F25)</f>
        <v>-1.1673302198123237E-2</v>
      </c>
      <c r="Q25" s="31">
        <f t="shared" ref="Q25:Q44" si="13">1000*(O25*$B$20*$E$18^3)/$I$15</f>
        <v>31.48942848032247</v>
      </c>
      <c r="R25" s="28">
        <f t="shared" ref="R25:R44" si="14">P25*$B$20*$E$18</f>
        <v>-7.3139873497140169</v>
      </c>
      <c r="S25" s="38"/>
      <c r="T25" s="39"/>
    </row>
    <row r="26" spans="1:20" x14ac:dyDescent="0.25">
      <c r="A26" s="51">
        <f t="shared" ref="A26:A44" si="15">A25+($B$16*0.05)</f>
        <v>2</v>
      </c>
      <c r="B26" s="20">
        <f t="shared" si="2"/>
        <v>0.76609170718872555</v>
      </c>
      <c r="C26" s="21">
        <f t="shared" si="3"/>
        <v>0.71310557496745508</v>
      </c>
      <c r="D26" s="22">
        <f t="shared" si="4"/>
        <v>0.2011026528608808</v>
      </c>
      <c r="E26" s="23">
        <f t="shared" si="5"/>
        <v>0.44324344937195964</v>
      </c>
      <c r="F26" s="21">
        <f t="shared" si="6"/>
        <v>0.81787365552806979</v>
      </c>
      <c r="G26" s="25">
        <f t="shared" si="0"/>
        <v>26.576684163586492</v>
      </c>
      <c r="H26" s="28">
        <f t="shared" si="7"/>
        <v>302.25342511421178</v>
      </c>
      <c r="I26" s="38"/>
      <c r="J26" s="21">
        <f t="shared" si="8"/>
        <v>0.57635577102205615</v>
      </c>
      <c r="K26" s="21">
        <f t="shared" si="9"/>
        <v>-0.11291063638712789</v>
      </c>
      <c r="L26" s="31">
        <f t="shared" si="1"/>
        <v>21.193986075377342</v>
      </c>
      <c r="M26" s="28">
        <f t="shared" si="10"/>
        <v>-70.74493165407678</v>
      </c>
      <c r="N26" s="38"/>
      <c r="O26" s="21">
        <f t="shared" si="11"/>
        <v>0.64473067299475562</v>
      </c>
      <c r="P26" s="21">
        <f t="shared" si="12"/>
        <v>0.16516640649241587</v>
      </c>
      <c r="Q26" s="31">
        <f t="shared" si="13"/>
        <v>23.708295453671447</v>
      </c>
      <c r="R26" s="28">
        <f t="shared" si="14"/>
        <v>103.48614189714645</v>
      </c>
      <c r="S26" s="38"/>
      <c r="T26" s="39"/>
    </row>
    <row r="27" spans="1:20" x14ac:dyDescent="0.25">
      <c r="A27" s="51">
        <f t="shared" si="15"/>
        <v>3</v>
      </c>
      <c r="B27" s="20">
        <f t="shared" si="2"/>
        <v>1.1491375607830883</v>
      </c>
      <c r="C27" s="21">
        <f t="shared" si="3"/>
        <v>0.44723387176452145</v>
      </c>
      <c r="D27" s="22">
        <f t="shared" si="4"/>
        <v>-8.4432949390185197E-3</v>
      </c>
      <c r="E27" s="23">
        <f t="shared" si="5"/>
        <v>0.46653225856598257</v>
      </c>
      <c r="F27" s="21">
        <f t="shared" si="6"/>
        <v>0.65614154200081365</v>
      </c>
      <c r="G27" s="25">
        <f t="shared" si="0"/>
        <v>16.430997675128506</v>
      </c>
      <c r="H27" s="28">
        <f t="shared" si="7"/>
        <v>311.9932244284899</v>
      </c>
      <c r="I27" s="38"/>
      <c r="J27" s="21">
        <f t="shared" si="8"/>
        <v>0.45297531232305405</v>
      </c>
      <c r="K27" s="21">
        <f t="shared" si="9"/>
        <v>2.0356010005429248E-2</v>
      </c>
      <c r="L27" s="31">
        <f t="shared" si="1"/>
        <v>16.656990255931909</v>
      </c>
      <c r="M27" s="28">
        <f t="shared" si="10"/>
        <v>12.754197325097786</v>
      </c>
      <c r="N27" s="38"/>
      <c r="O27" s="21">
        <f t="shared" si="11"/>
        <v>0.45010459204378772</v>
      </c>
      <c r="P27" s="21">
        <f t="shared" si="12"/>
        <v>0.24344413428570591</v>
      </c>
      <c r="Q27" s="31">
        <f t="shared" si="13"/>
        <v>16.551426975950893</v>
      </c>
      <c r="R27" s="28">
        <f t="shared" si="14"/>
        <v>152.53158774678164</v>
      </c>
      <c r="S27" s="38"/>
      <c r="T27" s="39"/>
    </row>
    <row r="28" spans="1:20" x14ac:dyDescent="0.25">
      <c r="A28" s="51">
        <f t="shared" si="15"/>
        <v>4</v>
      </c>
      <c r="B28" s="20">
        <f t="shared" si="2"/>
        <v>1.5321834143774511</v>
      </c>
      <c r="C28" s="21">
        <f t="shared" si="3"/>
        <v>0.24232445771701738</v>
      </c>
      <c r="D28" s="22">
        <f t="shared" si="4"/>
        <v>-0.13209433718984021</v>
      </c>
      <c r="E28" s="23">
        <f t="shared" si="5"/>
        <v>0.4273545062904367</v>
      </c>
      <c r="F28" s="21">
        <f t="shared" si="6"/>
        <v>0.48830389560272058</v>
      </c>
      <c r="G28" s="25">
        <f t="shared" si="0"/>
        <v>8.6782752462738451</v>
      </c>
      <c r="H28" s="28">
        <f t="shared" si="7"/>
        <v>282.41100633189239</v>
      </c>
      <c r="I28" s="38"/>
      <c r="J28" s="21">
        <f t="shared" si="8"/>
        <v>0.33214860700610871</v>
      </c>
      <c r="K28" s="21">
        <f t="shared" si="9"/>
        <v>9.5307857280586661E-2</v>
      </c>
      <c r="L28" s="31">
        <f t="shared" si="1"/>
        <v>12.213902082320015</v>
      </c>
      <c r="M28" s="28">
        <f t="shared" si="10"/>
        <v>59.715789983628824</v>
      </c>
      <c r="N28" s="38"/>
      <c r="O28" s="21">
        <f t="shared" si="11"/>
        <v>0.28723653236156305</v>
      </c>
      <c r="P28" s="21">
        <f t="shared" si="12"/>
        <v>0.26133118178551168</v>
      </c>
      <c r="Q28" s="31">
        <f t="shared" si="13"/>
        <v>10.562377221304297</v>
      </c>
      <c r="R28" s="28">
        <f t="shared" si="14"/>
        <v>163.73883972371979</v>
      </c>
      <c r="S28" s="38"/>
      <c r="T28" s="39"/>
    </row>
    <row r="29" spans="1:20" x14ac:dyDescent="0.25">
      <c r="A29" s="51">
        <f t="shared" si="15"/>
        <v>5</v>
      </c>
      <c r="B29" s="20">
        <f t="shared" si="2"/>
        <v>1.9152292679718137</v>
      </c>
      <c r="C29" s="21">
        <f t="shared" si="3"/>
        <v>9.6016676655311217E-2</v>
      </c>
      <c r="D29" s="22">
        <f t="shared" si="4"/>
        <v>-0.19337023807754283</v>
      </c>
      <c r="E29" s="23">
        <f t="shared" si="5"/>
        <v>0.35905412847783724</v>
      </c>
      <c r="F29" s="21">
        <f t="shared" si="6"/>
        <v>0.33574426652167966</v>
      </c>
      <c r="G29" s="25">
        <f t="shared" si="0"/>
        <v>3.1902988773842633</v>
      </c>
      <c r="H29" s="28">
        <f t="shared" si="7"/>
        <v>235.04014849563751</v>
      </c>
      <c r="I29" s="38"/>
      <c r="J29" s="21">
        <f t="shared" si="8"/>
        <v>0.22750843854804034</v>
      </c>
      <c r="K29" s="21">
        <f t="shared" si="9"/>
        <v>0.13074802724309506</v>
      </c>
      <c r="L29" s="31">
        <f t="shared" si="1"/>
        <v>8.3660317481812569</v>
      </c>
      <c r="M29" s="28">
        <f t="shared" si="10"/>
        <v>81.921070921114975</v>
      </c>
      <c r="N29" s="38"/>
      <c r="O29" s="21">
        <f t="shared" si="11"/>
        <v>0.16176255760167579</v>
      </c>
      <c r="P29" s="21">
        <f t="shared" si="12"/>
        <v>0.24490107786046617</v>
      </c>
      <c r="Q29" s="31">
        <f t="shared" si="13"/>
        <v>5.9483977877895544</v>
      </c>
      <c r="R29" s="28">
        <f t="shared" si="14"/>
        <v>153.44444571055104</v>
      </c>
      <c r="S29" s="38"/>
      <c r="T29" s="39"/>
    </row>
    <row r="30" spans="1:20" x14ac:dyDescent="0.25">
      <c r="A30" s="51">
        <f t="shared" si="15"/>
        <v>6</v>
      </c>
      <c r="B30" s="20">
        <f t="shared" si="2"/>
        <v>2.2982751215661765</v>
      </c>
      <c r="C30" s="21">
        <f t="shared" si="3"/>
        <v>4.3225693936754794E-4</v>
      </c>
      <c r="D30" s="22">
        <f t="shared" si="4"/>
        <v>-0.2117824261584369</v>
      </c>
      <c r="E30" s="23">
        <f t="shared" si="5"/>
        <v>0.28298410354189896</v>
      </c>
      <c r="F30" s="21">
        <f t="shared" si="6"/>
        <v>0.21234878830187609</v>
      </c>
      <c r="G30" s="25">
        <f t="shared" si="0"/>
        <v>-0.35698797053286696</v>
      </c>
      <c r="H30" s="28">
        <f t="shared" si="7"/>
        <v>183.67608962765652</v>
      </c>
      <c r="I30" s="38"/>
      <c r="J30" s="21">
        <f t="shared" si="8"/>
        <v>0.14444430672710465</v>
      </c>
      <c r="K30" s="21">
        <f t="shared" si="9"/>
        <v>0.13858692749662321</v>
      </c>
      <c r="L30" s="31">
        <f t="shared" si="1"/>
        <v>5.3115641056444582</v>
      </c>
      <c r="M30" s="28">
        <f t="shared" si="10"/>
        <v>86.832587501161427</v>
      </c>
      <c r="N30" s="38"/>
      <c r="O30" s="21">
        <f t="shared" si="11"/>
        <v>7.2438281833236098E-2</v>
      </c>
      <c r="P30" s="21">
        <f t="shared" si="12"/>
        <v>0.21078551551926109</v>
      </c>
      <c r="Q30" s="31">
        <f t="shared" si="13"/>
        <v>2.6637296157812109</v>
      </c>
      <c r="R30" s="28">
        <f t="shared" si="14"/>
        <v>132.06910673988082</v>
      </c>
      <c r="S30" s="38"/>
      <c r="T30" s="39"/>
    </row>
    <row r="31" spans="1:20" x14ac:dyDescent="0.25">
      <c r="A31" s="51">
        <f t="shared" si="15"/>
        <v>7</v>
      </c>
      <c r="B31" s="20">
        <f t="shared" si="2"/>
        <v>2.6813209751605394</v>
      </c>
      <c r="C31" s="21">
        <f t="shared" si="3"/>
        <v>-5.5559622513565277E-2</v>
      </c>
      <c r="D31" s="22">
        <f t="shared" si="4"/>
        <v>-0.20283399435918081</v>
      </c>
      <c r="E31" s="23">
        <f t="shared" si="5"/>
        <v>0.21116238825272493</v>
      </c>
      <c r="F31" s="21">
        <f t="shared" si="6"/>
        <v>0.12450617784379092</v>
      </c>
      <c r="G31" s="25">
        <f t="shared" si="0"/>
        <v>-2.4001884574223391</v>
      </c>
      <c r="H31" s="28">
        <f t="shared" si="7"/>
        <v>136.04042426454626</v>
      </c>
      <c r="I31" s="38"/>
      <c r="J31" s="21">
        <f t="shared" si="8"/>
        <v>8.2367493650677692E-2</v>
      </c>
      <c r="K31" s="21">
        <f t="shared" si="9"/>
        <v>0.1264981873189471</v>
      </c>
      <c r="L31" s="31">
        <f t="shared" si="1"/>
        <v>3.0288505837298016</v>
      </c>
      <c r="M31" s="28">
        <f t="shared" si="10"/>
        <v>79.258304643332409</v>
      </c>
      <c r="N31" s="38"/>
      <c r="O31" s="21">
        <f t="shared" si="11"/>
        <v>1.3403935568556208E-2</v>
      </c>
      <c r="P31" s="21">
        <f t="shared" si="12"/>
        <v>0.16883028778583603</v>
      </c>
      <c r="Q31" s="31">
        <f t="shared" si="13"/>
        <v>0.49289490637261962</v>
      </c>
      <c r="R31" s="28">
        <f t="shared" si="14"/>
        <v>105.78177178628248</v>
      </c>
      <c r="S31" s="38"/>
      <c r="T31" s="39"/>
    </row>
    <row r="32" spans="1:20" x14ac:dyDescent="0.25">
      <c r="A32" s="51">
        <f t="shared" si="15"/>
        <v>8</v>
      </c>
      <c r="B32" s="20">
        <f t="shared" si="2"/>
        <v>3.0643668287549022</v>
      </c>
      <c r="C32" s="21">
        <f t="shared" si="3"/>
        <v>-8.4077266201268541E-2</v>
      </c>
      <c r="D32" s="22">
        <f t="shared" si="4"/>
        <v>-0.17801969997678269</v>
      </c>
      <c r="E32" s="23">
        <f t="shared" si="5"/>
        <v>0.14892785361200156</v>
      </c>
      <c r="F32" s="21">
        <f t="shared" si="6"/>
        <v>7.1107735404201344E-2</v>
      </c>
      <c r="G32" s="25">
        <f t="shared" si="0"/>
        <v>-3.405160445778916</v>
      </c>
      <c r="H32" s="28">
        <f t="shared" si="7"/>
        <v>95.444997563524993</v>
      </c>
      <c r="I32" s="38"/>
      <c r="J32" s="21">
        <f t="shared" si="8"/>
        <v>3.6976129782943692E-2</v>
      </c>
      <c r="K32" s="21">
        <f t="shared" si="9"/>
        <v>0.10057459353714465</v>
      </c>
      <c r="L32" s="31">
        <f t="shared" si="1"/>
        <v>1.3597011067510665</v>
      </c>
      <c r="M32" s="28">
        <f t="shared" si="10"/>
        <v>63.015699615107252</v>
      </c>
      <c r="N32" s="38"/>
      <c r="O32" s="21">
        <f t="shared" si="11"/>
        <v>-2.3550568209162424E-2</v>
      </c>
      <c r="P32" s="21">
        <f t="shared" si="12"/>
        <v>0.12475122357457311</v>
      </c>
      <c r="Q32" s="31">
        <f t="shared" si="13"/>
        <v>-0.86601096022184532</v>
      </c>
      <c r="R32" s="28">
        <f t="shared" si="14"/>
        <v>78.163732558253102</v>
      </c>
      <c r="S32" s="38"/>
      <c r="T32" s="39"/>
    </row>
    <row r="33" spans="1:20" x14ac:dyDescent="0.25">
      <c r="A33" s="51">
        <f t="shared" si="15"/>
        <v>9</v>
      </c>
      <c r="B33" s="20">
        <f t="shared" si="2"/>
        <v>3.447412682349265</v>
      </c>
      <c r="C33" s="21">
        <f t="shared" si="3"/>
        <v>-9.596139600886433E-2</v>
      </c>
      <c r="D33" s="22">
        <f t="shared" si="4"/>
        <v>-0.14482596467860365</v>
      </c>
      <c r="E33" s="23">
        <f t="shared" si="5"/>
        <v>9.7596220728186189E-2</v>
      </c>
      <c r="F33" s="21">
        <f t="shared" si="6"/>
        <v>4.354734459618459E-2</v>
      </c>
      <c r="G33" s="25">
        <f t="shared" si="0"/>
        <v>-3.7837245822450671</v>
      </c>
      <c r="H33" s="28">
        <f t="shared" si="7"/>
        <v>62.456000094384436</v>
      </c>
      <c r="I33" s="38"/>
      <c r="J33" s="21">
        <f t="shared" si="8"/>
        <v>2.5202599725861613E-3</v>
      </c>
      <c r="K33" s="21">
        <f t="shared" si="9"/>
        <v>6.7984026402780673E-2</v>
      </c>
      <c r="L33" s="31">
        <f t="shared" si="1"/>
        <v>9.2676012717981274E-2</v>
      </c>
      <c r="M33" s="28">
        <f t="shared" si="10"/>
        <v>42.59585682383036</v>
      </c>
      <c r="N33" s="38"/>
      <c r="O33" s="21">
        <f t="shared" si="11"/>
        <v>-4.6720568018139084E-2</v>
      </c>
      <c r="P33" s="21">
        <f t="shared" si="12"/>
        <v>8.2790123565483431E-2</v>
      </c>
      <c r="Q33" s="31">
        <f t="shared" si="13"/>
        <v>-1.7180275062644712</v>
      </c>
      <c r="R33" s="28">
        <f t="shared" si="14"/>
        <v>51.872718290164634</v>
      </c>
      <c r="S33" s="38"/>
      <c r="T33" s="39"/>
    </row>
    <row r="34" spans="1:20" x14ac:dyDescent="0.25">
      <c r="A34" s="51">
        <f t="shared" si="15"/>
        <v>10</v>
      </c>
      <c r="B34" s="20">
        <f t="shared" si="2"/>
        <v>3.8304585359436274</v>
      </c>
      <c r="C34" s="21">
        <f t="shared" si="3"/>
        <v>-9.8510085181130691E-2</v>
      </c>
      <c r="D34" s="22">
        <f t="shared" si="4"/>
        <v>-0.1067308745023503</v>
      </c>
      <c r="E34" s="23">
        <f t="shared" si="5"/>
        <v>5.7115996691704751E-2</v>
      </c>
      <c r="F34" s="21">
        <f t="shared" si="6"/>
        <v>2.5721472389110822E-2</v>
      </c>
      <c r="G34" s="25">
        <f t="shared" si="0"/>
        <v>-3.810372379208832</v>
      </c>
      <c r="H34" s="28">
        <f t="shared" si="7"/>
        <v>36.558062631447186</v>
      </c>
      <c r="I34" s="38"/>
      <c r="J34" s="21">
        <f t="shared" si="8"/>
        <v>-2.5933090519532478E-2</v>
      </c>
      <c r="K34" s="21">
        <f t="shared" si="9"/>
        <v>3.9625395467109387E-2</v>
      </c>
      <c r="L34" s="31">
        <f t="shared" si="1"/>
        <v>-0.95362202826184306</v>
      </c>
      <c r="M34" s="28">
        <f t="shared" si="10"/>
        <v>24.827562608672007</v>
      </c>
      <c r="N34" s="38"/>
      <c r="O34" s="21">
        <f t="shared" si="11"/>
        <v>-6.2221587850331585E-2</v>
      </c>
      <c r="P34" s="21">
        <f t="shared" si="12"/>
        <v>4.8370696079407069E-2</v>
      </c>
      <c r="Q34" s="31">
        <f t="shared" si="13"/>
        <v>-2.2880372380921825</v>
      </c>
      <c r="R34" s="28">
        <f t="shared" si="14"/>
        <v>30.306990534222937</v>
      </c>
      <c r="S34" s="38"/>
      <c r="T34" s="39"/>
    </row>
    <row r="35" spans="1:20" x14ac:dyDescent="0.25">
      <c r="A35" s="51">
        <f t="shared" si="15"/>
        <v>11</v>
      </c>
      <c r="B35" s="20">
        <f t="shared" si="2"/>
        <v>4.2135043895379907</v>
      </c>
      <c r="C35" s="21">
        <f t="shared" si="3"/>
        <v>-9.3213692294812578E-2</v>
      </c>
      <c r="D35" s="22">
        <f t="shared" si="4"/>
        <v>-6.3204179856084508E-2</v>
      </c>
      <c r="E35" s="23">
        <f t="shared" si="5"/>
        <v>0</v>
      </c>
      <c r="F35" s="21">
        <f t="shared" si="6"/>
        <v>0</v>
      </c>
      <c r="G35" s="25">
        <f t="shared" si="0"/>
        <v>-3.5389742964015536</v>
      </c>
      <c r="H35" s="28">
        <f t="shared" si="7"/>
        <v>0</v>
      </c>
      <c r="I35" s="38"/>
      <c r="J35" s="21">
        <f t="shared" si="8"/>
        <v>-5.0234849992675107E-2</v>
      </c>
      <c r="K35" s="21">
        <f t="shared" si="9"/>
        <v>0</v>
      </c>
      <c r="L35" s="31">
        <f t="shared" si="1"/>
        <v>-1.8472560955803849</v>
      </c>
      <c r="M35" s="28">
        <f t="shared" si="10"/>
        <v>0</v>
      </c>
      <c r="N35" s="38"/>
      <c r="O35" s="21">
        <f t="shared" si="11"/>
        <v>-7.1724271143743842E-2</v>
      </c>
      <c r="P35" s="21">
        <f t="shared" si="12"/>
        <v>0</v>
      </c>
      <c r="Q35" s="31">
        <f t="shared" si="13"/>
        <v>-2.6374737277141334</v>
      </c>
      <c r="R35" s="28">
        <f t="shared" si="14"/>
        <v>0</v>
      </c>
      <c r="S35" s="38"/>
      <c r="T35" s="39"/>
    </row>
    <row r="36" spans="1:20" x14ac:dyDescent="0.25">
      <c r="A36" s="51">
        <f t="shared" si="15"/>
        <v>12</v>
      </c>
      <c r="B36" s="20">
        <f t="shared" si="2"/>
        <v>4.5965502431323531</v>
      </c>
      <c r="C36" s="21">
        <f t="shared" si="3"/>
        <v>-7.348979523093746E-2</v>
      </c>
      <c r="D36" s="22">
        <f t="shared" si="4"/>
        <v>-9.7072955182140319E-3</v>
      </c>
      <c r="E36" s="23">
        <f t="shared" si="5"/>
        <v>0</v>
      </c>
      <c r="F36" s="21">
        <f t="shared" si="6"/>
        <v>0</v>
      </c>
      <c r="G36" s="25">
        <f t="shared" si="0"/>
        <v>-2.7194878224957599</v>
      </c>
      <c r="H36" s="28">
        <f t="shared" si="7"/>
        <v>0</v>
      </c>
      <c r="I36" s="38"/>
      <c r="J36" s="21">
        <f t="shared" si="8"/>
        <v>-6.6888834278551912E-2</v>
      </c>
      <c r="K36" s="21">
        <f t="shared" si="9"/>
        <v>0</v>
      </c>
      <c r="L36" s="31">
        <f t="shared" si="1"/>
        <v>-2.4596630997273405</v>
      </c>
      <c r="M36" s="28">
        <f t="shared" si="10"/>
        <v>0</v>
      </c>
      <c r="N36" s="38"/>
      <c r="O36" s="21">
        <f t="shared" si="11"/>
        <v>-7.0189314754744686E-2</v>
      </c>
      <c r="P36" s="21">
        <f t="shared" si="12"/>
        <v>0</v>
      </c>
      <c r="Q36" s="31">
        <f t="shared" si="13"/>
        <v>-2.5810296944097204</v>
      </c>
      <c r="R36" s="28">
        <f t="shared" si="14"/>
        <v>0</v>
      </c>
      <c r="S36" s="38"/>
      <c r="T36" s="39"/>
    </row>
    <row r="37" spans="1:20" x14ac:dyDescent="0.25">
      <c r="A37" s="51">
        <f t="shared" si="15"/>
        <v>13</v>
      </c>
      <c r="B37" s="20">
        <f t="shared" si="2"/>
        <v>4.9795960967267163</v>
      </c>
      <c r="C37" s="21">
        <f t="shared" si="3"/>
        <v>-2.24181251471256E-2</v>
      </c>
      <c r="D37" s="22">
        <f t="shared" si="4"/>
        <v>6.2306699362504325E-2</v>
      </c>
      <c r="E37" s="23">
        <f t="shared" si="5"/>
        <v>0</v>
      </c>
      <c r="F37" s="21">
        <f t="shared" si="6"/>
        <v>0</v>
      </c>
      <c r="G37" s="25">
        <f t="shared" si="0"/>
        <v>-0.71466555670285747</v>
      </c>
      <c r="H37" s="28">
        <f t="shared" si="7"/>
        <v>0</v>
      </c>
      <c r="I37" s="38"/>
      <c r="J37" s="21">
        <f t="shared" si="8"/>
        <v>-6.4786680713628544E-2</v>
      </c>
      <c r="K37" s="21">
        <f t="shared" si="9"/>
        <v>0</v>
      </c>
      <c r="L37" s="31">
        <f t="shared" si="1"/>
        <v>-2.3823618638877404</v>
      </c>
      <c r="M37" s="28">
        <f t="shared" si="10"/>
        <v>0</v>
      </c>
      <c r="N37" s="38"/>
      <c r="O37" s="21">
        <f t="shared" si="11"/>
        <v>-4.3602402930377072E-2</v>
      </c>
      <c r="P37" s="21">
        <f t="shared" si="12"/>
        <v>0</v>
      </c>
      <c r="Q37" s="31">
        <f t="shared" si="13"/>
        <v>-1.6033650863262372</v>
      </c>
      <c r="R37" s="28">
        <f t="shared" si="14"/>
        <v>0</v>
      </c>
      <c r="S37" s="38"/>
      <c r="T37" s="39"/>
    </row>
    <row r="38" spans="1:20" x14ac:dyDescent="0.25">
      <c r="A38" s="51">
        <f t="shared" si="15"/>
        <v>14</v>
      </c>
      <c r="B38" s="20">
        <f t="shared" si="2"/>
        <v>5.3626419503210787</v>
      </c>
      <c r="C38" s="21">
        <f t="shared" si="3"/>
        <v>0</v>
      </c>
      <c r="D38" s="22">
        <f t="shared" si="4"/>
        <v>0</v>
      </c>
      <c r="E38" s="23">
        <f t="shared" si="5"/>
        <v>0</v>
      </c>
      <c r="F38" s="21">
        <f t="shared" si="6"/>
        <v>0</v>
      </c>
      <c r="G38" s="25">
        <f t="shared" si="0"/>
        <v>0</v>
      </c>
      <c r="H38" s="28">
        <f t="shared" si="7"/>
        <v>0</v>
      </c>
      <c r="I38" s="38"/>
      <c r="J38" s="21">
        <f t="shared" si="8"/>
        <v>0</v>
      </c>
      <c r="K38" s="21">
        <f t="shared" si="9"/>
        <v>0</v>
      </c>
      <c r="L38" s="31">
        <f t="shared" si="1"/>
        <v>0</v>
      </c>
      <c r="M38" s="28">
        <f t="shared" si="10"/>
        <v>0</v>
      </c>
      <c r="N38" s="38"/>
      <c r="O38" s="21">
        <f t="shared" si="11"/>
        <v>0</v>
      </c>
      <c r="P38" s="21">
        <f t="shared" si="12"/>
        <v>0</v>
      </c>
      <c r="Q38" s="31">
        <f t="shared" si="13"/>
        <v>0</v>
      </c>
      <c r="R38" s="28">
        <f t="shared" si="14"/>
        <v>0</v>
      </c>
      <c r="S38" s="38"/>
      <c r="T38" s="39"/>
    </row>
    <row r="39" spans="1:20" x14ac:dyDescent="0.25">
      <c r="A39" s="51">
        <f t="shared" si="15"/>
        <v>15</v>
      </c>
      <c r="B39" s="20">
        <f t="shared" si="2"/>
        <v>5.7456878039154411</v>
      </c>
      <c r="C39" s="21">
        <f t="shared" si="3"/>
        <v>0</v>
      </c>
      <c r="D39" s="22">
        <f t="shared" si="4"/>
        <v>0</v>
      </c>
      <c r="E39" s="23">
        <f t="shared" si="5"/>
        <v>0</v>
      </c>
      <c r="F39" s="21">
        <f t="shared" si="6"/>
        <v>0</v>
      </c>
      <c r="G39" s="25">
        <f t="shared" si="0"/>
        <v>0</v>
      </c>
      <c r="H39" s="28">
        <f t="shared" si="7"/>
        <v>0</v>
      </c>
      <c r="I39" s="38"/>
      <c r="J39" s="21">
        <f t="shared" si="8"/>
        <v>0</v>
      </c>
      <c r="K39" s="21">
        <f t="shared" si="9"/>
        <v>0</v>
      </c>
      <c r="L39" s="31">
        <f t="shared" si="1"/>
        <v>0</v>
      </c>
      <c r="M39" s="28">
        <f t="shared" si="10"/>
        <v>0</v>
      </c>
      <c r="N39" s="38"/>
      <c r="O39" s="21">
        <f t="shared" si="11"/>
        <v>0</v>
      </c>
      <c r="P39" s="21">
        <f t="shared" si="12"/>
        <v>0</v>
      </c>
      <c r="Q39" s="31">
        <f t="shared" si="13"/>
        <v>0</v>
      </c>
      <c r="R39" s="28">
        <f t="shared" si="14"/>
        <v>0</v>
      </c>
      <c r="S39" s="38"/>
      <c r="T39" s="39"/>
    </row>
    <row r="40" spans="1:20" x14ac:dyDescent="0.25">
      <c r="A40" s="51">
        <f t="shared" si="15"/>
        <v>16</v>
      </c>
      <c r="B40" s="20">
        <f t="shared" si="2"/>
        <v>6.1287336575098044</v>
      </c>
      <c r="C40" s="21">
        <f t="shared" si="3"/>
        <v>0</v>
      </c>
      <c r="D40" s="22">
        <f t="shared" si="4"/>
        <v>0</v>
      </c>
      <c r="E40" s="23">
        <f t="shared" si="5"/>
        <v>0</v>
      </c>
      <c r="F40" s="21">
        <f t="shared" si="6"/>
        <v>0</v>
      </c>
      <c r="G40" s="25">
        <f t="shared" si="0"/>
        <v>0</v>
      </c>
      <c r="H40" s="28">
        <f t="shared" si="7"/>
        <v>0</v>
      </c>
      <c r="I40" s="38"/>
      <c r="J40" s="21">
        <f t="shared" si="8"/>
        <v>0</v>
      </c>
      <c r="K40" s="21">
        <f t="shared" si="9"/>
        <v>0</v>
      </c>
      <c r="L40" s="31">
        <f t="shared" si="1"/>
        <v>0</v>
      </c>
      <c r="M40" s="28">
        <f t="shared" si="10"/>
        <v>0</v>
      </c>
      <c r="N40" s="38"/>
      <c r="O40" s="21">
        <f t="shared" si="11"/>
        <v>0</v>
      </c>
      <c r="P40" s="21">
        <f t="shared" si="12"/>
        <v>0</v>
      </c>
      <c r="Q40" s="31">
        <f t="shared" si="13"/>
        <v>0</v>
      </c>
      <c r="R40" s="28">
        <f t="shared" si="14"/>
        <v>0</v>
      </c>
      <c r="S40" s="38"/>
      <c r="T40" s="39"/>
    </row>
    <row r="41" spans="1:20" x14ac:dyDescent="0.25">
      <c r="A41" s="51">
        <f t="shared" si="15"/>
        <v>17</v>
      </c>
      <c r="B41" s="20">
        <f t="shared" si="2"/>
        <v>6.5117795111041668</v>
      </c>
      <c r="C41" s="21">
        <f t="shared" si="3"/>
        <v>0</v>
      </c>
      <c r="D41" s="22">
        <f t="shared" si="4"/>
        <v>0</v>
      </c>
      <c r="E41" s="23">
        <f t="shared" si="5"/>
        <v>0</v>
      </c>
      <c r="F41" s="21">
        <f t="shared" si="6"/>
        <v>0</v>
      </c>
      <c r="G41" s="25">
        <f t="shared" si="0"/>
        <v>0</v>
      </c>
      <c r="H41" s="28">
        <f t="shared" si="7"/>
        <v>0</v>
      </c>
      <c r="I41" s="38"/>
      <c r="J41" s="21">
        <f t="shared" si="8"/>
        <v>0</v>
      </c>
      <c r="K41" s="21">
        <f t="shared" si="9"/>
        <v>0</v>
      </c>
      <c r="L41" s="31">
        <f t="shared" si="1"/>
        <v>0</v>
      </c>
      <c r="M41" s="28">
        <f t="shared" si="10"/>
        <v>0</v>
      </c>
      <c r="N41" s="38"/>
      <c r="O41" s="21">
        <f t="shared" si="11"/>
        <v>0</v>
      </c>
      <c r="P41" s="21">
        <f t="shared" si="12"/>
        <v>0</v>
      </c>
      <c r="Q41" s="31">
        <f t="shared" si="13"/>
        <v>0</v>
      </c>
      <c r="R41" s="28">
        <f t="shared" si="14"/>
        <v>0</v>
      </c>
      <c r="S41" s="38"/>
      <c r="T41" s="39"/>
    </row>
    <row r="42" spans="1:20" x14ac:dyDescent="0.25">
      <c r="A42" s="51">
        <f t="shared" si="15"/>
        <v>18</v>
      </c>
      <c r="B42" s="20">
        <f t="shared" si="2"/>
        <v>6.89482536469853</v>
      </c>
      <c r="C42" s="21">
        <f t="shared" si="3"/>
        <v>0</v>
      </c>
      <c r="D42" s="22">
        <f t="shared" si="4"/>
        <v>0</v>
      </c>
      <c r="E42" s="23">
        <f t="shared" si="5"/>
        <v>0</v>
      </c>
      <c r="F42" s="21">
        <f t="shared" si="6"/>
        <v>0</v>
      </c>
      <c r="G42" s="25">
        <f t="shared" si="0"/>
        <v>0</v>
      </c>
      <c r="H42" s="28">
        <f t="shared" si="7"/>
        <v>0</v>
      </c>
      <c r="I42" s="38"/>
      <c r="J42" s="21">
        <f t="shared" si="8"/>
        <v>0</v>
      </c>
      <c r="K42" s="21">
        <f t="shared" si="9"/>
        <v>0</v>
      </c>
      <c r="L42" s="31">
        <f t="shared" si="1"/>
        <v>0</v>
      </c>
      <c r="M42" s="28">
        <f t="shared" si="10"/>
        <v>0</v>
      </c>
      <c r="N42" s="38"/>
      <c r="O42" s="21">
        <f t="shared" si="11"/>
        <v>0</v>
      </c>
      <c r="P42" s="21">
        <f t="shared" si="12"/>
        <v>0</v>
      </c>
      <c r="Q42" s="31">
        <f t="shared" si="13"/>
        <v>0</v>
      </c>
      <c r="R42" s="28">
        <f t="shared" si="14"/>
        <v>0</v>
      </c>
      <c r="S42" s="38"/>
      <c r="T42" s="39"/>
    </row>
    <row r="43" spans="1:20" x14ac:dyDescent="0.25">
      <c r="A43" s="51">
        <f t="shared" si="15"/>
        <v>19</v>
      </c>
      <c r="B43" s="20">
        <f t="shared" si="2"/>
        <v>7.2778712182928924</v>
      </c>
      <c r="C43" s="21">
        <f t="shared" si="3"/>
        <v>0</v>
      </c>
      <c r="D43" s="22">
        <f t="shared" si="4"/>
        <v>0</v>
      </c>
      <c r="E43" s="23">
        <f t="shared" si="5"/>
        <v>0</v>
      </c>
      <c r="F43" s="21">
        <f t="shared" si="6"/>
        <v>0</v>
      </c>
      <c r="G43" s="25">
        <f t="shared" si="0"/>
        <v>0</v>
      </c>
      <c r="H43" s="28">
        <f t="shared" si="7"/>
        <v>0</v>
      </c>
      <c r="I43" s="38"/>
      <c r="J43" s="21">
        <f t="shared" si="8"/>
        <v>0</v>
      </c>
      <c r="K43" s="21">
        <f t="shared" si="9"/>
        <v>0</v>
      </c>
      <c r="L43" s="31">
        <f t="shared" si="1"/>
        <v>0</v>
      </c>
      <c r="M43" s="28">
        <f t="shared" si="10"/>
        <v>0</v>
      </c>
      <c r="N43" s="38"/>
      <c r="O43" s="21">
        <f t="shared" si="11"/>
        <v>0</v>
      </c>
      <c r="P43" s="21">
        <f t="shared" si="12"/>
        <v>0</v>
      </c>
      <c r="Q43" s="31">
        <f t="shared" si="13"/>
        <v>0</v>
      </c>
      <c r="R43" s="28">
        <f t="shared" si="14"/>
        <v>0</v>
      </c>
      <c r="S43" s="38"/>
      <c r="T43" s="39"/>
    </row>
    <row r="44" spans="1:20" x14ac:dyDescent="0.25">
      <c r="A44" s="52">
        <f t="shared" si="15"/>
        <v>20</v>
      </c>
      <c r="B44" s="14">
        <f t="shared" si="2"/>
        <v>7.6609170718872548</v>
      </c>
      <c r="C44" s="16">
        <f t="shared" si="3"/>
        <v>0</v>
      </c>
      <c r="D44" s="17">
        <f t="shared" si="4"/>
        <v>0</v>
      </c>
      <c r="E44" s="19">
        <f t="shared" si="5"/>
        <v>0</v>
      </c>
      <c r="F44" s="16">
        <f t="shared" si="6"/>
        <v>0</v>
      </c>
      <c r="G44" s="26">
        <f t="shared" si="0"/>
        <v>0</v>
      </c>
      <c r="H44" s="29">
        <f t="shared" si="7"/>
        <v>0</v>
      </c>
      <c r="I44" s="38"/>
      <c r="J44" s="16">
        <f t="shared" si="8"/>
        <v>0</v>
      </c>
      <c r="K44" s="16">
        <f t="shared" si="9"/>
        <v>0</v>
      </c>
      <c r="L44" s="32">
        <f t="shared" si="1"/>
        <v>0</v>
      </c>
      <c r="M44" s="29">
        <f t="shared" si="10"/>
        <v>0</v>
      </c>
      <c r="N44" s="38"/>
      <c r="O44" s="16">
        <f t="shared" si="11"/>
        <v>0</v>
      </c>
      <c r="P44" s="16">
        <f t="shared" si="12"/>
        <v>0</v>
      </c>
      <c r="Q44" s="32">
        <f t="shared" si="13"/>
        <v>0</v>
      </c>
      <c r="R44" s="29">
        <f t="shared" si="14"/>
        <v>0</v>
      </c>
      <c r="S44" s="38"/>
      <c r="T44" s="39"/>
    </row>
    <row r="45" spans="1:20" x14ac:dyDescent="0.25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</row>
    <row r="46" spans="1:20" x14ac:dyDescent="0.2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</row>
    <row r="47" spans="1:20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9"/>
    </row>
    <row r="48" spans="1:20" x14ac:dyDescent="0.2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</row>
    <row r="49" spans="1:20" x14ac:dyDescent="0.2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</row>
    <row r="50" spans="1:20" x14ac:dyDescent="0.2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</row>
    <row r="51" spans="1:20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9"/>
    </row>
    <row r="52" spans="1:20" x14ac:dyDescent="0.2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9"/>
    </row>
    <row r="53" spans="1:20" x14ac:dyDescent="0.2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9"/>
    </row>
    <row r="54" spans="1:20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9"/>
    </row>
    <row r="55" spans="1:20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9"/>
    </row>
    <row r="56" spans="1:20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9"/>
    </row>
    <row r="57" spans="1:20" x14ac:dyDescent="0.25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9"/>
    </row>
    <row r="58" spans="1:20" x14ac:dyDescent="0.25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</row>
    <row r="59" spans="1:20" x14ac:dyDescent="0.25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9"/>
    </row>
    <row r="60" spans="1:20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9"/>
    </row>
    <row r="61" spans="1:20" x14ac:dyDescent="0.2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9"/>
    </row>
    <row r="62" spans="1:20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</row>
    <row r="63" spans="1:20" x14ac:dyDescent="0.25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9"/>
    </row>
    <row r="64" spans="1:20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9"/>
    </row>
    <row r="65" spans="1:20" x14ac:dyDescent="0.25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9"/>
    </row>
    <row r="66" spans="1:20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9"/>
    </row>
    <row r="67" spans="1:20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9"/>
    </row>
    <row r="68" spans="1:20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9"/>
    </row>
    <row r="69" spans="1:20" x14ac:dyDescent="0.2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9"/>
    </row>
    <row r="70" spans="1:20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9"/>
    </row>
    <row r="71" spans="1:20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9"/>
    </row>
    <row r="72" spans="1:20" x14ac:dyDescent="0.25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9"/>
    </row>
    <row r="73" spans="1:20" x14ac:dyDescent="0.25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9"/>
    </row>
    <row r="74" spans="1:20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</row>
    <row r="75" spans="1:20" x14ac:dyDescent="0.25">
      <c r="A75" s="3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9"/>
    </row>
    <row r="76" spans="1:20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9"/>
    </row>
    <row r="77" spans="1:20" x14ac:dyDescent="0.25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9"/>
    </row>
    <row r="78" spans="1:20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9"/>
    </row>
    <row r="79" spans="1:20" x14ac:dyDescent="0.25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9"/>
    </row>
    <row r="80" spans="1:20" x14ac:dyDescent="0.25">
      <c r="A80" s="37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9"/>
    </row>
    <row r="81" spans="1:20" x14ac:dyDescent="0.25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9"/>
    </row>
    <row r="82" spans="1:20" x14ac:dyDescent="0.25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9"/>
    </row>
    <row r="83" spans="1:20" x14ac:dyDescent="0.25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9"/>
    </row>
    <row r="84" spans="1:20" x14ac:dyDescent="0.25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9"/>
    </row>
    <row r="85" spans="1:20" x14ac:dyDescent="0.25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9"/>
    </row>
    <row r="86" spans="1:20" x14ac:dyDescent="0.25">
      <c r="A86" s="37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9"/>
    </row>
    <row r="87" spans="1:20" x14ac:dyDescent="0.2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9"/>
    </row>
    <row r="88" spans="1:20" x14ac:dyDescent="0.25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9"/>
    </row>
    <row r="89" spans="1:20" x14ac:dyDescent="0.25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9"/>
    </row>
    <row r="90" spans="1:20" x14ac:dyDescent="0.25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9"/>
    </row>
    <row r="91" spans="1:20" x14ac:dyDescent="0.25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9"/>
    </row>
    <row r="92" spans="1:20" x14ac:dyDescent="0.25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9"/>
    </row>
    <row r="93" spans="1:20" x14ac:dyDescent="0.25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9"/>
    </row>
    <row r="94" spans="1:20" x14ac:dyDescent="0.25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9"/>
    </row>
    <row r="95" spans="1:20" x14ac:dyDescent="0.25">
      <c r="A95" s="37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9"/>
    </row>
    <row r="96" spans="1:20" x14ac:dyDescent="0.2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9"/>
    </row>
    <row r="97" spans="1:20" ht="15.75" thickBot="1" x14ac:dyDescent="0.3">
      <c r="A97" s="54" t="s">
        <v>43</v>
      </c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7"/>
      <c r="T97" s="53"/>
    </row>
    <row r="98" spans="1:20" ht="15.75" thickTop="1" x14ac:dyDescent="0.25"/>
    <row r="100" spans="1:20" x14ac:dyDescent="0.25">
      <c r="A100" s="58" t="s">
        <v>45</v>
      </c>
    </row>
    <row r="102" spans="1:20" ht="18" x14ac:dyDescent="0.35">
      <c r="A102" s="56" t="s">
        <v>60</v>
      </c>
      <c r="B102" s="74">
        <v>35</v>
      </c>
      <c r="C102" t="s">
        <v>10</v>
      </c>
    </row>
    <row r="103" spans="1:20" x14ac:dyDescent="0.25">
      <c r="A103" s="56" t="s">
        <v>46</v>
      </c>
      <c r="B103" s="74">
        <v>0.5</v>
      </c>
      <c r="C103" t="s">
        <v>13</v>
      </c>
    </row>
    <row r="104" spans="1:20" ht="18.75" x14ac:dyDescent="0.35">
      <c r="A104" s="56" t="s">
        <v>61</v>
      </c>
      <c r="B104" s="59">
        <f>70*B102/B103</f>
        <v>4900</v>
      </c>
      <c r="C104" t="s">
        <v>59</v>
      </c>
    </row>
  </sheetData>
  <sheetProtection algorithmName="SHA-512" hashValue="RhaHuQ5Fo4bHiSMWhTJLdlVyJ8+nW0fJJa5cyOTjgTaBFArlv0mF1T/MYR+fUPwOVuIFKtxqDH1xdbPxXPV8ng==" saltValue="7Itg5LjZzV/0N4/yE9w1kA==" spinCount="100000" sheet="1" scenarios="1"/>
  <mergeCells count="3">
    <mergeCell ref="G22:H22"/>
    <mergeCell ref="L22:M22"/>
    <mergeCell ref="Q22:R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Matlock</vt:lpstr>
      <vt:lpstr>Davisson</vt:lpstr>
      <vt:lpstr>Davisson!Print_Area</vt:lpstr>
      <vt:lpstr>Matlock!Print_Area</vt:lpstr>
    </vt:vector>
  </TitlesOfParts>
  <Company>Parsons Brinckerhoff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punlop.v</dc:creator>
  <cp:lastModifiedBy>punlop</cp:lastModifiedBy>
  <cp:lastPrinted>2014-02-28T02:08:34Z</cp:lastPrinted>
  <dcterms:created xsi:type="dcterms:W3CDTF">2013-06-03T01:58:34Z</dcterms:created>
  <dcterms:modified xsi:type="dcterms:W3CDTF">2014-07-18T05:38:15Z</dcterms:modified>
</cp:coreProperties>
</file>