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521" windowWidth="4485" windowHeight="3645" activeTab="1"/>
  </bookViews>
  <sheets>
    <sheet name="Cover" sheetId="1" r:id="rId1"/>
    <sheet name="Beam" sheetId="2" r:id="rId2"/>
  </sheets>
  <definedNames>
    <definedName name="Ac">'Beam'!$DD$66</definedName>
    <definedName name="Ag">'Beam'!$CU$60</definedName>
    <definedName name="As_1">'Beam'!$CG$47</definedName>
    <definedName name="As_2">'Beam'!$CG$49</definedName>
    <definedName name="At">'Beam'!$DD$65</definedName>
    <definedName name="Av">'Beam'!$CY$51</definedName>
    <definedName name="Av_At">'Beam'!$DD$69</definedName>
    <definedName name="B">'Beam'!$M$20</definedName>
    <definedName name="B_1">'Beam'!$CG$5</definedName>
    <definedName name="Covering">'Beam'!$M$25</definedName>
    <definedName name="D">'Beam'!$M$21</definedName>
    <definedName name="d_">'Beam'!$M$23</definedName>
    <definedName name="d_1">'Beam'!$CG$7</definedName>
    <definedName name="dd">'Beam'!$M$24</definedName>
    <definedName name="Ec">'Beam'!$M$16</definedName>
    <definedName name="Es">'Beam'!$M$10</definedName>
    <definedName name="fc">'Beam'!$M$15</definedName>
    <definedName name="fc_">'Beam'!$M$12</definedName>
    <definedName name="fs">'Beam'!$M$11</definedName>
    <definedName name="fv">'Beam'!$CU$65</definedName>
    <definedName name="fy">'Beam'!$M$9</definedName>
    <definedName name="fy_shear">'Beam'!$K$41</definedName>
    <definedName name="j">'Beam'!$W$11</definedName>
    <definedName name="k">'Beam'!$W$10</definedName>
    <definedName name="KK">'Beam'!$CG$55</definedName>
    <definedName name="L">'Beam'!$M$22</definedName>
    <definedName name="Ls">'Beam'!#REF!</definedName>
    <definedName name="m">'Beam'!$CJ$48</definedName>
    <definedName name="M_">'Beam'!$CU$58</definedName>
    <definedName name="M_1">'Beam'!$CG$46</definedName>
    <definedName name="M_2">'Beam'!$CG$48</definedName>
    <definedName name="Mc">'Beam'!$CG$12</definedName>
    <definedName name="Mmax">'Beam'!$BZ$31</definedName>
    <definedName name="n">'Beam'!$W$9</definedName>
    <definedName name="Nu">'Beam'!$CU$52</definedName>
    <definedName name="_xlnm.Print_Area" localSheetId="1">'Beam'!$A$1:$AB$52</definedName>
    <definedName name="_xlnm.Print_Area" localSheetId="0">'Cover'!$A$1:$N$34</definedName>
    <definedName name="R_">'Beam'!$W$12</definedName>
    <definedName name="R_1">'Beam'!$CG$56</definedName>
    <definedName name="SC">#REF!</definedName>
    <definedName name="Torsion">'Beam'!$Y$43</definedName>
    <definedName name="unit_w">'Beam'!$M$14</definedName>
    <definedName name="V">'Beam'!$CU$51</definedName>
    <definedName name="V_Vc">'Beam'!$CU$67</definedName>
    <definedName name="Vc">'Beam'!$CU$62</definedName>
    <definedName name="vc_small">'Beam'!$CU$61</definedName>
    <definedName name="vc1">'Beam'!$CU$53</definedName>
    <definedName name="Vd">'Beam'!$CU$49</definedName>
    <definedName name="Vt">'Beam'!$DD$61</definedName>
    <definedName name="X">'Beam'!$CG$54</definedName>
    <definedName name="z">'Beam'!$DD$67</definedName>
    <definedName name="Z_F8B6E384_DA78_4E66_BE93_85AD65B250CC_.wvu.PrintArea" localSheetId="0" hidden="1">'Cover'!$A$1:$N$34</definedName>
    <definedName name="Ρw">'Beam'!$CU$57</definedName>
  </definedNames>
  <calcPr fullCalcOnLoad="1"/>
</workbook>
</file>

<file path=xl/sharedStrings.xml><?xml version="1.0" encoding="utf-8"?>
<sst xmlns="http://schemas.openxmlformats.org/spreadsheetml/2006/main" count="389" uniqueCount="244">
  <si>
    <t>Project :</t>
  </si>
  <si>
    <t>Owner :</t>
  </si>
  <si>
    <t>Location :</t>
  </si>
  <si>
    <t>=</t>
  </si>
  <si>
    <t>-</t>
  </si>
  <si>
    <t>Developed by</t>
  </si>
  <si>
    <t>จตุพล สายัณหวัฒน์ (MUTT 2008)</t>
  </si>
  <si>
    <t>อาคารพาณิชย์</t>
  </si>
  <si>
    <t>ชื่อเจ้าของโครงการ :</t>
  </si>
  <si>
    <t>ที่อยู่โครงการ :</t>
  </si>
  <si>
    <t>วิศวกรผู้ออกแบบ :</t>
  </si>
  <si>
    <t>ทฤษฏีในการออกแบบ :</t>
  </si>
  <si>
    <t>วิศวกรรมสถานแห่งประเทศไทย (ว.ส.ท.) สำหรับอาคารคอนกรีตเสริมเหล็ก (วิธีกำลังวัสดุ)</t>
  </si>
  <si>
    <t>วิศวกรรมสถานแห่งประเทศไทย (ว.ส.ท.) สำหรับอาคารเหล็กรูปพรรณ</t>
  </si>
  <si>
    <t>Amarican concrete institute (ACI 318-99)</t>
  </si>
  <si>
    <t xml:space="preserve">          มาตรฐานอ้างอิงในการออกแบบ</t>
  </si>
  <si>
    <t xml:space="preserve">          หน่วยที่ใช้ออกแบบ</t>
  </si>
  <si>
    <t>หน่วยความยาว</t>
  </si>
  <si>
    <t>หน่วยน้ำหนัก</t>
  </si>
  <si>
    <t>หน่วยแรง</t>
  </si>
  <si>
    <t>แรงดัด</t>
  </si>
  <si>
    <t>แรงบิด</t>
  </si>
  <si>
    <t>แรงเฉือน</t>
  </si>
  <si>
    <t>อุณหภูมิ</t>
  </si>
  <si>
    <t>เมตร (m.)</t>
  </si>
  <si>
    <t>กิโลกรัม (kg.) , ตัน (Ton.)</t>
  </si>
  <si>
    <t>กิโลกรัมต่อตารางเมตร (ksc.)</t>
  </si>
  <si>
    <t>กิโลกรัมเมตร (kg.-m.)</t>
  </si>
  <si>
    <t>กิโลกรัม (kg.)</t>
  </si>
  <si>
    <t>องศาเซลเซียส</t>
  </si>
  <si>
    <t>******* หากในรายการคำนวณไม่ได้ระบุหน่วย  ให้ใช้หน่วย Metric *******</t>
  </si>
  <si>
    <r>
      <t xml:space="preserve">ป้อนข้อมูลอักษร </t>
    </r>
    <r>
      <rPr>
        <sz val="10"/>
        <color indexed="12"/>
        <rFont val="Comic Sans MS"/>
        <family val="4"/>
      </rPr>
      <t>สีฟ้า</t>
    </r>
  </si>
  <si>
    <t>รายการคำนวณและออกแบบ</t>
  </si>
  <si>
    <t>หน่วยแรงใช้งาน</t>
  </si>
  <si>
    <t>Date :</t>
  </si>
  <si>
    <t>Beam No.:</t>
  </si>
  <si>
    <t>Beam Section Design</t>
  </si>
  <si>
    <t>Yeild stress , fy (ksc.)</t>
  </si>
  <si>
    <t>Elastic Modulus of steel , Es (ksc.)</t>
  </si>
  <si>
    <t>Comp. Stress of Concrete , fc' (ksc.)</t>
  </si>
  <si>
    <t>Elastic Modulus of Concrete , Ec (ksc.)</t>
  </si>
  <si>
    <t>Input Data :</t>
  </si>
  <si>
    <t>Case of Beam</t>
  </si>
  <si>
    <t>Width , B (m.)</t>
  </si>
  <si>
    <t>Depth , D (m.)</t>
  </si>
  <si>
    <t>Clear span length , L (m.)</t>
  </si>
  <si>
    <t>Centroil of Bars , d' (m.)</t>
  </si>
  <si>
    <t>Effective Depth , d (m.)</t>
  </si>
  <si>
    <t>Concrete Covering (m.)</t>
  </si>
  <si>
    <t>Moment Analysis :</t>
  </si>
  <si>
    <t>Required</t>
  </si>
  <si>
    <t>Provided</t>
  </si>
  <si>
    <t>Spacing (cm.)</t>
  </si>
  <si>
    <t>1' st Layer</t>
  </si>
  <si>
    <t>2' nd Layer</t>
  </si>
  <si>
    <t>3' rd Layer</t>
  </si>
  <si>
    <t>1 st Layer</t>
  </si>
  <si>
    <t>2 nd Layer</t>
  </si>
  <si>
    <t>3 rd Layer</t>
  </si>
  <si>
    <t>Beam Dim.</t>
  </si>
  <si>
    <t>Stirrup</t>
  </si>
  <si>
    <t>●</t>
  </si>
  <si>
    <t>●●●●●●●●</t>
  </si>
  <si>
    <t>1st Diameter</t>
  </si>
  <si>
    <t>2nd Diameter</t>
  </si>
  <si>
    <t>Select BARS</t>
  </si>
  <si>
    <t>DB12</t>
  </si>
  <si>
    <t>DB16</t>
  </si>
  <si>
    <t>DB20</t>
  </si>
  <si>
    <t>DB25</t>
  </si>
  <si>
    <t>DB28</t>
  </si>
  <si>
    <t>DB32</t>
  </si>
  <si>
    <t>1'st Layer</t>
  </si>
  <si>
    <t>2'nd Layer</t>
  </si>
  <si>
    <t>3'rd Layer</t>
  </si>
  <si>
    <t>Figture BAR</t>
  </si>
  <si>
    <t>3rd Layer</t>
  </si>
  <si>
    <t>2nd Layer</t>
  </si>
  <si>
    <t>1st Layer</t>
  </si>
  <si>
    <t>●            ●</t>
  </si>
  <si>
    <t>●     ●     ●</t>
  </si>
  <si>
    <t>● ●●●●● ●</t>
  </si>
  <si>
    <t xml:space="preserve">●  ● ● ●  ● </t>
  </si>
  <si>
    <t xml:space="preserve">● ● ●● ● ● </t>
  </si>
  <si>
    <t>●  ●   ●  ●</t>
  </si>
  <si>
    <t>DRAWING</t>
  </si>
  <si>
    <t>เหล็กเสริมพิเศษ</t>
  </si>
  <si>
    <t>Shear &amp; Tortion Analysis :</t>
  </si>
  <si>
    <t>Simply</t>
  </si>
  <si>
    <t>สพศ.</t>
  </si>
  <si>
    <t>Sum As</t>
  </si>
  <si>
    <t>Ct of steel</t>
  </si>
  <si>
    <t>Centroil of bars</t>
  </si>
  <si>
    <t>Coverint</t>
  </si>
  <si>
    <t>Singly</t>
  </si>
  <si>
    <t>Maximum Tortion , Tu (kg.-m.)</t>
  </si>
  <si>
    <t>Shear</t>
  </si>
  <si>
    <t>Ag</t>
  </si>
  <si>
    <t>Stirrup Steel Type</t>
  </si>
  <si>
    <t>RB6</t>
  </si>
  <si>
    <t>RB9</t>
  </si>
  <si>
    <t>DB10</t>
  </si>
  <si>
    <t>RB12</t>
  </si>
  <si>
    <t>RB15</t>
  </si>
  <si>
    <t>X</t>
  </si>
  <si>
    <t>Bar</t>
  </si>
  <si>
    <t>Use</t>
  </si>
  <si>
    <t>Av</t>
  </si>
  <si>
    <t>Vc (kg.)</t>
  </si>
  <si>
    <t>Spacing (m.)</t>
  </si>
  <si>
    <t>Allowable Stress of Steel, fs ( ksc.)</t>
  </si>
  <si>
    <t>Factor</t>
  </si>
  <si>
    <r>
      <t>Unit Weight ,</t>
    </r>
    <r>
      <rPr>
        <sz val="11"/>
        <rFont val="Symbol"/>
        <family val="1"/>
      </rPr>
      <t>g</t>
    </r>
    <r>
      <rPr>
        <b/>
        <sz val="9"/>
        <rFont val="Comic Sans MS"/>
        <family val="4"/>
      </rPr>
      <t xml:space="preserve"> </t>
    </r>
    <r>
      <rPr>
        <sz val="9"/>
        <rFont val="Comic Sans MS"/>
        <family val="4"/>
      </rPr>
      <t>(kg/m.3)</t>
    </r>
  </si>
  <si>
    <t>Allowable Stress of Concrete , fc (ksc.)</t>
  </si>
  <si>
    <t>Design Parameter:</t>
  </si>
  <si>
    <t>n = Es/Ec</t>
  </si>
  <si>
    <t>k =  1/(1+fs/(n*fc))</t>
  </si>
  <si>
    <t>j = 1-k/3</t>
  </si>
  <si>
    <t>R = 0.5*fc*k*j (ksc.)</t>
  </si>
  <si>
    <t>fs</t>
  </si>
  <si>
    <t>Mc</t>
  </si>
  <si>
    <t>B</t>
  </si>
  <si>
    <t>D</t>
  </si>
  <si>
    <t>Check Mc/Mmax</t>
  </si>
  <si>
    <t>Checj d</t>
  </si>
  <si>
    <t>As</t>
  </si>
  <si>
    <t>Check р</t>
  </si>
  <si>
    <t>เปรียบเทียบ M+ หรือ M-</t>
  </si>
  <si>
    <t>As provided</t>
  </si>
  <si>
    <t>Ρmin =14/fy</t>
  </si>
  <si>
    <t>Maximum Moment , Mmax (kg.-m.)</t>
  </si>
  <si>
    <t>Doubly</t>
  </si>
  <si>
    <t>M1</t>
  </si>
  <si>
    <t>As1</t>
  </si>
  <si>
    <t>M2</t>
  </si>
  <si>
    <t>As2</t>
  </si>
  <si>
    <t>d'</t>
  </si>
  <si>
    <t>As'</t>
  </si>
  <si>
    <t>Ch As2,As'</t>
  </si>
  <si>
    <t>K</t>
  </si>
  <si>
    <t>R'</t>
  </si>
  <si>
    <t>As' provided</t>
  </si>
  <si>
    <t>fs'</t>
  </si>
  <si>
    <t>d</t>
  </si>
  <si>
    <t>Checking :</t>
  </si>
  <si>
    <t>Spacing</t>
  </si>
  <si>
    <t>Minimum Depth</t>
  </si>
  <si>
    <t>Narrow Beam</t>
  </si>
  <si>
    <t>Deep Beams</t>
  </si>
  <si>
    <t>case of beam</t>
  </si>
  <si>
    <t>Cantilever</t>
  </si>
  <si>
    <t>One end continuous</t>
  </si>
  <si>
    <t>Both ends continuous</t>
  </si>
  <si>
    <t>30B</t>
  </si>
  <si>
    <t>L</t>
  </si>
  <si>
    <t>8b</t>
  </si>
  <si>
    <t>r</t>
  </si>
  <si>
    <t>Mc max (kg.-m.)</t>
  </si>
  <si>
    <t>Deep beam</t>
  </si>
  <si>
    <t>Allowble Deep beam ratio</t>
  </si>
  <si>
    <t>Deep Beam ratio</t>
  </si>
  <si>
    <t>Check Deep Beam</t>
  </si>
  <si>
    <t>Maximum Shear , Vmax (kg.)</t>
  </si>
  <si>
    <t>V</t>
  </si>
  <si>
    <t>Normal Force , N (kg.)</t>
  </si>
  <si>
    <t>N</t>
  </si>
  <si>
    <t>Vd</t>
  </si>
  <si>
    <t>vc 1</t>
  </si>
  <si>
    <t>vc 2</t>
  </si>
  <si>
    <t>Ρw</t>
  </si>
  <si>
    <t>M'</t>
  </si>
  <si>
    <t>Vd/M'</t>
  </si>
  <si>
    <t>0.464Sqrt(fc'*(1+0.057(N/Ag)))</t>
  </si>
  <si>
    <t xml:space="preserve">Check vc 2 </t>
  </si>
  <si>
    <t>Vc</t>
  </si>
  <si>
    <t>vc</t>
  </si>
  <si>
    <t>1.32Sqrt(fc')*bw*d</t>
  </si>
  <si>
    <t>0.795sqrt(fc')*bw*d</t>
  </si>
  <si>
    <t>fv</t>
  </si>
  <si>
    <t>Smax</t>
  </si>
  <si>
    <t>V-Vc</t>
  </si>
  <si>
    <t>Check V</t>
  </si>
  <si>
    <t>S1</t>
  </si>
  <si>
    <t>S2</t>
  </si>
  <si>
    <t>S3</t>
  </si>
  <si>
    <t>Allowble Stress of Steel , fv (ksc.)</t>
  </si>
  <si>
    <t>Yeild Stress of Stirrup , fy (ksc.)</t>
  </si>
  <si>
    <t>Torsion</t>
  </si>
  <si>
    <t>Vt</t>
  </si>
  <si>
    <t>1.32sqrt(fc')</t>
  </si>
  <si>
    <t>vc+vt</t>
  </si>
  <si>
    <t>1.65sqrt(fc')</t>
  </si>
  <si>
    <t>At</t>
  </si>
  <si>
    <t>Ac</t>
  </si>
  <si>
    <t>z</t>
  </si>
  <si>
    <t>Al</t>
  </si>
  <si>
    <t>Av+At</t>
  </si>
  <si>
    <t>Av+At min</t>
  </si>
  <si>
    <t>Vt (kg.)</t>
  </si>
  <si>
    <t>V' (kg.)</t>
  </si>
  <si>
    <r>
      <t>Av/s (cm.</t>
    </r>
    <r>
      <rPr>
        <b/>
        <vertAlign val="superscript"/>
        <sz val="9"/>
        <rFont val="Comic Sans MS"/>
        <family val="4"/>
      </rPr>
      <t>2</t>
    </r>
    <r>
      <rPr>
        <b/>
        <sz val="9"/>
        <rFont val="Comic Sans MS"/>
        <family val="4"/>
      </rPr>
      <t>)</t>
    </r>
  </si>
  <si>
    <r>
      <t>At/s (cm.</t>
    </r>
    <r>
      <rPr>
        <b/>
        <vertAlign val="superscript"/>
        <sz val="9"/>
        <rFont val="Comic Sans MS"/>
        <family val="4"/>
      </rPr>
      <t>2</t>
    </r>
    <r>
      <rPr>
        <b/>
        <sz val="9"/>
        <rFont val="Comic Sans MS"/>
        <family val="4"/>
      </rPr>
      <t>)</t>
    </r>
  </si>
  <si>
    <r>
      <t>Asc (cm.</t>
    </r>
    <r>
      <rPr>
        <b/>
        <vertAlign val="superscript"/>
        <sz val="9"/>
        <rFont val="Comic Sans MS"/>
        <family val="4"/>
      </rPr>
      <t>2</t>
    </r>
    <r>
      <rPr>
        <b/>
        <sz val="9"/>
        <rFont val="Comic Sans MS"/>
        <family val="4"/>
      </rPr>
      <t>)</t>
    </r>
  </si>
  <si>
    <t>Engineer :</t>
  </si>
  <si>
    <t>License :</t>
  </si>
  <si>
    <t>Vmax (kg.)</t>
  </si>
  <si>
    <t>Use Spacing</t>
  </si>
  <si>
    <t>Data Criteria :</t>
  </si>
  <si>
    <t>Y</t>
  </si>
  <si>
    <t>T</t>
  </si>
  <si>
    <t>Plot Beam</t>
  </si>
  <si>
    <t>Plot Stirrup</t>
  </si>
  <si>
    <t>Beam</t>
  </si>
  <si>
    <t>Bottom Layer 1</t>
  </si>
  <si>
    <t>Layer 1T</t>
  </si>
  <si>
    <t>Layer 2T</t>
  </si>
  <si>
    <t>Layer 3T</t>
  </si>
  <si>
    <t>Layer 3B</t>
  </si>
  <si>
    <t>Layer 2B</t>
  </si>
  <si>
    <t>Layer 1B</t>
  </si>
  <si>
    <t>Bottom Layer 2</t>
  </si>
  <si>
    <t>Bottom Layer 3</t>
  </si>
  <si>
    <t>T1</t>
  </si>
  <si>
    <t>T2</t>
  </si>
  <si>
    <t>T3</t>
  </si>
  <si>
    <t>B1</t>
  </si>
  <si>
    <t>B2</t>
  </si>
  <si>
    <t>B3</t>
  </si>
  <si>
    <t>Buttom Layer 1</t>
  </si>
  <si>
    <t>Buttom Layer 2</t>
  </si>
  <si>
    <t>Buttom Layer 3</t>
  </si>
  <si>
    <t>Top Layer 1</t>
  </si>
  <si>
    <t>Top Layer 2</t>
  </si>
  <si>
    <t>Top Layer 3</t>
  </si>
  <si>
    <t>Chang , d' (m.)</t>
  </si>
  <si>
    <t>d'_c</t>
  </si>
  <si>
    <t>d' c</t>
  </si>
  <si>
    <t>Check Bond</t>
  </si>
  <si>
    <t>u</t>
  </si>
  <si>
    <r>
      <t>∑</t>
    </r>
    <r>
      <rPr>
        <sz val="9"/>
        <rFont val="Comic Sans MS"/>
        <family val="4"/>
      </rPr>
      <t>O</t>
    </r>
  </si>
  <si>
    <t>คุณทดลอง</t>
  </si>
  <si>
    <t>กทม.</t>
  </si>
  <si>
    <t>สมมุติ</t>
  </si>
  <si>
    <t>สย.0000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</si>
</sst>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0"/>
    <numFmt numFmtId="189" formatCode="0.000"/>
    <numFmt numFmtId="190" formatCode="0.00000"/>
    <numFmt numFmtId="191" formatCode="[$-41E]d\ mmmm\ yyyy"/>
    <numFmt numFmtId="192" formatCode="0.0000000"/>
    <numFmt numFmtId="193" formatCode="0.000000"/>
    <numFmt numFmtId="194" formatCode="0.0000000000"/>
    <numFmt numFmtId="195" formatCode="0.00000000000"/>
    <numFmt numFmtId="196" formatCode="0.000000000"/>
    <numFmt numFmtId="197" formatCode="0.00000000"/>
    <numFmt numFmtId="198" formatCode="#,##0.0"/>
    <numFmt numFmtId="199" formatCode="#,##0.000"/>
    <numFmt numFmtId="200" formatCode="#,##0.0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_-* #,##0.00000_-;\-* #,##0.00000_-;_-* &quot;-&quot;??_-;_-@_-"/>
    <numFmt numFmtId="206" formatCode="0.0000E+00"/>
    <numFmt numFmtId="207" formatCode="0.000E+00"/>
    <numFmt numFmtId="208" formatCode="#,##0_ ;\-#,##0\ "/>
    <numFmt numFmtId="209" formatCode="0.0%"/>
    <numFmt numFmtId="210" formatCode="0.0E+00"/>
    <numFmt numFmtId="211" formatCode="0E+00"/>
  </numFmts>
  <fonts count="49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Comic Sans MS"/>
      <family val="4"/>
    </font>
    <font>
      <sz val="11"/>
      <name val="Comic Sans MS"/>
      <family val="4"/>
    </font>
    <font>
      <u val="single"/>
      <sz val="10"/>
      <color indexed="10"/>
      <name val="Comic Sans MS"/>
      <family val="4"/>
    </font>
    <font>
      <b/>
      <sz val="26"/>
      <name val="Comic Sans MS"/>
      <family val="4"/>
    </font>
    <font>
      <sz val="20"/>
      <color indexed="12"/>
      <name val="Comic Sans MS"/>
      <family val="4"/>
    </font>
    <font>
      <b/>
      <sz val="11"/>
      <name val="Comic Sans MS"/>
      <family val="4"/>
    </font>
    <font>
      <sz val="11"/>
      <color indexed="12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i/>
      <u val="single"/>
      <sz val="10"/>
      <name val="Comic Sans MS"/>
      <family val="4"/>
    </font>
    <font>
      <i/>
      <u val="single"/>
      <sz val="9"/>
      <name val="Comic Sans MS"/>
      <family val="4"/>
    </font>
    <font>
      <sz val="7.5"/>
      <name val="Arial"/>
      <family val="2"/>
    </font>
    <font>
      <sz val="8"/>
      <name val="Tahoma"/>
      <family val="2"/>
    </font>
    <font>
      <sz val="7.5"/>
      <name val="Comic Sans MS"/>
      <family val="4"/>
    </font>
    <font>
      <b/>
      <i/>
      <sz val="11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sz val="9"/>
      <color indexed="17"/>
      <name val="Comic Sans MS"/>
      <family val="4"/>
    </font>
    <font>
      <sz val="9"/>
      <color indexed="10"/>
      <name val="Comic Sans MS"/>
      <family val="4"/>
    </font>
    <font>
      <sz val="9"/>
      <color indexed="12"/>
      <name val="Comic Sans MS"/>
      <family val="4"/>
    </font>
    <font>
      <sz val="11"/>
      <name val="Symbol"/>
      <family val="1"/>
    </font>
    <font>
      <b/>
      <vertAlign val="superscript"/>
      <sz val="9"/>
      <name val="Comic Sans MS"/>
      <family val="4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5.75"/>
      <name val="Arial"/>
      <family val="0"/>
    </font>
    <font>
      <b/>
      <sz val="10.5"/>
      <name val="Arial"/>
      <family val="0"/>
    </font>
    <font>
      <sz val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tted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7" fillId="24" borderId="0" xfId="0" applyFont="1" applyFill="1" applyAlignment="1">
      <alignment horizontal="center"/>
    </xf>
    <xf numFmtId="0" fontId="1" fillId="25" borderId="18" xfId="0" applyFont="1" applyFill="1" applyBorder="1" applyAlignment="1">
      <alignment/>
    </xf>
    <xf numFmtId="0" fontId="7" fillId="25" borderId="18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7" borderId="0" xfId="0" applyFont="1" applyFill="1" applyAlignment="1">
      <alignment/>
    </xf>
    <xf numFmtId="2" fontId="1" fillId="24" borderId="0" xfId="0" applyNumberFormat="1" applyFont="1" applyFill="1" applyAlignment="1">
      <alignment horizontal="center"/>
    </xf>
    <xf numFmtId="0" fontId="14" fillId="24" borderId="0" xfId="0" applyFont="1" applyFill="1" applyAlignment="1">
      <alignment horizontal="left"/>
    </xf>
    <xf numFmtId="0" fontId="14" fillId="7" borderId="0" xfId="0" applyFont="1" applyFill="1" applyAlignment="1">
      <alignment/>
    </xf>
    <xf numFmtId="0" fontId="14" fillId="7" borderId="0" xfId="0" applyFont="1" applyFill="1" applyAlignment="1">
      <alignment/>
    </xf>
    <xf numFmtId="0" fontId="14" fillId="7" borderId="0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187" fontId="14" fillId="24" borderId="0" xfId="0" applyNumberFormat="1" applyFont="1" applyFill="1" applyAlignment="1">
      <alignment/>
    </xf>
    <xf numFmtId="2" fontId="14" fillId="24" borderId="0" xfId="0" applyNumberFormat="1" applyFont="1" applyFill="1" applyAlignment="1">
      <alignment horizontal="center"/>
    </xf>
    <xf numFmtId="1" fontId="14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2" fontId="14" fillId="24" borderId="0" xfId="0" applyNumberFormat="1" applyFont="1" applyFill="1" applyAlignment="1">
      <alignment/>
    </xf>
    <xf numFmtId="0" fontId="14" fillId="24" borderId="21" xfId="0" applyFont="1" applyFill="1" applyBorder="1" applyAlignment="1">
      <alignment/>
    </xf>
    <xf numFmtId="0" fontId="0" fillId="24" borderId="0" xfId="0" applyFont="1" applyFill="1" applyAlignment="1">
      <alignment horizontal="center"/>
    </xf>
    <xf numFmtId="1" fontId="14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/>
    </xf>
    <xf numFmtId="0" fontId="14" fillId="24" borderId="0" xfId="0" applyFont="1" applyFill="1" applyAlignment="1">
      <alignment vertical="center"/>
    </xf>
    <xf numFmtId="0" fontId="14" fillId="24" borderId="22" xfId="0" applyFont="1" applyFill="1" applyBorder="1" applyAlignment="1">
      <alignment/>
    </xf>
    <xf numFmtId="0" fontId="14" fillId="24" borderId="23" xfId="0" applyFont="1" applyFill="1" applyBorder="1" applyAlignment="1">
      <alignment/>
    </xf>
    <xf numFmtId="0" fontId="14" fillId="24" borderId="24" xfId="0" applyFont="1" applyFill="1" applyBorder="1" applyAlignment="1">
      <alignment/>
    </xf>
    <xf numFmtId="189" fontId="14" fillId="24" borderId="0" xfId="0" applyNumberFormat="1" applyFont="1" applyFill="1" applyAlignment="1">
      <alignment/>
    </xf>
    <xf numFmtId="0" fontId="14" fillId="24" borderId="25" xfId="0" applyFont="1" applyFill="1" applyBorder="1" applyAlignment="1">
      <alignment/>
    </xf>
    <xf numFmtId="0" fontId="14" fillId="24" borderId="26" xfId="0" applyFont="1" applyFill="1" applyBorder="1" applyAlignment="1">
      <alignment horizontal="center"/>
    </xf>
    <xf numFmtId="2" fontId="14" fillId="24" borderId="26" xfId="0" applyNumberFormat="1" applyFont="1" applyFill="1" applyBorder="1" applyAlignment="1">
      <alignment/>
    </xf>
    <xf numFmtId="0" fontId="14" fillId="24" borderId="27" xfId="0" applyFont="1" applyFill="1" applyBorder="1" applyAlignment="1">
      <alignment horizontal="left"/>
    </xf>
    <xf numFmtId="0" fontId="14" fillId="24" borderId="26" xfId="0" applyFont="1" applyFill="1" applyBorder="1" applyAlignment="1">
      <alignment/>
    </xf>
    <xf numFmtId="0" fontId="14" fillId="24" borderId="27" xfId="0" applyFont="1" applyFill="1" applyBorder="1" applyAlignment="1">
      <alignment/>
    </xf>
    <xf numFmtId="0" fontId="14" fillId="24" borderId="28" xfId="0" applyFont="1" applyFill="1" applyBorder="1" applyAlignment="1">
      <alignment/>
    </xf>
    <xf numFmtId="0" fontId="14" fillId="24" borderId="29" xfId="0" applyFont="1" applyFill="1" applyBorder="1" applyAlignment="1">
      <alignment/>
    </xf>
    <xf numFmtId="0" fontId="14" fillId="24" borderId="30" xfId="0" applyFont="1" applyFill="1" applyBorder="1" applyAlignment="1">
      <alignment/>
    </xf>
    <xf numFmtId="0" fontId="14" fillId="24" borderId="22" xfId="0" applyFont="1" applyFill="1" applyBorder="1" applyAlignment="1">
      <alignment horizontal="left"/>
    </xf>
    <xf numFmtId="190" fontId="14" fillId="24" borderId="0" xfId="0" applyNumberFormat="1" applyFont="1" applyFill="1" applyAlignment="1">
      <alignment horizontal="center"/>
    </xf>
    <xf numFmtId="0" fontId="14" fillId="24" borderId="25" xfId="0" applyFont="1" applyFill="1" applyBorder="1" applyAlignment="1">
      <alignment horizontal="left"/>
    </xf>
    <xf numFmtId="189" fontId="14" fillId="24" borderId="26" xfId="0" applyNumberFormat="1" applyFont="1" applyFill="1" applyBorder="1" applyAlignment="1">
      <alignment/>
    </xf>
    <xf numFmtId="0" fontId="14" fillId="24" borderId="0" xfId="0" applyFont="1" applyFill="1" applyBorder="1" applyAlignment="1">
      <alignment horizontal="center"/>
    </xf>
    <xf numFmtId="190" fontId="14" fillId="24" borderId="0" xfId="0" applyNumberFormat="1" applyFont="1" applyFill="1" applyAlignment="1">
      <alignment horizontal="left"/>
    </xf>
    <xf numFmtId="0" fontId="14" fillId="24" borderId="31" xfId="0" applyFont="1" applyFill="1" applyBorder="1" applyAlignment="1">
      <alignment/>
    </xf>
    <xf numFmtId="0" fontId="14" fillId="24" borderId="24" xfId="0" applyFont="1" applyFill="1" applyBorder="1" applyAlignment="1">
      <alignment horizontal="center"/>
    </xf>
    <xf numFmtId="187" fontId="14" fillId="24" borderId="26" xfId="0" applyNumberFormat="1" applyFont="1" applyFill="1" applyBorder="1" applyAlignment="1">
      <alignment/>
    </xf>
    <xf numFmtId="193" fontId="14" fillId="24" borderId="0" xfId="0" applyNumberFormat="1" applyFont="1" applyFill="1" applyAlignment="1">
      <alignment/>
    </xf>
    <xf numFmtId="193" fontId="14" fillId="24" borderId="25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1" fillId="24" borderId="25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26" xfId="0" applyFont="1" applyFill="1" applyBorder="1" applyAlignment="1">
      <alignment/>
    </xf>
    <xf numFmtId="2" fontId="1" fillId="24" borderId="26" xfId="0" applyNumberFormat="1" applyFont="1" applyFill="1" applyBorder="1" applyAlignment="1">
      <alignment vertical="center"/>
    </xf>
    <xf numFmtId="1" fontId="1" fillId="24" borderId="25" xfId="0" applyNumberFormat="1" applyFont="1" applyFill="1" applyBorder="1" applyAlignment="1">
      <alignment horizontal="center"/>
    </xf>
    <xf numFmtId="189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0" fontId="1" fillId="24" borderId="25" xfId="0" applyFont="1" applyFill="1" applyBorder="1" applyAlignment="1">
      <alignment horizontal="left"/>
    </xf>
    <xf numFmtId="188" fontId="1" fillId="24" borderId="0" xfId="0" applyNumberFormat="1" applyFont="1" applyFill="1" applyBorder="1" applyAlignment="1">
      <alignment/>
    </xf>
    <xf numFmtId="2" fontId="14" fillId="24" borderId="29" xfId="0" applyNumberFormat="1" applyFont="1" applyFill="1" applyBorder="1" applyAlignment="1">
      <alignment/>
    </xf>
    <xf numFmtId="0" fontId="1" fillId="24" borderId="25" xfId="0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0" fontId="1" fillId="24" borderId="27" xfId="0" applyFont="1" applyFill="1" applyBorder="1" applyAlignment="1">
      <alignment/>
    </xf>
    <xf numFmtId="0" fontId="1" fillId="24" borderId="28" xfId="0" applyFont="1" applyFill="1" applyBorder="1" applyAlignment="1">
      <alignment/>
    </xf>
    <xf numFmtId="0" fontId="1" fillId="24" borderId="29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24" borderId="23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7" borderId="32" xfId="0" applyFont="1" applyFill="1" applyBorder="1" applyAlignment="1">
      <alignment/>
    </xf>
    <xf numFmtId="0" fontId="14" fillId="24" borderId="0" xfId="0" applyFont="1" applyFill="1" applyAlignment="1" applyProtection="1">
      <alignment horizontal="center"/>
      <protection locked="0"/>
    </xf>
    <xf numFmtId="2" fontId="14" fillId="24" borderId="0" xfId="0" applyNumberFormat="1" applyFont="1" applyFill="1" applyAlignment="1" applyProtection="1">
      <alignment horizontal="center"/>
      <protection locked="0"/>
    </xf>
    <xf numFmtId="0" fontId="14" fillId="7" borderId="27" xfId="0" applyFont="1" applyFill="1" applyBorder="1" applyAlignment="1">
      <alignment/>
    </xf>
    <xf numFmtId="0" fontId="14" fillId="7" borderId="28" xfId="0" applyFont="1" applyFill="1" applyBorder="1" applyAlignment="1">
      <alignment/>
    </xf>
    <xf numFmtId="0" fontId="14" fillId="7" borderId="29" xfId="0" applyFont="1" applyFill="1" applyBorder="1" applyAlignment="1">
      <alignment/>
    </xf>
    <xf numFmtId="0" fontId="14" fillId="24" borderId="0" xfId="0" applyFont="1" applyFill="1" applyAlignment="1" applyProtection="1">
      <alignment/>
      <protection locked="0"/>
    </xf>
    <xf numFmtId="187" fontId="14" fillId="24" borderId="0" xfId="0" applyNumberFormat="1" applyFont="1" applyFill="1" applyAlignment="1" applyProtection="1">
      <alignment/>
      <protection locked="0"/>
    </xf>
    <xf numFmtId="0" fontId="14" fillId="24" borderId="0" xfId="0" applyFont="1" applyFill="1" applyAlignment="1" applyProtection="1">
      <alignment/>
      <protection locked="0"/>
    </xf>
    <xf numFmtId="2" fontId="14" fillId="24" borderId="0" xfId="0" applyNumberFormat="1" applyFont="1" applyFill="1" applyAlignment="1" applyProtection="1">
      <alignment horizontal="right"/>
      <protection locked="0"/>
    </xf>
    <xf numFmtId="0" fontId="18" fillId="24" borderId="0" xfId="0" applyFont="1" applyFill="1" applyAlignment="1" applyProtection="1">
      <alignment horizontal="center"/>
      <protection locked="0"/>
    </xf>
    <xf numFmtId="189" fontId="14" fillId="24" borderId="0" xfId="0" applyNumberFormat="1" applyFont="1" applyFill="1" applyAlignment="1" applyProtection="1">
      <alignment horizontal="center"/>
      <protection locked="0"/>
    </xf>
    <xf numFmtId="2" fontId="14" fillId="24" borderId="0" xfId="0" applyNumberFormat="1" applyFont="1" applyFill="1" applyAlignment="1" applyProtection="1">
      <alignment/>
      <protection locked="0"/>
    </xf>
    <xf numFmtId="2" fontId="14" fillId="24" borderId="0" xfId="0" applyNumberFormat="1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 horizontal="center"/>
      <protection locked="0"/>
    </xf>
    <xf numFmtId="189" fontId="14" fillId="24" borderId="0" xfId="0" applyNumberFormat="1" applyFont="1" applyFill="1" applyAlignment="1" applyProtection="1">
      <alignment/>
      <protection locked="0"/>
    </xf>
    <xf numFmtId="0" fontId="8" fillId="7" borderId="0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189" fontId="14" fillId="24" borderId="0" xfId="0" applyNumberFormat="1" applyFont="1" applyFill="1" applyAlignment="1">
      <alignment horizontal="center"/>
    </xf>
    <xf numFmtId="0" fontId="14" fillId="24" borderId="23" xfId="0" applyFont="1" applyFill="1" applyBorder="1" applyAlignment="1">
      <alignment horizontal="center"/>
    </xf>
    <xf numFmtId="189" fontId="14" fillId="24" borderId="26" xfId="0" applyNumberFormat="1" applyFont="1" applyFill="1" applyBorder="1" applyAlignment="1">
      <alignment horizontal="center"/>
    </xf>
    <xf numFmtId="0" fontId="14" fillId="24" borderId="28" xfId="0" applyFont="1" applyFill="1" applyBorder="1" applyAlignment="1">
      <alignment horizontal="center"/>
    </xf>
    <xf numFmtId="0" fontId="14" fillId="24" borderId="18" xfId="0" applyFont="1" applyFill="1" applyBorder="1" applyAlignment="1">
      <alignment/>
    </xf>
    <xf numFmtId="189" fontId="14" fillId="24" borderId="29" xfId="0" applyNumberFormat="1" applyFont="1" applyFill="1" applyBorder="1" applyAlignment="1">
      <alignment horizontal="center"/>
    </xf>
    <xf numFmtId="189" fontId="14" fillId="24" borderId="33" xfId="0" applyNumberFormat="1" applyFont="1" applyFill="1" applyBorder="1" applyAlignment="1">
      <alignment/>
    </xf>
    <xf numFmtId="189" fontId="14" fillId="24" borderId="31" xfId="0" applyNumberFormat="1" applyFont="1" applyFill="1" applyBorder="1" applyAlignment="1">
      <alignment/>
    </xf>
    <xf numFmtId="0" fontId="14" fillId="24" borderId="18" xfId="0" applyFont="1" applyFill="1" applyBorder="1" applyAlignment="1">
      <alignment horizontal="center"/>
    </xf>
    <xf numFmtId="0" fontId="14" fillId="24" borderId="25" xfId="0" applyFont="1" applyFill="1" applyBorder="1" applyAlignment="1">
      <alignment horizontal="center"/>
    </xf>
    <xf numFmtId="0" fontId="14" fillId="24" borderId="29" xfId="0" applyFont="1" applyFill="1" applyBorder="1" applyAlignment="1">
      <alignment horizontal="center"/>
    </xf>
    <xf numFmtId="0" fontId="14" fillId="24" borderId="34" xfId="0" applyFont="1" applyFill="1" applyBorder="1" applyAlignment="1">
      <alignment/>
    </xf>
    <xf numFmtId="0" fontId="14" fillId="24" borderId="33" xfId="0" applyFont="1" applyFill="1" applyBorder="1" applyAlignment="1">
      <alignment/>
    </xf>
    <xf numFmtId="0" fontId="14" fillId="24" borderId="28" xfId="0" applyFont="1" applyFill="1" applyBorder="1" applyAlignment="1">
      <alignment/>
    </xf>
    <xf numFmtId="0" fontId="14" fillId="24" borderId="0" xfId="0" applyFont="1" applyFill="1" applyBorder="1" applyAlignment="1">
      <alignment horizontal="left"/>
    </xf>
    <xf numFmtId="0" fontId="14" fillId="24" borderId="27" xfId="0" applyFont="1" applyFill="1" applyBorder="1" applyAlignment="1">
      <alignment horizontal="center"/>
    </xf>
    <xf numFmtId="189" fontId="14" fillId="24" borderId="0" xfId="0" applyNumberFormat="1" applyFont="1" applyFill="1" applyBorder="1" applyAlignment="1">
      <alignment horizontal="center"/>
    </xf>
    <xf numFmtId="189" fontId="14" fillId="24" borderId="28" xfId="0" applyNumberFormat="1" applyFont="1" applyFill="1" applyBorder="1" applyAlignment="1">
      <alignment horizontal="center"/>
    </xf>
    <xf numFmtId="189" fontId="14" fillId="24" borderId="24" xfId="0" applyNumberFormat="1" applyFont="1" applyFill="1" applyBorder="1" applyAlignment="1">
      <alignment horizontal="center"/>
    </xf>
    <xf numFmtId="0" fontId="14" fillId="24" borderId="35" xfId="0" applyFont="1" applyFill="1" applyBorder="1" applyAlignment="1">
      <alignment/>
    </xf>
    <xf numFmtId="189" fontId="14" fillId="24" borderId="23" xfId="0" applyNumberFormat="1" applyFont="1" applyFill="1" applyBorder="1" applyAlignment="1">
      <alignment horizontal="center"/>
    </xf>
    <xf numFmtId="189" fontId="14" fillId="24" borderId="34" xfId="0" applyNumberFormat="1" applyFont="1" applyFill="1" applyBorder="1" applyAlignment="1">
      <alignment horizontal="center"/>
    </xf>
    <xf numFmtId="189" fontId="14" fillId="24" borderId="33" xfId="0" applyNumberFormat="1" applyFont="1" applyFill="1" applyBorder="1" applyAlignment="1">
      <alignment horizontal="center"/>
    </xf>
    <xf numFmtId="0" fontId="14" fillId="24" borderId="33" xfId="0" applyFont="1" applyFill="1" applyBorder="1" applyAlignment="1">
      <alignment horizontal="center"/>
    </xf>
    <xf numFmtId="0" fontId="14" fillId="24" borderId="31" xfId="0" applyFont="1" applyFill="1" applyBorder="1" applyAlignment="1">
      <alignment horizontal="center"/>
    </xf>
    <xf numFmtId="0" fontId="14" fillId="24" borderId="28" xfId="0" applyFont="1" applyFill="1" applyBorder="1" applyAlignment="1">
      <alignment horizontal="left"/>
    </xf>
    <xf numFmtId="0" fontId="14" fillId="24" borderId="19" xfId="0" applyFont="1" applyFill="1" applyBorder="1" applyAlignment="1">
      <alignment horizontal="left"/>
    </xf>
    <xf numFmtId="0" fontId="14" fillId="24" borderId="18" xfId="0" applyFont="1" applyFill="1" applyBorder="1" applyAlignment="1">
      <alignment horizontal="left"/>
    </xf>
    <xf numFmtId="0" fontId="14" fillId="24" borderId="35" xfId="0" applyFont="1" applyFill="1" applyBorder="1" applyAlignment="1">
      <alignment horizontal="left"/>
    </xf>
    <xf numFmtId="0" fontId="24" fillId="24" borderId="0" xfId="0" applyFont="1" applyFill="1" applyAlignment="1">
      <alignment horizontal="center"/>
    </xf>
    <xf numFmtId="0" fontId="14" fillId="24" borderId="36" xfId="0" applyFont="1" applyFill="1" applyBorder="1" applyAlignment="1">
      <alignment horizontal="left"/>
    </xf>
    <xf numFmtId="0" fontId="14" fillId="24" borderId="37" xfId="0" applyFont="1" applyFill="1" applyBorder="1" applyAlignment="1">
      <alignment horizontal="left"/>
    </xf>
    <xf numFmtId="0" fontId="14" fillId="24" borderId="38" xfId="0" applyFont="1" applyFill="1" applyBorder="1" applyAlignment="1">
      <alignment horizontal="left"/>
    </xf>
    <xf numFmtId="0" fontId="14" fillId="26" borderId="39" xfId="0" applyFont="1" applyFill="1" applyBorder="1" applyAlignment="1">
      <alignment horizontal="left"/>
    </xf>
    <xf numFmtId="0" fontId="14" fillId="26" borderId="18" xfId="0" applyFont="1" applyFill="1" applyBorder="1" applyAlignment="1">
      <alignment horizontal="left"/>
    </xf>
    <xf numFmtId="0" fontId="14" fillId="22" borderId="39" xfId="0" applyFont="1" applyFill="1" applyBorder="1" applyAlignment="1">
      <alignment horizontal="left"/>
    </xf>
    <xf numFmtId="0" fontId="14" fillId="22" borderId="18" xfId="0" applyFont="1" applyFill="1" applyBorder="1" applyAlignment="1">
      <alignment horizontal="left"/>
    </xf>
    <xf numFmtId="0" fontId="14" fillId="22" borderId="40" xfId="0" applyFont="1" applyFill="1" applyBorder="1" applyAlignment="1">
      <alignment horizontal="left"/>
    </xf>
    <xf numFmtId="0" fontId="14" fillId="22" borderId="37" xfId="0" applyFont="1" applyFill="1" applyBorder="1" applyAlignment="1">
      <alignment horizontal="left"/>
    </xf>
    <xf numFmtId="0" fontId="14" fillId="4" borderId="41" xfId="0" applyFont="1" applyFill="1" applyBorder="1" applyAlignment="1">
      <alignment horizontal="left"/>
    </xf>
    <xf numFmtId="0" fontId="14" fillId="4" borderId="28" xfId="0" applyFont="1" applyFill="1" applyBorder="1" applyAlignment="1">
      <alignment horizontal="left"/>
    </xf>
    <xf numFmtId="0" fontId="14" fillId="4" borderId="39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14" fillId="24" borderId="42" xfId="0" applyFont="1" applyFill="1" applyBorder="1" applyAlignment="1">
      <alignment horizontal="left"/>
    </xf>
    <xf numFmtId="0" fontId="14" fillId="24" borderId="43" xfId="0" applyFont="1" applyFill="1" applyBorder="1" applyAlignment="1">
      <alignment horizontal="left"/>
    </xf>
    <xf numFmtId="0" fontId="14" fillId="24" borderId="44" xfId="0" applyFont="1" applyFill="1" applyBorder="1" applyAlignment="1">
      <alignment horizontal="left"/>
    </xf>
    <xf numFmtId="0" fontId="14" fillId="24" borderId="45" xfId="0" applyFont="1" applyFill="1" applyBorder="1" applyAlignment="1">
      <alignment horizontal="left"/>
    </xf>
    <xf numFmtId="0" fontId="14" fillId="24" borderId="46" xfId="0" applyFont="1" applyFill="1" applyBorder="1" applyAlignment="1">
      <alignment horizontal="left"/>
    </xf>
    <xf numFmtId="0" fontId="14" fillId="27" borderId="0" xfId="0" applyFont="1" applyFill="1" applyBorder="1" applyAlignment="1">
      <alignment horizontal="left"/>
    </xf>
    <xf numFmtId="0" fontId="14" fillId="27" borderId="47" xfId="0" applyFont="1" applyFill="1" applyBorder="1" applyAlignment="1">
      <alignment horizontal="left"/>
    </xf>
    <xf numFmtId="0" fontId="14" fillId="27" borderId="48" xfId="0" applyFont="1" applyFill="1" applyBorder="1" applyAlignment="1">
      <alignment horizontal="left"/>
    </xf>
    <xf numFmtId="0" fontId="14" fillId="27" borderId="20" xfId="0" applyFont="1" applyFill="1" applyBorder="1" applyAlignment="1">
      <alignment horizontal="left"/>
    </xf>
    <xf numFmtId="0" fontId="14" fillId="27" borderId="49" xfId="0" applyFont="1" applyFill="1" applyBorder="1" applyAlignment="1">
      <alignment horizontal="left"/>
    </xf>
    <xf numFmtId="0" fontId="14" fillId="27" borderId="50" xfId="0" applyFont="1" applyFill="1" applyBorder="1" applyAlignment="1">
      <alignment horizontal="left"/>
    </xf>
    <xf numFmtId="0" fontId="14" fillId="24" borderId="51" xfId="0" applyFont="1" applyFill="1" applyBorder="1" applyAlignment="1">
      <alignment/>
    </xf>
    <xf numFmtId="0" fontId="14" fillId="24" borderId="29" xfId="0" applyFont="1" applyFill="1" applyBorder="1" applyAlignment="1">
      <alignment horizontal="left"/>
    </xf>
    <xf numFmtId="0" fontId="17" fillId="24" borderId="52" xfId="0" applyFont="1" applyFill="1" applyBorder="1" applyAlignment="1">
      <alignment/>
    </xf>
    <xf numFmtId="0" fontId="14" fillId="24" borderId="52" xfId="0" applyFont="1" applyFill="1" applyBorder="1" applyAlignment="1">
      <alignment/>
    </xf>
    <xf numFmtId="0" fontId="14" fillId="24" borderId="53" xfId="0" applyFont="1" applyFill="1" applyBorder="1" applyAlignment="1">
      <alignment/>
    </xf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7" fillId="24" borderId="21" xfId="0" applyFont="1" applyFill="1" applyBorder="1" applyAlignment="1">
      <alignment/>
    </xf>
    <xf numFmtId="0" fontId="13" fillId="7" borderId="0" xfId="0" applyFont="1" applyFill="1" applyAlignment="1">
      <alignment/>
    </xf>
    <xf numFmtId="0" fontId="14" fillId="7" borderId="54" xfId="0" applyFont="1" applyFill="1" applyBorder="1" applyAlignment="1">
      <alignment/>
    </xf>
    <xf numFmtId="0" fontId="14" fillId="7" borderId="20" xfId="0" applyFont="1" applyFill="1" applyBorder="1" applyAlignment="1">
      <alignment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4" fillId="24" borderId="30" xfId="0" applyFont="1" applyFill="1" applyBorder="1" applyAlignment="1">
      <alignment horizontal="left"/>
    </xf>
    <xf numFmtId="0" fontId="14" fillId="24" borderId="25" xfId="0" applyFont="1" applyFill="1" applyBorder="1" applyAlignment="1" applyProtection="1">
      <alignment/>
      <protection locked="0"/>
    </xf>
    <xf numFmtId="0" fontId="14" fillId="24" borderId="26" xfId="0" applyFont="1" applyFill="1" applyBorder="1" applyAlignment="1" applyProtection="1">
      <alignment/>
      <protection locked="0"/>
    </xf>
    <xf numFmtId="0" fontId="14" fillId="24" borderId="25" xfId="0" applyFont="1" applyFill="1" applyBorder="1" applyAlignment="1" applyProtection="1">
      <alignment/>
      <protection locked="0"/>
    </xf>
    <xf numFmtId="0" fontId="14" fillId="24" borderId="26" xfId="0" applyFont="1" applyFill="1" applyBorder="1" applyAlignment="1" applyProtection="1">
      <alignment/>
      <protection locked="0"/>
    </xf>
    <xf numFmtId="0" fontId="14" fillId="24" borderId="27" xfId="0" applyFont="1" applyFill="1" applyBorder="1" applyAlignment="1" applyProtection="1">
      <alignment/>
      <protection locked="0"/>
    </xf>
    <xf numFmtId="0" fontId="14" fillId="24" borderId="29" xfId="0" applyFont="1" applyFill="1" applyBorder="1" applyAlignment="1" applyProtection="1">
      <alignment/>
      <protection locked="0"/>
    </xf>
    <xf numFmtId="189" fontId="1" fillId="24" borderId="28" xfId="0" applyNumberFormat="1" applyFont="1" applyFill="1" applyBorder="1" applyAlignment="1">
      <alignment horizontal="center"/>
    </xf>
    <xf numFmtId="0" fontId="48" fillId="24" borderId="0" xfId="0" applyFont="1" applyFill="1" applyAlignment="1">
      <alignment/>
    </xf>
    <xf numFmtId="0" fontId="1" fillId="24" borderId="55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1" fillId="24" borderId="0" xfId="0" applyFont="1" applyFill="1" applyAlignment="1">
      <alignment horizontal="left"/>
    </xf>
    <xf numFmtId="0" fontId="1" fillId="24" borderId="56" xfId="0" applyFont="1" applyFill="1" applyBorder="1" applyAlignment="1">
      <alignment horizontal="center"/>
    </xf>
    <xf numFmtId="0" fontId="11" fillId="24" borderId="0" xfId="0" applyFont="1" applyFill="1" applyAlignment="1">
      <alignment horizontal="right"/>
    </xf>
    <xf numFmtId="0" fontId="7" fillId="24" borderId="0" xfId="0" applyFont="1" applyFill="1" applyAlignment="1">
      <alignment horizontal="center"/>
    </xf>
    <xf numFmtId="0" fontId="12" fillId="25" borderId="18" xfId="0" applyFont="1" applyFill="1" applyBorder="1" applyAlignment="1" applyProtection="1">
      <alignment horizontal="left"/>
      <protection locked="0"/>
    </xf>
    <xf numFmtId="0" fontId="12" fillId="25" borderId="35" xfId="0" applyFont="1" applyFill="1" applyBorder="1" applyAlignment="1" applyProtection="1">
      <alignment horizontal="left"/>
      <protection locked="0"/>
    </xf>
    <xf numFmtId="0" fontId="7" fillId="24" borderId="0" xfId="0" applyFont="1" applyFill="1" applyAlignment="1">
      <alignment horizontal="right"/>
    </xf>
    <xf numFmtId="0" fontId="9" fillId="24" borderId="0" xfId="0" applyFont="1" applyFill="1" applyAlignment="1">
      <alignment horizontal="center"/>
    </xf>
    <xf numFmtId="0" fontId="10" fillId="25" borderId="0" xfId="0" applyFont="1" applyFill="1" applyAlignment="1" applyProtection="1">
      <alignment horizontal="center"/>
      <protection locked="0"/>
    </xf>
    <xf numFmtId="0" fontId="12" fillId="25" borderId="19" xfId="0" applyFont="1" applyFill="1" applyBorder="1" applyAlignment="1" applyProtection="1">
      <alignment horizontal="left"/>
      <protection locked="0"/>
    </xf>
    <xf numFmtId="0" fontId="12" fillId="25" borderId="28" xfId="0" applyFont="1" applyFill="1" applyBorder="1" applyAlignment="1" applyProtection="1">
      <alignment horizontal="left"/>
      <protection locked="0"/>
    </xf>
    <xf numFmtId="0" fontId="14" fillId="24" borderId="23" xfId="0" applyFont="1" applyFill="1" applyBorder="1" applyAlignment="1">
      <alignment horizontal="center"/>
    </xf>
    <xf numFmtId="0" fontId="15" fillId="24" borderId="57" xfId="0" applyFont="1" applyFill="1" applyBorder="1" applyAlignment="1">
      <alignment horizontal="center"/>
    </xf>
    <xf numFmtId="0" fontId="15" fillId="24" borderId="58" xfId="0" applyFont="1" applyFill="1" applyBorder="1" applyAlignment="1">
      <alignment horizontal="center"/>
    </xf>
    <xf numFmtId="0" fontId="1" fillId="24" borderId="59" xfId="0" applyFont="1" applyFill="1" applyBorder="1" applyAlignment="1">
      <alignment horizontal="left"/>
    </xf>
    <xf numFmtId="0" fontId="1" fillId="24" borderId="60" xfId="0" applyFont="1" applyFill="1" applyBorder="1" applyAlignment="1">
      <alignment horizontal="left"/>
    </xf>
    <xf numFmtId="0" fontId="1" fillId="24" borderId="61" xfId="0" applyFont="1" applyFill="1" applyBorder="1" applyAlignment="1">
      <alignment horizontal="left"/>
    </xf>
    <xf numFmtId="0" fontId="14" fillId="24" borderId="0" xfId="0" applyFont="1" applyFill="1" applyAlignment="1">
      <alignment horizontal="center"/>
    </xf>
    <xf numFmtId="189" fontId="14" fillId="24" borderId="0" xfId="0" applyNumberFormat="1" applyFont="1" applyFill="1" applyAlignment="1">
      <alignment horizontal="center"/>
    </xf>
    <xf numFmtId="0" fontId="48" fillId="24" borderId="0" xfId="0" applyFont="1" applyFill="1" applyAlignment="1">
      <alignment horizontal="center"/>
    </xf>
    <xf numFmtId="2" fontId="14" fillId="24" borderId="0" xfId="0" applyNumberFormat="1" applyFont="1" applyFill="1" applyAlignment="1">
      <alignment horizontal="center"/>
    </xf>
    <xf numFmtId="0" fontId="3" fillId="4" borderId="60" xfId="0" applyFont="1" applyFill="1" applyBorder="1" applyAlignment="1">
      <alignment horizontal="center"/>
    </xf>
    <xf numFmtId="0" fontId="3" fillId="4" borderId="61" xfId="0" applyFont="1" applyFill="1" applyBorder="1" applyAlignment="1">
      <alignment horizontal="center"/>
    </xf>
    <xf numFmtId="0" fontId="3" fillId="22" borderId="59" xfId="0" applyFont="1" applyFill="1" applyBorder="1" applyAlignment="1">
      <alignment horizontal="center"/>
    </xf>
    <xf numFmtId="0" fontId="3" fillId="22" borderId="60" xfId="0" applyFont="1" applyFill="1" applyBorder="1" applyAlignment="1">
      <alignment horizontal="center"/>
    </xf>
    <xf numFmtId="0" fontId="3" fillId="22" borderId="61" xfId="0" applyFont="1" applyFill="1" applyBorder="1" applyAlignment="1">
      <alignment horizontal="center"/>
    </xf>
    <xf numFmtId="2" fontId="24" fillId="24" borderId="62" xfId="0" applyNumberFormat="1" applyFont="1" applyFill="1" applyBorder="1" applyAlignment="1">
      <alignment horizontal="center"/>
    </xf>
    <xf numFmtId="2" fontId="24" fillId="24" borderId="45" xfId="0" applyNumberFormat="1" applyFont="1" applyFill="1" applyBorder="1" applyAlignment="1">
      <alignment horizontal="center"/>
    </xf>
    <xf numFmtId="2" fontId="24" fillId="24" borderId="63" xfId="0" applyNumberFormat="1" applyFont="1" applyFill="1" applyBorder="1" applyAlignment="1">
      <alignment horizontal="center"/>
    </xf>
    <xf numFmtId="2" fontId="24" fillId="24" borderId="0" xfId="0" applyNumberFormat="1" applyFont="1" applyFill="1" applyBorder="1" applyAlignment="1">
      <alignment horizontal="center"/>
    </xf>
    <xf numFmtId="1" fontId="14" fillId="24" borderId="64" xfId="0" applyNumberFormat="1" applyFont="1" applyFill="1" applyBorder="1" applyAlignment="1">
      <alignment horizontal="center"/>
    </xf>
    <xf numFmtId="1" fontId="14" fillId="24" borderId="65" xfId="0" applyNumberFormat="1" applyFont="1" applyFill="1" applyBorder="1" applyAlignment="1">
      <alignment horizontal="center"/>
    </xf>
    <xf numFmtId="1" fontId="14" fillId="24" borderId="66" xfId="0" applyNumberFormat="1" applyFont="1" applyFill="1" applyBorder="1" applyAlignment="1">
      <alignment horizontal="center"/>
    </xf>
    <xf numFmtId="189" fontId="24" fillId="24" borderId="64" xfId="0" applyNumberFormat="1" applyFont="1" applyFill="1" applyBorder="1" applyAlignment="1">
      <alignment horizontal="center"/>
    </xf>
    <xf numFmtId="189" fontId="24" fillId="24" borderId="65" xfId="0" applyNumberFormat="1" applyFont="1" applyFill="1" applyBorder="1" applyAlignment="1">
      <alignment horizontal="center"/>
    </xf>
    <xf numFmtId="189" fontId="14" fillId="24" borderId="64" xfId="0" applyNumberFormat="1" applyFont="1" applyFill="1" applyBorder="1" applyAlignment="1">
      <alignment horizontal="center"/>
    </xf>
    <xf numFmtId="189" fontId="14" fillId="24" borderId="65" xfId="0" applyNumberFormat="1" applyFont="1" applyFill="1" applyBorder="1" applyAlignment="1">
      <alignment horizontal="center"/>
    </xf>
    <xf numFmtId="189" fontId="14" fillId="24" borderId="66" xfId="0" applyNumberFormat="1" applyFont="1" applyFill="1" applyBorder="1" applyAlignment="1">
      <alignment horizontal="center"/>
    </xf>
    <xf numFmtId="0" fontId="15" fillId="24" borderId="67" xfId="0" applyFont="1" applyFill="1" applyBorder="1" applyAlignment="1">
      <alignment horizontal="center"/>
    </xf>
    <xf numFmtId="0" fontId="14" fillId="24" borderId="65" xfId="0" applyFont="1" applyFill="1" applyBorder="1" applyAlignment="1">
      <alignment horizontal="center"/>
    </xf>
    <xf numFmtId="0" fontId="14" fillId="24" borderId="66" xfId="0" applyFont="1" applyFill="1" applyBorder="1" applyAlignment="1">
      <alignment horizontal="center"/>
    </xf>
    <xf numFmtId="4" fontId="26" fillId="24" borderId="0" xfId="0" applyNumberFormat="1" applyFont="1" applyFill="1" applyAlignment="1" applyProtection="1">
      <alignment horizontal="center"/>
      <protection locked="0"/>
    </xf>
    <xf numFmtId="3" fontId="26" fillId="24" borderId="0" xfId="0" applyNumberFormat="1" applyFont="1" applyFill="1" applyAlignment="1" applyProtection="1">
      <alignment horizontal="center"/>
      <protection locked="0"/>
    </xf>
    <xf numFmtId="0" fontId="26" fillId="24" borderId="0" xfId="0" applyFont="1" applyFill="1" applyAlignment="1" applyProtection="1">
      <alignment horizontal="center"/>
      <protection locked="0"/>
    </xf>
    <xf numFmtId="0" fontId="14" fillId="24" borderId="24" xfId="0" applyFont="1" applyFill="1" applyBorder="1" applyAlignment="1">
      <alignment horizontal="center"/>
    </xf>
    <xf numFmtId="0" fontId="11" fillId="7" borderId="54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0" fontId="13" fillId="27" borderId="68" xfId="0" applyFont="1" applyFill="1" applyBorder="1" applyAlignment="1">
      <alignment horizontal="center"/>
    </xf>
    <xf numFmtId="0" fontId="13" fillId="27" borderId="69" xfId="0" applyFont="1" applyFill="1" applyBorder="1" applyAlignment="1">
      <alignment horizontal="center"/>
    </xf>
    <xf numFmtId="0" fontId="13" fillId="27" borderId="70" xfId="0" applyFont="1" applyFill="1" applyBorder="1" applyAlignment="1">
      <alignment horizontal="center"/>
    </xf>
    <xf numFmtId="0" fontId="14" fillId="24" borderId="54" xfId="0" applyFont="1" applyFill="1" applyBorder="1" applyAlignment="1" applyProtection="1">
      <alignment horizontal="center"/>
      <protection locked="0"/>
    </xf>
    <xf numFmtId="0" fontId="14" fillId="24" borderId="20" xfId="0" applyFont="1" applyFill="1" applyBorder="1" applyAlignment="1" applyProtection="1">
      <alignment horizontal="center"/>
      <protection locked="0"/>
    </xf>
    <xf numFmtId="0" fontId="14" fillId="24" borderId="49" xfId="0" applyFont="1" applyFill="1" applyBorder="1" applyAlignment="1" applyProtection="1">
      <alignment horizontal="center"/>
      <protection locked="0"/>
    </xf>
    <xf numFmtId="2" fontId="26" fillId="24" borderId="0" xfId="0" applyNumberFormat="1" applyFont="1" applyFill="1" applyAlignment="1" applyProtection="1">
      <alignment horizontal="center"/>
      <protection locked="0"/>
    </xf>
    <xf numFmtId="0" fontId="14" fillId="24" borderId="19" xfId="0" applyFont="1" applyFill="1" applyBorder="1" applyAlignment="1">
      <alignment horizontal="center"/>
    </xf>
    <xf numFmtId="0" fontId="14" fillId="24" borderId="18" xfId="0" applyFont="1" applyFill="1" applyBorder="1" applyAlignment="1">
      <alignment horizontal="center"/>
    </xf>
    <xf numFmtId="0" fontId="14" fillId="24" borderId="35" xfId="0" applyFont="1" applyFill="1" applyBorder="1" applyAlignment="1">
      <alignment horizontal="center"/>
    </xf>
    <xf numFmtId="0" fontId="14" fillId="24" borderId="0" xfId="0" applyFont="1" applyFill="1" applyAlignment="1" applyProtection="1">
      <alignment horizontal="center" vertical="center"/>
      <protection locked="0"/>
    </xf>
    <xf numFmtId="0" fontId="14" fillId="24" borderId="0" xfId="0" applyFont="1" applyFill="1" applyAlignment="1" applyProtection="1">
      <alignment horizontal="center"/>
      <protection locked="0"/>
    </xf>
    <xf numFmtId="0" fontId="14" fillId="24" borderId="0" xfId="0" applyFont="1" applyFill="1" applyAlignment="1" applyProtection="1">
      <alignment horizontal="right"/>
      <protection locked="0"/>
    </xf>
    <xf numFmtId="189" fontId="14" fillId="24" borderId="0" xfId="0" applyNumberFormat="1" applyFont="1" applyFill="1" applyAlignment="1" applyProtection="1">
      <alignment horizontal="center"/>
      <protection locked="0"/>
    </xf>
    <xf numFmtId="189" fontId="14" fillId="24" borderId="0" xfId="0" applyNumberFormat="1" applyFont="1" applyFill="1" applyAlignment="1" applyProtection="1">
      <alignment horizontal="center" vertical="center"/>
      <protection locked="0"/>
    </xf>
    <xf numFmtId="2" fontId="14" fillId="24" borderId="0" xfId="0" applyNumberFormat="1" applyFont="1" applyFill="1" applyAlignment="1" applyProtection="1">
      <alignment horizontal="right"/>
      <protection locked="0"/>
    </xf>
    <xf numFmtId="188" fontId="14" fillId="24" borderId="0" xfId="0" applyNumberFormat="1" applyFont="1" applyFill="1" applyAlignment="1" applyProtection="1">
      <alignment horizontal="center" vertical="center"/>
      <protection locked="0"/>
    </xf>
    <xf numFmtId="2" fontId="14" fillId="24" borderId="0" xfId="0" applyNumberFormat="1" applyFont="1" applyFill="1" applyAlignment="1" applyProtection="1">
      <alignment horizontal="center" vertical="center"/>
      <protection locked="0"/>
    </xf>
    <xf numFmtId="2" fontId="24" fillId="24" borderId="71" xfId="0" applyNumberFormat="1" applyFont="1" applyFill="1" applyBorder="1" applyAlignment="1">
      <alignment horizontal="center"/>
    </xf>
    <xf numFmtId="2" fontId="24" fillId="24" borderId="57" xfId="0" applyNumberFormat="1" applyFont="1" applyFill="1" applyBorder="1" applyAlignment="1">
      <alignment horizontal="center"/>
    </xf>
    <xf numFmtId="2" fontId="14" fillId="24" borderId="0" xfId="0" applyNumberFormat="1" applyFont="1" applyFill="1" applyAlignment="1" applyProtection="1">
      <alignment horizontal="center"/>
      <protection locked="0"/>
    </xf>
    <xf numFmtId="187" fontId="14" fillId="24" borderId="0" xfId="0" applyNumberFormat="1" applyFont="1" applyFill="1" applyAlignment="1" applyProtection="1">
      <alignment horizontal="center"/>
      <protection locked="0"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right"/>
    </xf>
    <xf numFmtId="0" fontId="3" fillId="24" borderId="44" xfId="0" applyFont="1" applyFill="1" applyBorder="1" applyAlignment="1">
      <alignment horizontal="right"/>
    </xf>
    <xf numFmtId="0" fontId="14" fillId="24" borderId="51" xfId="0" applyFont="1" applyFill="1" applyBorder="1" applyAlignment="1">
      <alignment horizontal="center"/>
    </xf>
    <xf numFmtId="0" fontId="13" fillId="24" borderId="32" xfId="0" applyFont="1" applyFill="1" applyBorder="1" applyAlignment="1">
      <alignment horizontal="center"/>
    </xf>
    <xf numFmtId="14" fontId="14" fillId="24" borderId="59" xfId="0" applyNumberFormat="1" applyFont="1" applyFill="1" applyBorder="1" applyAlignment="1">
      <alignment horizontal="center"/>
    </xf>
    <xf numFmtId="0" fontId="14" fillId="24" borderId="60" xfId="0" applyFont="1" applyFill="1" applyBorder="1" applyAlignment="1">
      <alignment horizontal="center"/>
    </xf>
    <xf numFmtId="0" fontId="14" fillId="24" borderId="61" xfId="0" applyFont="1" applyFill="1" applyBorder="1" applyAlignment="1">
      <alignment horizontal="center"/>
    </xf>
    <xf numFmtId="0" fontId="1" fillId="24" borderId="59" xfId="0" applyFont="1" applyFill="1" applyBorder="1" applyAlignment="1" applyProtection="1">
      <alignment horizontal="center"/>
      <protection locked="0"/>
    </xf>
    <xf numFmtId="0" fontId="1" fillId="24" borderId="60" xfId="0" applyFont="1" applyFill="1" applyBorder="1" applyAlignment="1" applyProtection="1">
      <alignment horizontal="center"/>
      <protection locked="0"/>
    </xf>
    <xf numFmtId="0" fontId="1" fillId="24" borderId="61" xfId="0" applyFont="1" applyFill="1" applyBorder="1" applyAlignment="1" applyProtection="1">
      <alignment horizontal="center"/>
      <protection locked="0"/>
    </xf>
    <xf numFmtId="3" fontId="14" fillId="24" borderId="0" xfId="0" applyNumberFormat="1" applyFont="1" applyFill="1" applyAlignment="1">
      <alignment horizontal="center"/>
    </xf>
    <xf numFmtId="199" fontId="26" fillId="24" borderId="0" xfId="0" applyNumberFormat="1" applyFont="1" applyFill="1" applyAlignment="1" applyProtection="1">
      <alignment horizontal="center"/>
      <protection locked="0"/>
    </xf>
    <xf numFmtId="4" fontId="14" fillId="24" borderId="0" xfId="0" applyNumberFormat="1" applyFont="1" applyFill="1" applyAlignment="1">
      <alignment horizontal="center"/>
    </xf>
    <xf numFmtId="2" fontId="1" fillId="24" borderId="26" xfId="0" applyNumberFormat="1" applyFont="1" applyFill="1" applyBorder="1" applyAlignment="1">
      <alignment horizontal="center" vertical="center"/>
    </xf>
    <xf numFmtId="189" fontId="14" fillId="24" borderId="0" xfId="0" applyNumberFormat="1" applyFont="1" applyFill="1" applyBorder="1" applyAlignment="1">
      <alignment horizontal="center"/>
    </xf>
    <xf numFmtId="0" fontId="18" fillId="24" borderId="0" xfId="0" applyFont="1" applyFill="1" applyAlignment="1" applyProtection="1">
      <alignment horizontal="center"/>
      <protection locked="0"/>
    </xf>
    <xf numFmtId="189" fontId="24" fillId="24" borderId="0" xfId="0" applyNumberFormat="1" applyFont="1" applyFill="1" applyAlignment="1">
      <alignment horizontal="center"/>
    </xf>
    <xf numFmtId="187" fontId="14" fillId="24" borderId="0" xfId="0" applyNumberFormat="1" applyFont="1" applyFill="1" applyAlignment="1">
      <alignment horizontal="center"/>
    </xf>
    <xf numFmtId="2" fontId="24" fillId="24" borderId="0" xfId="0" applyNumberFormat="1" applyFont="1" applyFill="1" applyAlignment="1">
      <alignment horizontal="center"/>
    </xf>
    <xf numFmtId="0" fontId="1" fillId="24" borderId="0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189" fontId="14" fillId="24" borderId="28" xfId="0" applyNumberFormat="1" applyFont="1" applyFill="1" applyBorder="1" applyAlignment="1">
      <alignment horizontal="center"/>
    </xf>
    <xf numFmtId="0" fontId="14" fillId="27" borderId="72" xfId="0" applyFont="1" applyFill="1" applyBorder="1" applyAlignment="1">
      <alignment horizontal="center"/>
    </xf>
    <xf numFmtId="0" fontId="14" fillId="27" borderId="69" xfId="0" applyFont="1" applyFill="1" applyBorder="1" applyAlignment="1">
      <alignment horizontal="center"/>
    </xf>
    <xf numFmtId="0" fontId="14" fillId="27" borderId="70" xfId="0" applyFont="1" applyFill="1" applyBorder="1" applyAlignment="1">
      <alignment horizontal="center"/>
    </xf>
    <xf numFmtId="0" fontId="14" fillId="27" borderId="68" xfId="0" applyFont="1" applyFill="1" applyBorder="1" applyAlignment="1">
      <alignment horizontal="center"/>
    </xf>
    <xf numFmtId="0" fontId="14" fillId="27" borderId="22" xfId="0" applyFont="1" applyFill="1" applyBorder="1" applyAlignment="1">
      <alignment horizontal="center"/>
    </xf>
    <xf numFmtId="0" fontId="14" fillId="27" borderId="23" xfId="0" applyFont="1" applyFill="1" applyBorder="1" applyAlignment="1">
      <alignment horizontal="center"/>
    </xf>
    <xf numFmtId="0" fontId="14" fillId="27" borderId="24" xfId="0" applyFont="1" applyFill="1" applyBorder="1" applyAlignment="1">
      <alignment horizontal="center"/>
    </xf>
    <xf numFmtId="0" fontId="21" fillId="22" borderId="73" xfId="0" applyFont="1" applyFill="1" applyBorder="1" applyAlignment="1">
      <alignment horizontal="center" vertical="center" textRotation="90"/>
    </xf>
    <xf numFmtId="0" fontId="21" fillId="22" borderId="74" xfId="0" applyFont="1" applyFill="1" applyBorder="1" applyAlignment="1">
      <alignment horizontal="center" vertical="center" textRotation="90"/>
    </xf>
    <xf numFmtId="0" fontId="21" fillId="22" borderId="75" xfId="0" applyFont="1" applyFill="1" applyBorder="1" applyAlignment="1">
      <alignment horizontal="center" vertical="center" textRotation="90"/>
    </xf>
    <xf numFmtId="1" fontId="14" fillId="24" borderId="0" xfId="0" applyNumberFormat="1" applyFont="1" applyFill="1" applyAlignment="1">
      <alignment horizontal="center"/>
    </xf>
    <xf numFmtId="2" fontId="24" fillId="24" borderId="76" xfId="0" applyNumberFormat="1" applyFont="1" applyFill="1" applyBorder="1" applyAlignment="1">
      <alignment horizontal="center"/>
    </xf>
    <xf numFmtId="2" fontId="24" fillId="24" borderId="42" xfId="0" applyNumberFormat="1" applyFont="1" applyFill="1" applyBorder="1" applyAlignment="1">
      <alignment horizontal="center"/>
    </xf>
    <xf numFmtId="189" fontId="23" fillId="24" borderId="76" xfId="0" applyNumberFormat="1" applyFont="1" applyFill="1" applyBorder="1" applyAlignment="1">
      <alignment horizontal="center" vertical="center"/>
    </xf>
    <xf numFmtId="189" fontId="23" fillId="24" borderId="42" xfId="0" applyNumberFormat="1" applyFont="1" applyFill="1" applyBorder="1" applyAlignment="1">
      <alignment horizontal="center" vertical="center"/>
    </xf>
    <xf numFmtId="189" fontId="23" fillId="24" borderId="43" xfId="0" applyNumberFormat="1" applyFont="1" applyFill="1" applyBorder="1" applyAlignment="1">
      <alignment horizontal="center" vertical="center"/>
    </xf>
    <xf numFmtId="189" fontId="23" fillId="24" borderId="63" xfId="0" applyNumberFormat="1" applyFont="1" applyFill="1" applyBorder="1" applyAlignment="1">
      <alignment horizontal="center" vertical="center"/>
    </xf>
    <xf numFmtId="189" fontId="23" fillId="24" borderId="0" xfId="0" applyNumberFormat="1" applyFont="1" applyFill="1" applyBorder="1" applyAlignment="1">
      <alignment horizontal="center" vertical="center"/>
    </xf>
    <xf numFmtId="189" fontId="23" fillId="24" borderId="44" xfId="0" applyNumberFormat="1" applyFont="1" applyFill="1" applyBorder="1" applyAlignment="1">
      <alignment horizontal="center" vertical="center"/>
    </xf>
    <xf numFmtId="189" fontId="23" fillId="24" borderId="62" xfId="0" applyNumberFormat="1" applyFont="1" applyFill="1" applyBorder="1" applyAlignment="1">
      <alignment horizontal="center" vertical="center"/>
    </xf>
    <xf numFmtId="189" fontId="23" fillId="24" borderId="45" xfId="0" applyNumberFormat="1" applyFont="1" applyFill="1" applyBorder="1" applyAlignment="1">
      <alignment horizontal="center" vertical="center"/>
    </xf>
    <xf numFmtId="189" fontId="23" fillId="24" borderId="46" xfId="0" applyNumberFormat="1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/>
    </xf>
    <xf numFmtId="189" fontId="22" fillId="24" borderId="76" xfId="0" applyNumberFormat="1" applyFont="1" applyFill="1" applyBorder="1" applyAlignment="1">
      <alignment horizontal="center" vertical="center"/>
    </xf>
    <xf numFmtId="189" fontId="22" fillId="24" borderId="42" xfId="0" applyNumberFormat="1" applyFont="1" applyFill="1" applyBorder="1" applyAlignment="1">
      <alignment horizontal="center" vertical="center"/>
    </xf>
    <xf numFmtId="189" fontId="22" fillId="24" borderId="43" xfId="0" applyNumberFormat="1" applyFont="1" applyFill="1" applyBorder="1" applyAlignment="1">
      <alignment horizontal="center" vertical="center"/>
    </xf>
    <xf numFmtId="189" fontId="22" fillId="24" borderId="63" xfId="0" applyNumberFormat="1" applyFont="1" applyFill="1" applyBorder="1" applyAlignment="1">
      <alignment horizontal="center" vertical="center"/>
    </xf>
    <xf numFmtId="189" fontId="22" fillId="24" borderId="0" xfId="0" applyNumberFormat="1" applyFont="1" applyFill="1" applyBorder="1" applyAlignment="1">
      <alignment horizontal="center" vertical="center"/>
    </xf>
    <xf numFmtId="189" fontId="22" fillId="24" borderId="44" xfId="0" applyNumberFormat="1" applyFont="1" applyFill="1" applyBorder="1" applyAlignment="1">
      <alignment horizontal="center" vertical="center"/>
    </xf>
    <xf numFmtId="189" fontId="22" fillId="24" borderId="62" xfId="0" applyNumberFormat="1" applyFont="1" applyFill="1" applyBorder="1" applyAlignment="1">
      <alignment horizontal="center" vertical="center"/>
    </xf>
    <xf numFmtId="189" fontId="22" fillId="24" borderId="45" xfId="0" applyNumberFormat="1" applyFont="1" applyFill="1" applyBorder="1" applyAlignment="1">
      <alignment horizontal="center" vertical="center"/>
    </xf>
    <xf numFmtId="189" fontId="22" fillId="24" borderId="4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dxfs count="24"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Beam!$DW$8:$DW$12</c:f>
              <c:numCache/>
            </c:numRef>
          </c:xVal>
          <c:yVal>
            <c:numRef>
              <c:f>Beam!$DX$8:$DX$12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Beam!$DW$15:$DW$19</c:f>
              <c:numCache/>
            </c:numRef>
          </c:xVal>
          <c:yVal>
            <c:numRef>
              <c:f>Beam!$DX$15:$DX$19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Beam!$DQ$23:$DQ$53</c:f>
              <c:numCache/>
            </c:numRef>
          </c:xVal>
          <c:yVal>
            <c:numRef>
              <c:f>Beam!$DR$23:$DR$53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Beam!$DS$23:$DS$53</c:f>
              <c:numCache/>
            </c:numRef>
          </c:xVal>
          <c:yVal>
            <c:numRef>
              <c:f>Beam!$DT$23:$DT$53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Beam!$DU$23:$DU$53</c:f>
              <c:numCache/>
            </c:numRef>
          </c:xVal>
          <c:yVal>
            <c:numRef>
              <c:f>Beam!$DV$23:$DV$53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Beam!$DY$29:$DY$59</c:f>
              <c:numCache/>
            </c:numRef>
          </c:xVal>
          <c:yVal>
            <c:numRef>
              <c:f>Beam!$DZ$29:$DZ$59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8"/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Beam!$EA$29:$EA$59</c:f>
              <c:numCache/>
            </c:numRef>
          </c:xVal>
          <c:yVal>
            <c:numRef>
              <c:f>Beam!$EB$29:$EB$59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Beam!$EC$29:$EC$59</c:f>
              <c:numCache/>
            </c:numRef>
          </c:xVal>
          <c:yVal>
            <c:numRef>
              <c:f>Beam!$ED$29:$ED$59</c:f>
              <c:numCache/>
            </c:numRef>
          </c:yVal>
          <c:smooth val="0"/>
        </c:ser>
        <c:axId val="32254484"/>
        <c:axId val="21854901"/>
      </c:scatterChart>
      <c:valAx>
        <c:axId val="32254484"/>
        <c:scaling>
          <c:orientation val="minMax"/>
          <c:max val="0.5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sysDot"/>
          </a:ln>
        </c:spPr>
        <c:crossAx val="21854901"/>
        <c:crosses val="autoZero"/>
        <c:crossBetween val="midCat"/>
        <c:dispUnits/>
      </c:valAx>
      <c:valAx>
        <c:axId val="21854901"/>
        <c:scaling>
          <c:orientation val="minMax"/>
          <c:max val="0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sysDot"/>
          </a:ln>
        </c:spPr>
        <c:crossAx val="322544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14</xdr:row>
      <xdr:rowOff>57150</xdr:rowOff>
    </xdr:from>
    <xdr:to>
      <xdr:col>25</xdr:col>
      <xdr:colOff>228600</xdr:colOff>
      <xdr:row>25</xdr:row>
      <xdr:rowOff>9525</xdr:rowOff>
    </xdr:to>
    <xdr:graphicFrame>
      <xdr:nvGraphicFramePr>
        <xdr:cNvPr id="1" name="Chart 260"/>
        <xdr:cNvGraphicFramePr/>
      </xdr:nvGraphicFramePr>
      <xdr:xfrm>
        <a:off x="4057650" y="2705100"/>
        <a:ext cx="21240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42"/>
  <sheetViews>
    <sheetView zoomScalePageLayoutView="0" workbookViewId="0" topLeftCell="A1">
      <selection activeCell="D8" sqref="D8:I10"/>
    </sheetView>
  </sheetViews>
  <sheetFormatPr defaultColWidth="9.140625" defaultRowHeight="12.75"/>
  <cols>
    <col min="1" max="2" width="9.140625" style="1" customWidth="1"/>
    <col min="3" max="3" width="10.7109375" style="1" bestFit="1" customWidth="1"/>
    <col min="4" max="6" width="9.140625" style="1" customWidth="1"/>
    <col min="7" max="7" width="6.140625" style="1" customWidth="1"/>
    <col min="8" max="9" width="9.140625" style="1" customWidth="1"/>
    <col min="10" max="10" width="8.28125" style="1" customWidth="1"/>
    <col min="11" max="16384" width="9.140625" style="1" customWidth="1"/>
  </cols>
  <sheetData>
    <row r="1" spans="11:14" ht="15.75" thickBot="1">
      <c r="K1" s="4"/>
      <c r="L1" s="4"/>
      <c r="M1" s="4"/>
      <c r="N1" s="4"/>
    </row>
    <row r="2" spans="11:14" ht="15">
      <c r="K2" s="7" t="s">
        <v>5</v>
      </c>
      <c r="L2" s="8"/>
      <c r="M2" s="9"/>
      <c r="N2" s="4"/>
    </row>
    <row r="3" spans="11:14" ht="15">
      <c r="K3" s="10" t="s">
        <v>6</v>
      </c>
      <c r="L3" s="6"/>
      <c r="M3" s="11"/>
      <c r="N3" s="4"/>
    </row>
    <row r="4" spans="1:14" ht="41.25" thickBot="1">
      <c r="A4" s="195" t="s">
        <v>32</v>
      </c>
      <c r="B4" s="195"/>
      <c r="C4" s="195"/>
      <c r="D4" s="195"/>
      <c r="E4" s="195"/>
      <c r="F4" s="195"/>
      <c r="G4" s="195"/>
      <c r="H4" s="195"/>
      <c r="I4" s="195"/>
      <c r="J4" s="195"/>
      <c r="K4" s="12"/>
      <c r="L4" s="13"/>
      <c r="M4" s="14"/>
      <c r="N4" s="4"/>
    </row>
    <row r="5" spans="11:14" ht="19.5" customHeight="1">
      <c r="K5" s="4"/>
      <c r="L5" s="4"/>
      <c r="M5" s="4"/>
      <c r="N5" s="4"/>
    </row>
    <row r="6" spans="1:14" ht="31.5">
      <c r="A6" s="196" t="s">
        <v>7</v>
      </c>
      <c r="B6" s="196"/>
      <c r="C6" s="196"/>
      <c r="D6" s="196"/>
      <c r="E6" s="196"/>
      <c r="F6" s="196"/>
      <c r="G6" s="196"/>
      <c r="H6" s="196"/>
      <c r="I6" s="196"/>
      <c r="J6" s="196"/>
      <c r="K6" s="4" t="s">
        <v>31</v>
      </c>
      <c r="L6" s="4"/>
      <c r="M6" s="4"/>
      <c r="N6" s="4"/>
    </row>
    <row r="7" spans="11:14" ht="15">
      <c r="K7" s="4"/>
      <c r="L7" s="4"/>
      <c r="M7" s="4"/>
      <c r="N7" s="4"/>
    </row>
    <row r="8" spans="1:14" s="2" customFormat="1" ht="18">
      <c r="A8" s="190" t="s">
        <v>8</v>
      </c>
      <c r="B8" s="190"/>
      <c r="C8" s="190"/>
      <c r="D8" s="198" t="s">
        <v>240</v>
      </c>
      <c r="E8" s="198"/>
      <c r="F8" s="198"/>
      <c r="G8" s="198"/>
      <c r="H8" s="198"/>
      <c r="I8" s="198"/>
      <c r="J8" s="19"/>
      <c r="K8" s="20"/>
      <c r="L8" s="20"/>
      <c r="M8" s="20"/>
      <c r="N8" s="20"/>
    </row>
    <row r="9" spans="1:14" s="2" customFormat="1" ht="18">
      <c r="A9" s="190" t="s">
        <v>9</v>
      </c>
      <c r="B9" s="190"/>
      <c r="C9" s="190"/>
      <c r="D9" s="192" t="s">
        <v>241</v>
      </c>
      <c r="E9" s="192"/>
      <c r="F9" s="192"/>
      <c r="G9" s="192"/>
      <c r="H9" s="192"/>
      <c r="I9" s="192"/>
      <c r="J9" s="19"/>
      <c r="K9" s="20"/>
      <c r="L9" s="20"/>
      <c r="M9" s="20"/>
      <c r="N9" s="20"/>
    </row>
    <row r="10" spans="1:14" s="2" customFormat="1" ht="18">
      <c r="A10" s="190" t="s">
        <v>10</v>
      </c>
      <c r="B10" s="190"/>
      <c r="C10" s="190"/>
      <c r="D10" s="192" t="s">
        <v>242</v>
      </c>
      <c r="E10" s="192"/>
      <c r="F10" s="192"/>
      <c r="G10" s="193"/>
      <c r="H10" s="197" t="s">
        <v>243</v>
      </c>
      <c r="I10" s="192"/>
      <c r="J10" s="19"/>
      <c r="K10" s="20"/>
      <c r="L10" s="20"/>
      <c r="M10" s="20"/>
      <c r="N10" s="20"/>
    </row>
    <row r="11" spans="4:14" ht="15">
      <c r="D11" s="187"/>
      <c r="E11" s="187"/>
      <c r="F11" s="187"/>
      <c r="G11" s="187"/>
      <c r="H11" s="18"/>
      <c r="I11" s="16"/>
      <c r="J11" s="5"/>
      <c r="K11" s="4"/>
      <c r="L11" s="4"/>
      <c r="M11" s="4"/>
      <c r="N11" s="4"/>
    </row>
    <row r="12" spans="1:14" ht="18">
      <c r="A12" s="190" t="s">
        <v>11</v>
      </c>
      <c r="B12" s="190"/>
      <c r="C12" s="190"/>
      <c r="D12" s="17" t="s">
        <v>33</v>
      </c>
      <c r="E12" s="17"/>
      <c r="F12" s="17"/>
      <c r="G12" s="17"/>
      <c r="H12" s="17"/>
      <c r="I12" s="17"/>
      <c r="J12" s="19"/>
      <c r="K12" s="4"/>
      <c r="L12" s="4"/>
      <c r="M12" s="4"/>
      <c r="N12" s="4"/>
    </row>
    <row r="13" spans="11:14" s="2" customFormat="1" ht="16.5">
      <c r="K13" s="20"/>
      <c r="L13" s="20"/>
      <c r="M13" s="20"/>
      <c r="N13" s="20"/>
    </row>
    <row r="14" spans="1:14" s="2" customFormat="1" ht="18">
      <c r="A14" s="188" t="s">
        <v>15</v>
      </c>
      <c r="B14" s="188"/>
      <c r="C14" s="188"/>
      <c r="D14" s="188"/>
      <c r="K14" s="20"/>
      <c r="L14" s="20"/>
      <c r="M14" s="20"/>
      <c r="N14" s="20"/>
    </row>
    <row r="15" spans="2:14" s="2" customFormat="1" ht="16.5">
      <c r="B15" s="3" t="s">
        <v>4</v>
      </c>
      <c r="C15" s="1" t="s">
        <v>12</v>
      </c>
      <c r="D15" s="1"/>
      <c r="E15" s="1"/>
      <c r="F15" s="1"/>
      <c r="G15" s="1"/>
      <c r="H15" s="1"/>
      <c r="I15" s="1"/>
      <c r="J15" s="1"/>
      <c r="K15" s="20"/>
      <c r="L15" s="20"/>
      <c r="M15" s="20"/>
      <c r="N15" s="20"/>
    </row>
    <row r="16" spans="2:14" s="2" customFormat="1" ht="16.5">
      <c r="B16" s="3" t="s">
        <v>4</v>
      </c>
      <c r="C16" s="1" t="s">
        <v>13</v>
      </c>
      <c r="D16" s="1"/>
      <c r="E16" s="1"/>
      <c r="F16" s="1"/>
      <c r="G16" s="1"/>
      <c r="H16" s="1"/>
      <c r="I16" s="1"/>
      <c r="J16" s="1"/>
      <c r="K16" s="20"/>
      <c r="L16" s="20"/>
      <c r="M16" s="20"/>
      <c r="N16" s="20"/>
    </row>
    <row r="17" spans="2:14" s="2" customFormat="1" ht="16.5">
      <c r="B17" s="3" t="s">
        <v>4</v>
      </c>
      <c r="C17" s="1" t="s">
        <v>14</v>
      </c>
      <c r="D17" s="1"/>
      <c r="E17" s="1"/>
      <c r="F17" s="1"/>
      <c r="G17" s="1"/>
      <c r="H17" s="1"/>
      <c r="I17" s="1"/>
      <c r="J17" s="1"/>
      <c r="K17" s="20"/>
      <c r="L17" s="20"/>
      <c r="M17" s="20"/>
      <c r="N17" s="20"/>
    </row>
    <row r="18" spans="11:14" s="2" customFormat="1" ht="16.5">
      <c r="K18" s="20"/>
      <c r="L18" s="20"/>
      <c r="M18" s="20"/>
      <c r="N18" s="20"/>
    </row>
    <row r="19" spans="1:14" s="2" customFormat="1" ht="18">
      <c r="A19" s="188" t="s">
        <v>16</v>
      </c>
      <c r="B19" s="188"/>
      <c r="C19" s="188"/>
      <c r="D19" s="188"/>
      <c r="K19" s="20"/>
      <c r="L19" s="20"/>
      <c r="M19" s="20"/>
      <c r="N19" s="20"/>
    </row>
    <row r="20" spans="3:14" s="2" customFormat="1" ht="16.5">
      <c r="C20" s="194" t="s">
        <v>17</v>
      </c>
      <c r="D20" s="194"/>
      <c r="E20" s="15" t="s">
        <v>3</v>
      </c>
      <c r="F20" s="2" t="s">
        <v>24</v>
      </c>
      <c r="K20" s="20"/>
      <c r="L20" s="20"/>
      <c r="M20" s="20"/>
      <c r="N20" s="20"/>
    </row>
    <row r="21" spans="3:14" s="2" customFormat="1" ht="16.5">
      <c r="C21" s="194" t="s">
        <v>18</v>
      </c>
      <c r="D21" s="194"/>
      <c r="E21" s="15" t="s">
        <v>3</v>
      </c>
      <c r="F21" s="2" t="s">
        <v>25</v>
      </c>
      <c r="K21" s="20"/>
      <c r="L21" s="20"/>
      <c r="M21" s="20"/>
      <c r="N21" s="20"/>
    </row>
    <row r="22" spans="3:14" s="2" customFormat="1" ht="16.5">
      <c r="C22" s="194" t="s">
        <v>19</v>
      </c>
      <c r="D22" s="194"/>
      <c r="E22" s="15" t="s">
        <v>3</v>
      </c>
      <c r="F22" s="2" t="s">
        <v>26</v>
      </c>
      <c r="K22" s="20"/>
      <c r="L22" s="20"/>
      <c r="M22" s="20"/>
      <c r="N22" s="20"/>
    </row>
    <row r="23" spans="3:14" s="2" customFormat="1" ht="16.5">
      <c r="C23" s="194" t="s">
        <v>20</v>
      </c>
      <c r="D23" s="194"/>
      <c r="E23" s="15" t="s">
        <v>3</v>
      </c>
      <c r="F23" s="2" t="s">
        <v>27</v>
      </c>
      <c r="K23" s="20"/>
      <c r="L23" s="20"/>
      <c r="M23" s="20"/>
      <c r="N23" s="20"/>
    </row>
    <row r="24" spans="3:14" s="2" customFormat="1" ht="16.5">
      <c r="C24" s="194" t="s">
        <v>21</v>
      </c>
      <c r="D24" s="194"/>
      <c r="E24" s="15" t="s">
        <v>3</v>
      </c>
      <c r="F24" s="2" t="s">
        <v>27</v>
      </c>
      <c r="K24" s="20"/>
      <c r="L24" s="20"/>
      <c r="M24" s="20"/>
      <c r="N24" s="20"/>
    </row>
    <row r="25" spans="3:14" s="2" customFormat="1" ht="16.5">
      <c r="C25" s="194" t="s">
        <v>22</v>
      </c>
      <c r="D25" s="194"/>
      <c r="E25" s="15" t="s">
        <v>3</v>
      </c>
      <c r="F25" s="2" t="s">
        <v>28</v>
      </c>
      <c r="K25" s="20"/>
      <c r="L25" s="20"/>
      <c r="M25" s="20"/>
      <c r="N25" s="20"/>
    </row>
    <row r="26" spans="3:14" s="2" customFormat="1" ht="16.5">
      <c r="C26" s="194" t="s">
        <v>23</v>
      </c>
      <c r="D26" s="194"/>
      <c r="E26" s="15" t="s">
        <v>3</v>
      </c>
      <c r="F26" s="2" t="s">
        <v>29</v>
      </c>
      <c r="K26" s="20"/>
      <c r="L26" s="20"/>
      <c r="M26" s="20"/>
      <c r="N26" s="20"/>
    </row>
    <row r="27" spans="11:14" s="2" customFormat="1" ht="16.5">
      <c r="K27" s="20"/>
      <c r="L27" s="20"/>
      <c r="M27" s="20"/>
      <c r="N27" s="20"/>
    </row>
    <row r="28" spans="1:14" s="2" customFormat="1" ht="16.5">
      <c r="A28" s="191" t="s">
        <v>30</v>
      </c>
      <c r="B28" s="191"/>
      <c r="C28" s="191"/>
      <c r="D28" s="191"/>
      <c r="E28" s="191"/>
      <c r="F28" s="191"/>
      <c r="G28" s="191"/>
      <c r="H28" s="191"/>
      <c r="I28" s="191"/>
      <c r="J28" s="191"/>
      <c r="K28" s="20"/>
      <c r="L28" s="20"/>
      <c r="M28" s="20"/>
      <c r="N28" s="20"/>
    </row>
    <row r="29" spans="11:14" s="2" customFormat="1" ht="16.5">
      <c r="K29" s="20"/>
      <c r="L29" s="20"/>
      <c r="M29" s="20"/>
      <c r="N29" s="20"/>
    </row>
    <row r="30" spans="11:14" s="2" customFormat="1" ht="16.5">
      <c r="K30" s="20"/>
      <c r="L30" s="20"/>
      <c r="M30" s="20"/>
      <c r="N30" s="20"/>
    </row>
    <row r="31" spans="11:14" s="2" customFormat="1" ht="16.5">
      <c r="K31" s="20"/>
      <c r="L31" s="20"/>
      <c r="M31" s="20"/>
      <c r="N31" s="20"/>
    </row>
    <row r="32" spans="11:14" s="2" customFormat="1" ht="16.5">
      <c r="K32" s="20"/>
      <c r="L32" s="20"/>
      <c r="M32" s="20"/>
      <c r="N32" s="20"/>
    </row>
    <row r="33" spans="11:14" s="2" customFormat="1" ht="16.5">
      <c r="K33" s="20"/>
      <c r="L33" s="20"/>
      <c r="M33" s="20"/>
      <c r="N33" s="20"/>
    </row>
    <row r="34" spans="11:14" s="2" customFormat="1" ht="16.5">
      <c r="K34" s="20"/>
      <c r="L34" s="20"/>
      <c r="M34" s="20"/>
      <c r="N34" s="20"/>
    </row>
    <row r="35" spans="1:14" s="2" customFormat="1" ht="16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 password="DA3E" sheet="1" selectLockedCells="1"/>
  <mergeCells count="21">
    <mergeCell ref="A28:J28"/>
    <mergeCell ref="D11:G11"/>
    <mergeCell ref="A14:D14"/>
    <mergeCell ref="A19:D19"/>
    <mergeCell ref="C20:D20"/>
    <mergeCell ref="C22:D22"/>
    <mergeCell ref="C21:D21"/>
    <mergeCell ref="A12:C12"/>
    <mergeCell ref="A4:J4"/>
    <mergeCell ref="A6:J6"/>
    <mergeCell ref="H10:I10"/>
    <mergeCell ref="D8:I8"/>
    <mergeCell ref="D9:I9"/>
    <mergeCell ref="A8:C8"/>
    <mergeCell ref="A10:C10"/>
    <mergeCell ref="A9:C9"/>
    <mergeCell ref="D10:G10"/>
    <mergeCell ref="C26:D26"/>
    <mergeCell ref="C23:D23"/>
    <mergeCell ref="C24:D24"/>
    <mergeCell ref="C25:D25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N72"/>
  <sheetViews>
    <sheetView tabSelected="1" zoomScale="90" zoomScaleNormal="90" zoomScalePageLayoutView="0" workbookViewId="0" topLeftCell="A1">
      <selection activeCell="Y41" sqref="Y41:AA41"/>
    </sheetView>
  </sheetViews>
  <sheetFormatPr defaultColWidth="3.57421875" defaultRowHeight="15.75" customHeight="1"/>
  <cols>
    <col min="1" max="11" width="3.57421875" style="1" customWidth="1"/>
    <col min="12" max="12" width="3.57421875" style="28" customWidth="1"/>
    <col min="13" max="45" width="3.57421875" style="1" customWidth="1"/>
    <col min="46" max="46" width="4.421875" style="1" bestFit="1" customWidth="1"/>
    <col min="47" max="73" width="3.57421875" style="1" customWidth="1"/>
    <col min="74" max="74" width="6.421875" style="1" bestFit="1" customWidth="1"/>
    <col min="75" max="75" width="9.140625" style="1" bestFit="1" customWidth="1"/>
    <col min="76" max="83" width="3.57421875" style="1" customWidth="1"/>
    <col min="84" max="84" width="5.421875" style="1" customWidth="1"/>
    <col min="85" max="85" width="12.00390625" style="1" bestFit="1" customWidth="1"/>
    <col min="86" max="86" width="9.421875" style="1" bestFit="1" customWidth="1"/>
    <col min="87" max="87" width="3.57421875" style="1" customWidth="1"/>
    <col min="88" max="88" width="9.421875" style="1" bestFit="1" customWidth="1"/>
    <col min="89" max="90" width="3.57421875" style="1" customWidth="1"/>
    <col min="91" max="91" width="4.421875" style="1" bestFit="1" customWidth="1"/>
    <col min="92" max="92" width="8.421875" style="1" bestFit="1" customWidth="1"/>
    <col min="93" max="93" width="3.57421875" style="1" customWidth="1"/>
    <col min="94" max="94" width="4.8515625" style="1" bestFit="1" customWidth="1"/>
    <col min="95" max="95" width="3.57421875" style="1" customWidth="1"/>
    <col min="96" max="96" width="4.421875" style="1" bestFit="1" customWidth="1"/>
    <col min="97" max="97" width="8.28125" style="1" bestFit="1" customWidth="1"/>
    <col min="98" max="98" width="6.8515625" style="1" bestFit="1" customWidth="1"/>
    <col min="99" max="99" width="9.00390625" style="1" bestFit="1" customWidth="1"/>
    <col min="100" max="100" width="8.7109375" style="1" customWidth="1"/>
    <col min="101" max="101" width="7.28125" style="1" customWidth="1"/>
    <col min="102" max="103" width="7.140625" style="1" customWidth="1"/>
    <col min="104" max="104" width="8.7109375" style="1" customWidth="1"/>
    <col min="105" max="105" width="8.421875" style="1" bestFit="1" customWidth="1"/>
    <col min="106" max="107" width="6.7109375" style="1" customWidth="1"/>
    <col min="108" max="108" width="10.57421875" style="1" bestFit="1" customWidth="1"/>
    <col min="109" max="109" width="3.57421875" style="1" customWidth="1"/>
    <col min="110" max="111" width="6.7109375" style="1" bestFit="1" customWidth="1"/>
    <col min="112" max="113" width="3.57421875" style="1" customWidth="1"/>
    <col min="114" max="115" width="3.7109375" style="1" customWidth="1"/>
    <col min="116" max="117" width="3.57421875" style="1" customWidth="1"/>
    <col min="118" max="194" width="8.7109375" style="1" customWidth="1"/>
    <col min="195" max="16384" width="3.57421875" style="1" customWidth="1"/>
  </cols>
  <sheetData>
    <row r="1" spans="2:42" ht="15.7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29:42" ht="9.75" customHeight="1"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15.75" customHeight="1">
      <c r="B3" s="29" t="s">
        <v>0</v>
      </c>
      <c r="E3" s="202" t="str">
        <f>Cover!A6</f>
        <v>อาคารพาณิชย์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4"/>
      <c r="V3" s="260" t="s">
        <v>34</v>
      </c>
      <c r="W3" s="260"/>
      <c r="X3" s="261"/>
      <c r="Y3" s="264">
        <f ca="1">TODAY()</f>
        <v>40277</v>
      </c>
      <c r="Z3" s="265"/>
      <c r="AA3" s="266"/>
      <c r="AC3" s="106" t="s">
        <v>5</v>
      </c>
      <c r="AD3" s="6"/>
      <c r="AE3" s="6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ht="15.75" customHeight="1">
      <c r="B4" s="29" t="s">
        <v>1</v>
      </c>
      <c r="E4" s="202" t="str">
        <f>Cover!D8</f>
        <v>คุณทดลอง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4"/>
      <c r="V4" s="260" t="s">
        <v>35</v>
      </c>
      <c r="W4" s="260"/>
      <c r="X4" s="261"/>
      <c r="Y4" s="267"/>
      <c r="Z4" s="268"/>
      <c r="AA4" s="269"/>
      <c r="AC4" s="107" t="s">
        <v>6</v>
      </c>
      <c r="AD4" s="6"/>
      <c r="AE4" s="6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154" ht="15.75" customHeight="1">
      <c r="B5" s="29" t="s">
        <v>2</v>
      </c>
      <c r="E5" s="202" t="str">
        <f>Cover!D9</f>
        <v>กทม.</v>
      </c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4"/>
      <c r="V5" s="260"/>
      <c r="W5" s="260"/>
      <c r="X5" s="261"/>
      <c r="Y5" s="267"/>
      <c r="Z5" s="268"/>
      <c r="AA5" s="269"/>
      <c r="AC5" s="4"/>
      <c r="AD5" s="4"/>
      <c r="AE5" s="4"/>
      <c r="AF5" s="4"/>
      <c r="AG5" s="4"/>
      <c r="AH5" s="6"/>
      <c r="AI5" s="4"/>
      <c r="AJ5" s="4"/>
      <c r="AK5" s="4"/>
      <c r="AL5" s="4"/>
      <c r="AM5" s="4"/>
      <c r="AN5" s="4"/>
      <c r="AO5" s="4"/>
      <c r="AP5" s="4"/>
      <c r="CF5" s="1" t="s">
        <v>121</v>
      </c>
      <c r="CG5" s="1">
        <f>B*100</f>
        <v>15</v>
      </c>
      <c r="DY5" s="85"/>
      <c r="DZ5" s="175">
        <f>DO8</f>
        <v>2</v>
      </c>
      <c r="EA5" s="175">
        <f>DO9</f>
        <v>0</v>
      </c>
      <c r="EB5" s="176">
        <f>DO10</f>
        <v>0</v>
      </c>
      <c r="EC5" s="175">
        <f>DO13</f>
        <v>2</v>
      </c>
      <c r="ED5" s="175">
        <f>DO12</f>
        <v>0</v>
      </c>
      <c r="EE5" s="176">
        <f>DO11</f>
        <v>0</v>
      </c>
      <c r="EF5" s="1" t="s">
        <v>228</v>
      </c>
      <c r="EX5" s="30" t="s">
        <v>231</v>
      </c>
    </row>
    <row r="6" spans="2:170" ht="9.7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DY6" s="80"/>
      <c r="DZ6" s="68"/>
      <c r="EA6" s="68"/>
      <c r="EB6" s="72"/>
      <c r="EC6" s="68"/>
      <c r="ED6" s="68"/>
      <c r="EE6" s="72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</row>
    <row r="7" spans="2:170" s="30" customFormat="1" ht="15.75" customHeight="1">
      <c r="B7" s="263" t="s">
        <v>36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C7" s="4" t="s">
        <v>31</v>
      </c>
      <c r="AD7" s="23"/>
      <c r="AE7" s="23"/>
      <c r="AF7" s="23"/>
      <c r="AG7" s="23"/>
      <c r="AH7" s="23"/>
      <c r="AI7" s="23"/>
      <c r="AJ7" s="25"/>
      <c r="AK7" s="23"/>
      <c r="AL7" s="23"/>
      <c r="AM7" s="23"/>
      <c r="AN7" s="23"/>
      <c r="AO7" s="23"/>
      <c r="AP7" s="23"/>
      <c r="CF7" s="30" t="s">
        <v>122</v>
      </c>
      <c r="CG7" s="30">
        <f>dd*100</f>
        <v>26.3</v>
      </c>
      <c r="CK7" s="30">
        <v>0</v>
      </c>
      <c r="CL7" s="258"/>
      <c r="CM7" s="258"/>
      <c r="CR7" s="30">
        <v>1</v>
      </c>
      <c r="DP7" s="32"/>
      <c r="DQ7" s="32"/>
      <c r="DR7" s="32"/>
      <c r="DS7" s="44"/>
      <c r="DT7" s="109" t="s">
        <v>121</v>
      </c>
      <c r="DU7" s="64" t="s">
        <v>209</v>
      </c>
      <c r="DW7" s="56" t="s">
        <v>210</v>
      </c>
      <c r="DX7" s="112"/>
      <c r="DY7" s="53"/>
      <c r="DZ7" s="111" t="s">
        <v>222</v>
      </c>
      <c r="EA7" s="111" t="s">
        <v>223</v>
      </c>
      <c r="EB7" s="118" t="s">
        <v>224</v>
      </c>
      <c r="EC7" s="111" t="s">
        <v>225</v>
      </c>
      <c r="ED7" s="111" t="s">
        <v>226</v>
      </c>
      <c r="EE7" s="118" t="s">
        <v>227</v>
      </c>
      <c r="EF7" s="127"/>
      <c r="EG7" s="112">
        <v>1</v>
      </c>
      <c r="EH7" s="112">
        <v>2</v>
      </c>
      <c r="EI7" s="112">
        <v>3</v>
      </c>
      <c r="EJ7" s="112">
        <v>4</v>
      </c>
      <c r="EK7" s="112">
        <v>5</v>
      </c>
      <c r="EL7" s="112">
        <v>6</v>
      </c>
      <c r="EM7" s="112">
        <v>7</v>
      </c>
      <c r="EN7" s="112">
        <v>8</v>
      </c>
      <c r="EO7" s="112">
        <v>9</v>
      </c>
      <c r="EP7" s="112">
        <v>10</v>
      </c>
      <c r="EQ7" s="112">
        <v>11</v>
      </c>
      <c r="ER7" s="112">
        <v>12</v>
      </c>
      <c r="ES7" s="112">
        <v>13</v>
      </c>
      <c r="ET7" s="112">
        <v>14</v>
      </c>
      <c r="EU7" s="112">
        <v>15</v>
      </c>
      <c r="EV7" s="127">
        <v>16</v>
      </c>
      <c r="EX7" s="56"/>
      <c r="EY7" s="112">
        <v>1</v>
      </c>
      <c r="EZ7" s="112">
        <v>2</v>
      </c>
      <c r="FA7" s="112">
        <v>3</v>
      </c>
      <c r="FB7" s="112">
        <v>4</v>
      </c>
      <c r="FC7" s="112">
        <v>5</v>
      </c>
      <c r="FD7" s="112">
        <v>6</v>
      </c>
      <c r="FE7" s="112">
        <v>7</v>
      </c>
      <c r="FF7" s="112">
        <v>8</v>
      </c>
      <c r="FG7" s="112">
        <v>9</v>
      </c>
      <c r="FH7" s="112">
        <v>10</v>
      </c>
      <c r="FI7" s="112">
        <v>11</v>
      </c>
      <c r="FJ7" s="112">
        <v>12</v>
      </c>
      <c r="FK7" s="112">
        <v>13</v>
      </c>
      <c r="FL7" s="112">
        <v>14</v>
      </c>
      <c r="FM7" s="112">
        <v>15</v>
      </c>
      <c r="FN7" s="127">
        <v>16</v>
      </c>
    </row>
    <row r="8" spans="2:170" s="30" customFormat="1" ht="15.75" customHeight="1">
      <c r="B8" s="31" t="s">
        <v>207</v>
      </c>
      <c r="L8" s="32"/>
      <c r="Q8" s="31" t="s">
        <v>114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CF8" s="30" t="s">
        <v>136</v>
      </c>
      <c r="CG8" s="30">
        <f>d_*100</f>
        <v>3.7000000000000006</v>
      </c>
      <c r="CK8" s="30">
        <v>1</v>
      </c>
      <c r="CL8" s="257" t="s">
        <v>61</v>
      </c>
      <c r="CM8" s="257"/>
      <c r="CR8" s="30">
        <v>2</v>
      </c>
      <c r="CS8" s="30" t="s">
        <v>66</v>
      </c>
      <c r="CU8" s="33">
        <v>1.2</v>
      </c>
      <c r="CV8" s="30">
        <v>1</v>
      </c>
      <c r="CW8" s="30">
        <v>1.13</v>
      </c>
      <c r="DN8" s="44" t="s">
        <v>214</v>
      </c>
      <c r="DO8" s="45">
        <f>CU17</f>
        <v>2</v>
      </c>
      <c r="DP8" s="128">
        <f aca="true" t="shared" si="0" ref="DP8:DP13">$DT$18</f>
        <v>0.09333333333333334</v>
      </c>
      <c r="DQ8" s="128">
        <f>IF(DO8=1,$DT$18,IF(DO8&gt;1,DS$18/(DO8-1)))</f>
        <v>0.18666666666666668</v>
      </c>
      <c r="DR8" s="126">
        <f aca="true" t="shared" si="1" ref="DR8:DR13">(DP8-DQ8)</f>
        <v>-0.09333333333333334</v>
      </c>
      <c r="DS8" s="37" t="s">
        <v>212</v>
      </c>
      <c r="DT8" s="124">
        <f>B</f>
        <v>0.15</v>
      </c>
      <c r="DU8" s="110">
        <f>D</f>
        <v>0.3</v>
      </c>
      <c r="DV8" s="38"/>
      <c r="DW8" s="131">
        <f>(-$DT$9*$DV$10)</f>
        <v>-0.2</v>
      </c>
      <c r="DX8" s="61">
        <f>($DU$9*$DV$10)</f>
        <v>0.4</v>
      </c>
      <c r="DY8" s="117">
        <v>1</v>
      </c>
      <c r="DZ8" s="124">
        <f>VLOOKUP(1,$EX$8:$FN$23,DZ$5+1,TRUE)</f>
        <v>0</v>
      </c>
      <c r="EA8" s="124">
        <f>VLOOKUP(1,$EX$27:$FN$42,EA$5+1,TRUE)</f>
        <v>1</v>
      </c>
      <c r="EB8" s="110">
        <f>VLOOKUP(1,$EX$46:$FN$61,EB$5+1,TRUE)</f>
        <v>1</v>
      </c>
      <c r="EC8" s="124">
        <f>VLOOKUP(1,$EF$8:$EV$23,EC$5+1,TRUE)</f>
        <v>0</v>
      </c>
      <c r="ED8" s="124">
        <f>VLOOKUP(1,EF27:EV42,ED$5+1,TRUE)</f>
        <v>1</v>
      </c>
      <c r="EE8" s="110">
        <f>VLOOKUP(1,EF46:EV61,EE$5+1,TRUE)</f>
        <v>1</v>
      </c>
      <c r="EF8" s="52">
        <v>1</v>
      </c>
      <c r="EG8" s="124">
        <f>$DP$13-$DP$13</f>
        <v>0</v>
      </c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52"/>
      <c r="EX8" s="120">
        <v>1</v>
      </c>
      <c r="EY8" s="124">
        <f>$DP$8-$DP$8</f>
        <v>0</v>
      </c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52"/>
    </row>
    <row r="9" spans="2:170" s="30" customFormat="1" ht="15.75" customHeight="1">
      <c r="B9" s="30" t="s">
        <v>37</v>
      </c>
      <c r="L9" s="32" t="s">
        <v>3</v>
      </c>
      <c r="M9" s="230">
        <v>3000</v>
      </c>
      <c r="N9" s="230"/>
      <c r="O9" s="230"/>
      <c r="Q9" s="30" t="s">
        <v>115</v>
      </c>
      <c r="R9" s="32"/>
      <c r="T9" s="32"/>
      <c r="V9" s="32" t="s">
        <v>3</v>
      </c>
      <c r="W9" s="208">
        <f>Es/Ec</f>
        <v>10.257825921892852</v>
      </c>
      <c r="X9" s="208"/>
      <c r="Y9" s="208"/>
      <c r="Z9" s="208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CF9" s="30" t="s">
        <v>236</v>
      </c>
      <c r="CG9" s="30">
        <f>DL27*100</f>
        <v>3.7000000000000006</v>
      </c>
      <c r="CK9" s="30">
        <v>2</v>
      </c>
      <c r="CL9" s="259" t="s">
        <v>79</v>
      </c>
      <c r="CM9" s="259"/>
      <c r="CR9" s="30">
        <v>3</v>
      </c>
      <c r="CS9" s="30" t="s">
        <v>67</v>
      </c>
      <c r="CU9" s="33">
        <v>1.6</v>
      </c>
      <c r="CV9" s="30">
        <v>2</v>
      </c>
      <c r="CW9" s="30">
        <v>2.01</v>
      </c>
      <c r="DN9" s="48" t="s">
        <v>215</v>
      </c>
      <c r="DO9" s="37">
        <f>CU18</f>
        <v>0</v>
      </c>
      <c r="DP9" s="124">
        <f t="shared" si="0"/>
        <v>0.09333333333333334</v>
      </c>
      <c r="DQ9" s="124" t="b">
        <f>IF(DO9=1,$DT$18,IF(DO9&gt;1,DS$18/(DO9-1)))</f>
        <v>0</v>
      </c>
      <c r="DR9" s="110">
        <f t="shared" si="1"/>
        <v>0.09333333333333334</v>
      </c>
      <c r="DS9" s="54"/>
      <c r="DT9" s="125">
        <f>DT8/2</f>
        <v>0.075</v>
      </c>
      <c r="DU9" s="113">
        <f>DU8/2</f>
        <v>0.15</v>
      </c>
      <c r="DV9" s="34">
        <f>MAX(DT9:DU9)</f>
        <v>0.15</v>
      </c>
      <c r="DW9" s="131">
        <f>($DT$9*$DV$10)</f>
        <v>0.2</v>
      </c>
      <c r="DX9" s="61">
        <f>($DU$9*$DV$10)</f>
        <v>0.4</v>
      </c>
      <c r="DY9" s="117">
        <v>2</v>
      </c>
      <c r="DZ9" s="124">
        <f>VLOOKUP(2,$EX$8:$FN$23,DZ$5+1,TRUE)</f>
        <v>0.09333333333333334</v>
      </c>
      <c r="EA9" s="124">
        <f>VLOOKUP(2,$EX$27:$FN$42,EA$5+1,TRUE)</f>
        <v>2</v>
      </c>
      <c r="EB9" s="110">
        <f>VLOOKUP(2,$EX$46:$FN$61,EB$5+1,TRUE)</f>
        <v>2</v>
      </c>
      <c r="EC9" s="124">
        <f>VLOOKUP(2,$EF$8:$EV$23,EC$5+1,TRUE)</f>
        <v>0.09333333333333334</v>
      </c>
      <c r="ED9" s="124">
        <f>VLOOKUP(2,$EF$27:$EV$42,ED$5+1,TRUE)</f>
        <v>2</v>
      </c>
      <c r="EE9" s="110">
        <f>VLOOKUP(2,$EF$46:$EV$61,EE$5+1,TRUE)</f>
        <v>2</v>
      </c>
      <c r="EF9" s="52">
        <v>2</v>
      </c>
      <c r="EG9" s="89"/>
      <c r="EH9" s="124">
        <f>DQ53</f>
        <v>0.09333333333333334</v>
      </c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49"/>
      <c r="EX9" s="120">
        <v>2</v>
      </c>
      <c r="EY9" s="89"/>
      <c r="EZ9" s="124">
        <f>DY59</f>
        <v>0.09333333333333334</v>
      </c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49"/>
    </row>
    <row r="10" spans="2:170" s="30" customFormat="1" ht="15.75" customHeight="1">
      <c r="B10" s="30" t="s">
        <v>38</v>
      </c>
      <c r="L10" s="32" t="s">
        <v>3</v>
      </c>
      <c r="M10" s="230">
        <v>2040000</v>
      </c>
      <c r="N10" s="230"/>
      <c r="O10" s="230"/>
      <c r="Q10" s="30" t="s">
        <v>116</v>
      </c>
      <c r="V10" s="32" t="s">
        <v>3</v>
      </c>
      <c r="W10" s="206">
        <f>1/(1+(fs/(n*fc)))</f>
        <v>0.3073117948842602</v>
      </c>
      <c r="X10" s="206"/>
      <c r="Y10" s="206"/>
      <c r="Z10" s="206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CE10" s="30" t="s">
        <v>119</v>
      </c>
      <c r="CF10" s="30" t="s">
        <v>3</v>
      </c>
      <c r="CG10" s="30">
        <f>0.5*fy</f>
        <v>1500</v>
      </c>
      <c r="CK10" s="30">
        <v>3</v>
      </c>
      <c r="CL10" s="257" t="s">
        <v>80</v>
      </c>
      <c r="CM10" s="257"/>
      <c r="CR10" s="30">
        <v>4</v>
      </c>
      <c r="CS10" s="30" t="s">
        <v>68</v>
      </c>
      <c r="CU10" s="30">
        <v>2</v>
      </c>
      <c r="CV10" s="30">
        <v>3</v>
      </c>
      <c r="CW10" s="30">
        <v>3.14</v>
      </c>
      <c r="DB10" s="30" t="s">
        <v>93</v>
      </c>
      <c r="DC10" s="30">
        <f>Covering*100</f>
        <v>2.5</v>
      </c>
      <c r="DN10" s="48" t="s">
        <v>216</v>
      </c>
      <c r="DO10" s="37">
        <f>CU19</f>
        <v>0</v>
      </c>
      <c r="DP10" s="124">
        <f t="shared" si="0"/>
        <v>0.09333333333333334</v>
      </c>
      <c r="DQ10" s="124" t="b">
        <f>IF(DO10=1,$DT$18,IF(DO10&gt;1,DS$18/(DO10-1)))</f>
        <v>0</v>
      </c>
      <c r="DR10" s="110">
        <f t="shared" si="1"/>
        <v>0.09333333333333334</v>
      </c>
      <c r="DT10" s="108"/>
      <c r="DU10" s="108"/>
      <c r="DV10" s="34">
        <f>0.4/DV9</f>
        <v>2.666666666666667</v>
      </c>
      <c r="DW10" s="131">
        <f>($DT$9*$DV$10)</f>
        <v>0.2</v>
      </c>
      <c r="DX10" s="61">
        <f>(-$DU$9*$DV$10)</f>
        <v>-0.4</v>
      </c>
      <c r="DY10" s="117">
        <v>3</v>
      </c>
      <c r="DZ10" s="124">
        <f>VLOOKUP(3,$EX$8:$FN$23,DZ$5+1,TRUE)</f>
        <v>0</v>
      </c>
      <c r="EA10" s="124">
        <f>VLOOKUP(3,$EX$27:$FN$42,EA$5+1,TRUE)</f>
        <v>3</v>
      </c>
      <c r="EB10" s="110">
        <f>VLOOKUP(3,$EX$46:$FN$61,EB$5+1,TRUE)</f>
        <v>3</v>
      </c>
      <c r="EC10" s="124">
        <f>VLOOKUP(3,$EF$8:$EV$23,EC$5+1,TRUE)</f>
        <v>0</v>
      </c>
      <c r="ED10" s="124">
        <f>VLOOKUP(3,$EF$27:$EV$42,ED$5+1,TRUE)</f>
        <v>3</v>
      </c>
      <c r="EE10" s="110">
        <f>VLOOKUP(3,$EF$46:$EV$61,EE$5+1,TRUE)</f>
        <v>3</v>
      </c>
      <c r="EF10" s="52">
        <v>3</v>
      </c>
      <c r="EG10" s="89"/>
      <c r="EH10" s="61"/>
      <c r="EI10" s="124">
        <f>$DR$13</f>
        <v>-0.09333333333333334</v>
      </c>
      <c r="EJ10" s="124">
        <f aca="true" t="shared" si="2" ref="EJ10:EV10">-$DR$13</f>
        <v>0.09333333333333334</v>
      </c>
      <c r="EK10" s="124">
        <f t="shared" si="2"/>
        <v>0.09333333333333334</v>
      </c>
      <c r="EL10" s="124">
        <f t="shared" si="2"/>
        <v>0.09333333333333334</v>
      </c>
      <c r="EM10" s="124">
        <f t="shared" si="2"/>
        <v>0.09333333333333334</v>
      </c>
      <c r="EN10" s="124">
        <f t="shared" si="2"/>
        <v>0.09333333333333334</v>
      </c>
      <c r="EO10" s="124">
        <f t="shared" si="2"/>
        <v>0.09333333333333334</v>
      </c>
      <c r="EP10" s="124">
        <f t="shared" si="2"/>
        <v>0.09333333333333334</v>
      </c>
      <c r="EQ10" s="124">
        <f t="shared" si="2"/>
        <v>0.09333333333333334</v>
      </c>
      <c r="ER10" s="124">
        <f t="shared" si="2"/>
        <v>0.09333333333333334</v>
      </c>
      <c r="ES10" s="124">
        <f t="shared" si="2"/>
        <v>0.09333333333333334</v>
      </c>
      <c r="ET10" s="124">
        <f t="shared" si="2"/>
        <v>0.09333333333333334</v>
      </c>
      <c r="EU10" s="124">
        <f t="shared" si="2"/>
        <v>0.09333333333333334</v>
      </c>
      <c r="EV10" s="110">
        <f t="shared" si="2"/>
        <v>0.09333333333333334</v>
      </c>
      <c r="EX10" s="120">
        <v>3</v>
      </c>
      <c r="EY10" s="89"/>
      <c r="EZ10" s="61"/>
      <c r="FA10" s="124">
        <f>$DR$8</f>
        <v>-0.09333333333333334</v>
      </c>
      <c r="FB10" s="124">
        <f>-$DR$8</f>
        <v>0.09333333333333334</v>
      </c>
      <c r="FC10" s="124">
        <f>-$DR$8</f>
        <v>0.09333333333333334</v>
      </c>
      <c r="FD10" s="124">
        <f aca="true" t="shared" si="3" ref="FD10:FN10">-$DR$8</f>
        <v>0.09333333333333334</v>
      </c>
      <c r="FE10" s="124">
        <f t="shared" si="3"/>
        <v>0.09333333333333334</v>
      </c>
      <c r="FF10" s="124">
        <f t="shared" si="3"/>
        <v>0.09333333333333334</v>
      </c>
      <c r="FG10" s="124">
        <f t="shared" si="3"/>
        <v>0.09333333333333334</v>
      </c>
      <c r="FH10" s="124">
        <f t="shared" si="3"/>
        <v>0.09333333333333334</v>
      </c>
      <c r="FI10" s="124">
        <f t="shared" si="3"/>
        <v>0.09333333333333334</v>
      </c>
      <c r="FJ10" s="124">
        <f t="shared" si="3"/>
        <v>0.09333333333333334</v>
      </c>
      <c r="FK10" s="124">
        <f t="shared" si="3"/>
        <v>0.09333333333333334</v>
      </c>
      <c r="FL10" s="124">
        <f t="shared" si="3"/>
        <v>0.09333333333333334</v>
      </c>
      <c r="FM10" s="124">
        <f t="shared" si="3"/>
        <v>0.09333333333333334</v>
      </c>
      <c r="FN10" s="110">
        <f t="shared" si="3"/>
        <v>0.09333333333333334</v>
      </c>
    </row>
    <row r="11" spans="2:170" s="30" customFormat="1" ht="15.75" customHeight="1">
      <c r="B11" s="30" t="s">
        <v>110</v>
      </c>
      <c r="L11" s="32" t="s">
        <v>3</v>
      </c>
      <c r="M11" s="270">
        <f>CG11</f>
        <v>1500</v>
      </c>
      <c r="N11" s="270"/>
      <c r="O11" s="270"/>
      <c r="Q11" s="30" t="s">
        <v>117</v>
      </c>
      <c r="V11" s="32" t="s">
        <v>3</v>
      </c>
      <c r="W11" s="206">
        <f>1-(k/3)</f>
        <v>0.89756273503858</v>
      </c>
      <c r="X11" s="206"/>
      <c r="Y11" s="206"/>
      <c r="Z11" s="206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CG11" s="30">
        <f>IF(CG10&lt;=1700,CG10,IF(CG10&gt;1700,1700))</f>
        <v>1500</v>
      </c>
      <c r="CI11" s="30">
        <f>R_</f>
        <v>8.947288015647407</v>
      </c>
      <c r="CK11" s="30">
        <v>4</v>
      </c>
      <c r="CL11" s="257" t="s">
        <v>84</v>
      </c>
      <c r="CM11" s="257"/>
      <c r="CR11" s="30">
        <v>5</v>
      </c>
      <c r="CS11" s="30" t="s">
        <v>69</v>
      </c>
      <c r="CU11" s="33">
        <v>2.5</v>
      </c>
      <c r="CV11" s="30">
        <v>4</v>
      </c>
      <c r="CW11" s="30">
        <v>4.91</v>
      </c>
      <c r="DN11" s="48" t="s">
        <v>217</v>
      </c>
      <c r="DO11" s="37">
        <f>CU23</f>
        <v>0</v>
      </c>
      <c r="DP11" s="124">
        <f t="shared" si="0"/>
        <v>0.09333333333333334</v>
      </c>
      <c r="DQ11" s="124" t="b">
        <f>IF(DO11=1,$DT$18,IF(DO11&gt;1,DS$18/(DO11-1)))</f>
        <v>0</v>
      </c>
      <c r="DR11" s="110">
        <f t="shared" si="1"/>
        <v>0.09333333333333334</v>
      </c>
      <c r="DS11" s="45" t="s">
        <v>60</v>
      </c>
      <c r="DT11" s="128">
        <f>DT8-(2*Covering)</f>
        <v>0.09999999999999999</v>
      </c>
      <c r="DU11" s="126">
        <f>DU8-(2*Covering)</f>
        <v>0.25</v>
      </c>
      <c r="DW11" s="131">
        <f>(-$DT$9*$DV$10)</f>
        <v>-0.2</v>
      </c>
      <c r="DX11" s="61">
        <f>(-$DU$9*$DV$10)</f>
        <v>-0.4</v>
      </c>
      <c r="DY11" s="117">
        <v>4</v>
      </c>
      <c r="DZ11" s="124">
        <f>VLOOKUP(4,$EX$8:$FN$23,DZ$5+1,TRUE)</f>
        <v>0</v>
      </c>
      <c r="EA11" s="124">
        <f>VLOOKUP(4,$EX$27:$FN$42,EA$5+1,TRUE)</f>
        <v>4</v>
      </c>
      <c r="EB11" s="110">
        <f>VLOOKUP(4,$EX$46:$FN$61,EB$5+1,TRUE)</f>
        <v>4</v>
      </c>
      <c r="EC11" s="124">
        <f>VLOOKUP(4,$EF$8:$EV$23,EC$5+1,TRUE)</f>
        <v>0</v>
      </c>
      <c r="ED11" s="124">
        <f>VLOOKUP(4,$EF$27:$EV$42,ED$5+1,TRUE)</f>
        <v>4</v>
      </c>
      <c r="EE11" s="110">
        <f>VLOOKUP(4,$EF$46:$EV$61,EE$5+1,TRUE)</f>
        <v>4</v>
      </c>
      <c r="EF11" s="52">
        <v>4</v>
      </c>
      <c r="EG11" s="89"/>
      <c r="EH11" s="61"/>
      <c r="EI11" s="61"/>
      <c r="EJ11" s="124">
        <f>$DR$13</f>
        <v>-0.09333333333333334</v>
      </c>
      <c r="EK11" s="124">
        <f>$DP$13-$DP$13</f>
        <v>0</v>
      </c>
      <c r="EL11" s="124">
        <f aca="true" t="shared" si="4" ref="EL11:EV11">-$DR$13+$DQ$14</f>
        <v>0.28</v>
      </c>
      <c r="EM11" s="124">
        <f t="shared" si="4"/>
        <v>0.28</v>
      </c>
      <c r="EN11" s="124">
        <f t="shared" si="4"/>
        <v>0.28</v>
      </c>
      <c r="EO11" s="124">
        <f t="shared" si="4"/>
        <v>0.28</v>
      </c>
      <c r="EP11" s="124">
        <f t="shared" si="4"/>
        <v>0.28</v>
      </c>
      <c r="EQ11" s="124">
        <f t="shared" si="4"/>
        <v>0.28</v>
      </c>
      <c r="ER11" s="124">
        <f t="shared" si="4"/>
        <v>0.28</v>
      </c>
      <c r="ES11" s="124">
        <f t="shared" si="4"/>
        <v>0.28</v>
      </c>
      <c r="ET11" s="124">
        <f t="shared" si="4"/>
        <v>0.28</v>
      </c>
      <c r="EU11" s="124">
        <f t="shared" si="4"/>
        <v>0.28</v>
      </c>
      <c r="EV11" s="110">
        <f t="shared" si="4"/>
        <v>0.28</v>
      </c>
      <c r="EX11" s="120">
        <v>4</v>
      </c>
      <c r="EY11" s="89"/>
      <c r="EZ11" s="61"/>
      <c r="FA11" s="61"/>
      <c r="FB11" s="124">
        <f>$DR$8</f>
        <v>-0.09333333333333334</v>
      </c>
      <c r="FC11" s="124">
        <f>$DP$8-$DP$8</f>
        <v>0</v>
      </c>
      <c r="FD11" s="124">
        <f>-$DR$8+$DQ$8</f>
        <v>0.28</v>
      </c>
      <c r="FE11" s="124">
        <f aca="true" t="shared" si="5" ref="FE11:FN11">-$DR$8+$DQ$8</f>
        <v>0.28</v>
      </c>
      <c r="FF11" s="124">
        <f t="shared" si="5"/>
        <v>0.28</v>
      </c>
      <c r="FG11" s="124">
        <f t="shared" si="5"/>
        <v>0.28</v>
      </c>
      <c r="FH11" s="124">
        <f t="shared" si="5"/>
        <v>0.28</v>
      </c>
      <c r="FI11" s="124">
        <f t="shared" si="5"/>
        <v>0.28</v>
      </c>
      <c r="FJ11" s="124">
        <f t="shared" si="5"/>
        <v>0.28</v>
      </c>
      <c r="FK11" s="124">
        <f t="shared" si="5"/>
        <v>0.28</v>
      </c>
      <c r="FL11" s="124">
        <f t="shared" si="5"/>
        <v>0.28</v>
      </c>
      <c r="FM11" s="124">
        <f t="shared" si="5"/>
        <v>0.28</v>
      </c>
      <c r="FN11" s="110">
        <f t="shared" si="5"/>
        <v>0.28</v>
      </c>
    </row>
    <row r="12" spans="2:170" s="30" customFormat="1" ht="15.75" customHeight="1">
      <c r="B12" s="30" t="s">
        <v>39</v>
      </c>
      <c r="L12" s="32" t="s">
        <v>3</v>
      </c>
      <c r="M12" s="230">
        <v>173</v>
      </c>
      <c r="N12" s="230"/>
      <c r="O12" s="230"/>
      <c r="Q12" s="30" t="s">
        <v>118</v>
      </c>
      <c r="V12" s="32" t="s">
        <v>3</v>
      </c>
      <c r="W12" s="206">
        <f>0.5*fc*k*j</f>
        <v>8.947288015647407</v>
      </c>
      <c r="X12" s="206"/>
      <c r="Y12" s="206"/>
      <c r="Z12" s="206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CE12" s="30" t="s">
        <v>120</v>
      </c>
      <c r="CF12" s="30" t="s">
        <v>3</v>
      </c>
      <c r="CG12" s="35">
        <f>IF(BV41=2,R_*B*d_1^2,IF(BV41=1,BV44*R_*B*d_1^2))</f>
        <v>928.3124471314733</v>
      </c>
      <c r="CK12" s="30">
        <v>5</v>
      </c>
      <c r="CL12" s="257" t="s">
        <v>82</v>
      </c>
      <c r="CM12" s="257"/>
      <c r="CR12" s="30">
        <v>6</v>
      </c>
      <c r="CS12" s="30" t="s">
        <v>70</v>
      </c>
      <c r="CU12" s="33">
        <v>2.8</v>
      </c>
      <c r="CV12" s="30">
        <v>5</v>
      </c>
      <c r="CW12" s="30">
        <v>6.16</v>
      </c>
      <c r="DN12" s="48" t="s">
        <v>218</v>
      </c>
      <c r="DO12" s="37">
        <f>CU24</f>
        <v>0</v>
      </c>
      <c r="DP12" s="124">
        <f t="shared" si="0"/>
        <v>0.09333333333333334</v>
      </c>
      <c r="DQ12" s="124" t="b">
        <f>IF(DO12=1,$DT$18,IF(DO12&gt;1,DS$18/(DO12-1)))</f>
        <v>0</v>
      </c>
      <c r="DR12" s="110">
        <f t="shared" si="1"/>
        <v>0.09333333333333334</v>
      </c>
      <c r="DS12" s="37"/>
      <c r="DT12" s="124">
        <f>DT11/2</f>
        <v>0.049999999999999996</v>
      </c>
      <c r="DU12" s="110">
        <f>DU11/2</f>
        <v>0.125</v>
      </c>
      <c r="DW12" s="132">
        <f>(-$DT$9*$DV$10)</f>
        <v>-0.2</v>
      </c>
      <c r="DX12" s="111">
        <f>($DU$9*$DV$10)</f>
        <v>0.4</v>
      </c>
      <c r="DY12" s="117">
        <v>5</v>
      </c>
      <c r="DZ12" s="124">
        <f>VLOOKUP(5,$EX$8:$FN$23,DZ$5+1,TRUE)</f>
        <v>0</v>
      </c>
      <c r="EA12" s="124">
        <f>VLOOKUP(5,$EX$27:$FN$42,EA$5+1,TRUE)</f>
        <v>5</v>
      </c>
      <c r="EB12" s="110">
        <f>VLOOKUP(5,$EX$46:$FN$61,EB$5+1,TRUE)</f>
        <v>5</v>
      </c>
      <c r="EC12" s="124">
        <f>VLOOKUP(5,$EF$8:$EV$23,EC$5+1,TRUE)</f>
        <v>0</v>
      </c>
      <c r="ED12" s="124">
        <f>VLOOKUP(5,$EF$27:$EV$42,ED$5+1,TRUE)</f>
        <v>5</v>
      </c>
      <c r="EE12" s="110">
        <f>VLOOKUP(5,$EF$46:$EV$61,EE$5+1,TRUE)</f>
        <v>5</v>
      </c>
      <c r="EF12" s="52">
        <v>5</v>
      </c>
      <c r="EG12" s="89"/>
      <c r="EH12" s="61"/>
      <c r="EI12" s="61"/>
      <c r="EJ12" s="61"/>
      <c r="EK12" s="124">
        <f>$DR$13</f>
        <v>-0.09333333333333334</v>
      </c>
      <c r="EL12" s="124">
        <f>$DR$13-$DQ$14</f>
        <v>-0.28</v>
      </c>
      <c r="EM12" s="124">
        <f>$DP$13-$DP$13</f>
        <v>0</v>
      </c>
      <c r="EN12" s="124">
        <f aca="true" t="shared" si="6" ref="EN12:EV12">-$DR$13+($DQ$14*2)</f>
        <v>0.4666666666666667</v>
      </c>
      <c r="EO12" s="124">
        <f t="shared" si="6"/>
        <v>0.4666666666666667</v>
      </c>
      <c r="EP12" s="124">
        <f t="shared" si="6"/>
        <v>0.4666666666666667</v>
      </c>
      <c r="EQ12" s="124">
        <f t="shared" si="6"/>
        <v>0.4666666666666667</v>
      </c>
      <c r="ER12" s="124">
        <f t="shared" si="6"/>
        <v>0.4666666666666667</v>
      </c>
      <c r="ES12" s="124">
        <f t="shared" si="6"/>
        <v>0.4666666666666667</v>
      </c>
      <c r="ET12" s="124">
        <f t="shared" si="6"/>
        <v>0.4666666666666667</v>
      </c>
      <c r="EU12" s="124">
        <f t="shared" si="6"/>
        <v>0.4666666666666667</v>
      </c>
      <c r="EV12" s="110">
        <f t="shared" si="6"/>
        <v>0.4666666666666667</v>
      </c>
      <c r="EX12" s="120">
        <v>5</v>
      </c>
      <c r="EY12" s="89"/>
      <c r="EZ12" s="61"/>
      <c r="FA12" s="61"/>
      <c r="FB12" s="61"/>
      <c r="FC12" s="124">
        <f>$DR$8</f>
        <v>-0.09333333333333334</v>
      </c>
      <c r="FD12" s="124">
        <f>$DR$8-$DQ$8</f>
        <v>-0.28</v>
      </c>
      <c r="FE12" s="124">
        <f>$DP$8-$DP$8</f>
        <v>0</v>
      </c>
      <c r="FF12" s="124">
        <f>-$DR$8+($DQ$8*2)</f>
        <v>0.4666666666666667</v>
      </c>
      <c r="FG12" s="124">
        <f aca="true" t="shared" si="7" ref="FG12:FN12">-$DR$8+($DQ$8*2)</f>
        <v>0.4666666666666667</v>
      </c>
      <c r="FH12" s="124">
        <f t="shared" si="7"/>
        <v>0.4666666666666667</v>
      </c>
      <c r="FI12" s="124">
        <f t="shared" si="7"/>
        <v>0.4666666666666667</v>
      </c>
      <c r="FJ12" s="124">
        <f t="shared" si="7"/>
        <v>0.4666666666666667</v>
      </c>
      <c r="FK12" s="124">
        <f t="shared" si="7"/>
        <v>0.4666666666666667</v>
      </c>
      <c r="FL12" s="124">
        <f t="shared" si="7"/>
        <v>0.4666666666666667</v>
      </c>
      <c r="FM12" s="124">
        <f t="shared" si="7"/>
        <v>0.4666666666666667</v>
      </c>
      <c r="FN12" s="110">
        <f t="shared" si="7"/>
        <v>0.4666666666666667</v>
      </c>
    </row>
    <row r="13" spans="2:170" s="30" customFormat="1" ht="15.75" customHeight="1" thickBot="1">
      <c r="B13" s="30" t="s">
        <v>111</v>
      </c>
      <c r="L13" s="32" t="s">
        <v>3</v>
      </c>
      <c r="M13" s="271">
        <v>0.375</v>
      </c>
      <c r="N13" s="271"/>
      <c r="O13" s="271"/>
      <c r="W13" s="32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CE13" s="30" t="s">
        <v>122</v>
      </c>
      <c r="CF13" s="30" t="s">
        <v>3</v>
      </c>
      <c r="CG13" s="33">
        <f>SQRT((Mmax*100)/(B_1*d_1))</f>
        <v>0</v>
      </c>
      <c r="CK13" s="30">
        <v>6</v>
      </c>
      <c r="CL13" s="257" t="s">
        <v>83</v>
      </c>
      <c r="CM13" s="257"/>
      <c r="CR13" s="30">
        <v>7</v>
      </c>
      <c r="CS13" s="30" t="s">
        <v>71</v>
      </c>
      <c r="CU13" s="33">
        <v>3.2</v>
      </c>
      <c r="CV13" s="30">
        <v>6</v>
      </c>
      <c r="CW13" s="30">
        <v>8.04</v>
      </c>
      <c r="DN13" s="48" t="s">
        <v>219</v>
      </c>
      <c r="DO13" s="37">
        <f>CU25</f>
        <v>2</v>
      </c>
      <c r="DP13" s="124">
        <f t="shared" si="0"/>
        <v>0.09333333333333334</v>
      </c>
      <c r="DQ13" s="124">
        <f>IF(DO13=1,$DT$18,IF(DO13&gt;1,DS18/(DO13-1)))</f>
        <v>0.18666666666666668</v>
      </c>
      <c r="DR13" s="110">
        <f t="shared" si="1"/>
        <v>-0.09333333333333334</v>
      </c>
      <c r="DS13" s="54"/>
      <c r="DT13" s="125">
        <f>DT12*DV10</f>
        <v>0.13333333333333333</v>
      </c>
      <c r="DU13" s="113">
        <f>DU12*DV10</f>
        <v>0.33333333333333337</v>
      </c>
      <c r="DW13" s="32"/>
      <c r="DX13" s="32"/>
      <c r="DY13" s="117">
        <v>6</v>
      </c>
      <c r="DZ13" s="124">
        <f>VLOOKUP(6,$EX$8:$FN$23,DZ$5+1,TRUE)</f>
        <v>0</v>
      </c>
      <c r="EA13" s="124">
        <f>VLOOKUP(6,$EX$27:$FN$42,EA$5+1,TRUE)</f>
        <v>6</v>
      </c>
      <c r="EB13" s="110">
        <f>VLOOKUP(6,$EX$46:$FN$61,EB$5+1,TRUE)</f>
        <v>6</v>
      </c>
      <c r="EC13" s="124">
        <f>VLOOKUP(6,$EF$8:$EV$23,EC$5+1,TRUE)</f>
        <v>0</v>
      </c>
      <c r="ED13" s="124">
        <f>VLOOKUP(6,$EF$27:$EV$42,ED$5+1,TRUE)</f>
        <v>6</v>
      </c>
      <c r="EE13" s="110">
        <f>VLOOKUP(6,$EF$46:$EV$61,EE$5+1,TRUE)</f>
        <v>6</v>
      </c>
      <c r="EF13" s="52">
        <v>6</v>
      </c>
      <c r="EG13" s="89"/>
      <c r="EH13" s="61"/>
      <c r="EI13" s="61"/>
      <c r="EJ13" s="61"/>
      <c r="EK13" s="61"/>
      <c r="EL13" s="124">
        <f>$DR$13</f>
        <v>-0.09333333333333334</v>
      </c>
      <c r="EM13" s="124">
        <f>$DR$13-$DQ$14</f>
        <v>-0.28</v>
      </c>
      <c r="EN13" s="124">
        <f>$DR$13-($DQ$14*2)</f>
        <v>-0.4666666666666667</v>
      </c>
      <c r="EO13" s="124">
        <f>$DP$13-$DP$13</f>
        <v>0</v>
      </c>
      <c r="EP13" s="124">
        <f aca="true" t="shared" si="8" ref="EP13:EV13">-$DR$13+($DQ$14*3)</f>
        <v>0.6533333333333334</v>
      </c>
      <c r="EQ13" s="124">
        <f t="shared" si="8"/>
        <v>0.6533333333333334</v>
      </c>
      <c r="ER13" s="124">
        <f t="shared" si="8"/>
        <v>0.6533333333333334</v>
      </c>
      <c r="ES13" s="124">
        <f t="shared" si="8"/>
        <v>0.6533333333333334</v>
      </c>
      <c r="ET13" s="124">
        <f t="shared" si="8"/>
        <v>0.6533333333333334</v>
      </c>
      <c r="EU13" s="124">
        <f t="shared" si="8"/>
        <v>0.6533333333333334</v>
      </c>
      <c r="EV13" s="110">
        <f t="shared" si="8"/>
        <v>0.6533333333333334</v>
      </c>
      <c r="EX13" s="120">
        <v>6</v>
      </c>
      <c r="EY13" s="89"/>
      <c r="EZ13" s="61"/>
      <c r="FA13" s="61"/>
      <c r="FB13" s="61"/>
      <c r="FC13" s="61"/>
      <c r="FD13" s="124">
        <f>$DR$8</f>
        <v>-0.09333333333333334</v>
      </c>
      <c r="FE13" s="124">
        <f>$DR$8-$DQ$8</f>
        <v>-0.28</v>
      </c>
      <c r="FF13" s="124">
        <f>$DR$8-($DQ$8*2)</f>
        <v>-0.4666666666666667</v>
      </c>
      <c r="FG13" s="124">
        <f>$DP$8-$DP$8</f>
        <v>0</v>
      </c>
      <c r="FH13" s="124">
        <f>-$DR$8+($DQ$8*3)</f>
        <v>0.6533333333333334</v>
      </c>
      <c r="FI13" s="124">
        <f aca="true" t="shared" si="9" ref="FI13:FN13">-$DR$8+($DQ$8*3)</f>
        <v>0.6533333333333334</v>
      </c>
      <c r="FJ13" s="124">
        <f t="shared" si="9"/>
        <v>0.6533333333333334</v>
      </c>
      <c r="FK13" s="124">
        <f t="shared" si="9"/>
        <v>0.6533333333333334</v>
      </c>
      <c r="FL13" s="124">
        <f t="shared" si="9"/>
        <v>0.6533333333333334</v>
      </c>
      <c r="FM13" s="124">
        <f t="shared" si="9"/>
        <v>0.6533333333333334</v>
      </c>
      <c r="FN13" s="110">
        <f t="shared" si="9"/>
        <v>0.6533333333333334</v>
      </c>
    </row>
    <row r="14" spans="2:170" s="30" customFormat="1" ht="15.75" customHeight="1" thickTop="1">
      <c r="B14" s="30" t="s">
        <v>112</v>
      </c>
      <c r="L14" s="32" t="s">
        <v>3</v>
      </c>
      <c r="M14" s="230">
        <v>2400</v>
      </c>
      <c r="N14" s="230"/>
      <c r="O14" s="230"/>
      <c r="P14" s="162"/>
      <c r="Q14" s="164" t="str">
        <f>IF(CN41=1,"Compression Area",IF(CN41=2,"Tension Area"))</f>
        <v>Compression Area</v>
      </c>
      <c r="R14" s="165"/>
      <c r="S14" s="165"/>
      <c r="T14" s="165"/>
      <c r="U14" s="165"/>
      <c r="V14" s="165"/>
      <c r="W14" s="165"/>
      <c r="X14" s="165"/>
      <c r="Y14" s="165"/>
      <c r="Z14" s="165"/>
      <c r="AA14" s="166"/>
      <c r="AB14" s="289" t="s">
        <v>85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CG14" s="30">
        <f>dd*100</f>
        <v>26.3</v>
      </c>
      <c r="CK14" s="30">
        <v>7</v>
      </c>
      <c r="CL14" s="257" t="s">
        <v>81</v>
      </c>
      <c r="CM14" s="257"/>
      <c r="CV14" s="30">
        <v>7</v>
      </c>
      <c r="DN14" s="53"/>
      <c r="DO14" s="54"/>
      <c r="DP14" s="54"/>
      <c r="DQ14" s="125">
        <f>DQ13</f>
        <v>0.18666666666666668</v>
      </c>
      <c r="DR14" s="55"/>
      <c r="DT14" s="108"/>
      <c r="DU14" s="108"/>
      <c r="DW14" s="177" t="s">
        <v>211</v>
      </c>
      <c r="DX14" s="116"/>
      <c r="DY14" s="117">
        <v>7</v>
      </c>
      <c r="DZ14" s="124">
        <f>VLOOKUP(7,$EX$8:$FN$23,DZ$5+1,TRUE)</f>
        <v>0</v>
      </c>
      <c r="EA14" s="124">
        <f>VLOOKUP(7,$EX$27:$FN$42,EA$5+1,TRUE)</f>
        <v>7</v>
      </c>
      <c r="EB14" s="110">
        <f>VLOOKUP(7,$EX$46:$FN$61,EB$5+1,TRUE)</f>
        <v>7</v>
      </c>
      <c r="EC14" s="124">
        <f>VLOOKUP(7,$EF$8:$EV$23,EC$5+1,TRUE)</f>
        <v>0</v>
      </c>
      <c r="ED14" s="124">
        <f>VLOOKUP(7,$EF$27:$EV$42,ED$5+1,TRUE)</f>
        <v>7</v>
      </c>
      <c r="EE14" s="110">
        <f>VLOOKUP(7,$EF$46:$EV$61,EE$5+1,TRUE)</f>
        <v>7</v>
      </c>
      <c r="EF14" s="52">
        <v>7</v>
      </c>
      <c r="EG14" s="89"/>
      <c r="EH14" s="61"/>
      <c r="EI14" s="61"/>
      <c r="EJ14" s="61"/>
      <c r="EK14" s="61"/>
      <c r="EL14" s="37"/>
      <c r="EM14" s="124">
        <f>$DR$13</f>
        <v>-0.09333333333333334</v>
      </c>
      <c r="EN14" s="124">
        <f>$DR$13-$DQ$14</f>
        <v>-0.28</v>
      </c>
      <c r="EO14" s="124">
        <f>$DR$13-($DQ$14*2)</f>
        <v>-0.4666666666666667</v>
      </c>
      <c r="EP14" s="124">
        <f>$DR$13-($DQ$14*3)</f>
        <v>-0.6533333333333334</v>
      </c>
      <c r="EQ14" s="124">
        <f>$DP$13-$DP$13</f>
        <v>0</v>
      </c>
      <c r="ER14" s="124">
        <f>-$DR$13+($DQ$14*4)</f>
        <v>0.8400000000000001</v>
      </c>
      <c r="ES14" s="124">
        <f>-$DR$13+($DQ$14*4)</f>
        <v>0.8400000000000001</v>
      </c>
      <c r="ET14" s="124">
        <f>-$DR$13+($DQ$14*4)</f>
        <v>0.8400000000000001</v>
      </c>
      <c r="EU14" s="124">
        <f>-$DR$13+($DQ$14*4)</f>
        <v>0.8400000000000001</v>
      </c>
      <c r="EV14" s="110">
        <f>-$DR$13+($DQ$14*4)</f>
        <v>0.8400000000000001</v>
      </c>
      <c r="EX14" s="120">
        <v>7</v>
      </c>
      <c r="EY14" s="89"/>
      <c r="EZ14" s="61"/>
      <c r="FA14" s="61"/>
      <c r="FB14" s="61"/>
      <c r="FC14" s="61"/>
      <c r="FD14" s="37"/>
      <c r="FE14" s="124">
        <f>$DR$8</f>
        <v>-0.09333333333333334</v>
      </c>
      <c r="FF14" s="124">
        <f>$DR$8-$DQ$8</f>
        <v>-0.28</v>
      </c>
      <c r="FG14" s="124">
        <f>$DR$8-($DQ$8*2)</f>
        <v>-0.4666666666666667</v>
      </c>
      <c r="FH14" s="124">
        <f>$DR$8-($DQ$8*3)</f>
        <v>-0.6533333333333334</v>
      </c>
      <c r="FI14" s="124">
        <f>$DP$8-$DP$8</f>
        <v>0</v>
      </c>
      <c r="FJ14" s="124">
        <f>-$DR$8+($DQ$8*4)</f>
        <v>0.8400000000000001</v>
      </c>
      <c r="FK14" s="124">
        <f>-$DR$8+($DQ$8*4)</f>
        <v>0.8400000000000001</v>
      </c>
      <c r="FL14" s="124">
        <f>-$DR$8+($DQ$8*4)</f>
        <v>0.8400000000000001</v>
      </c>
      <c r="FM14" s="124">
        <f>-$DR$8+($DQ$8*4)</f>
        <v>0.8400000000000001</v>
      </c>
      <c r="FN14" s="110">
        <f>-$DR$8+($DQ$8*4)</f>
        <v>0.8400000000000001</v>
      </c>
    </row>
    <row r="15" spans="2:170" s="30" customFormat="1" ht="15.75" customHeight="1">
      <c r="B15" s="30" t="s">
        <v>113</v>
      </c>
      <c r="L15" s="32" t="s">
        <v>3</v>
      </c>
      <c r="M15" s="272">
        <f>M13*fc_</f>
        <v>64.875</v>
      </c>
      <c r="N15" s="272"/>
      <c r="O15" s="272"/>
      <c r="P15" s="162"/>
      <c r="AA15" s="52"/>
      <c r="AB15" s="290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CK15" s="30">
        <v>8</v>
      </c>
      <c r="CL15" s="257" t="s">
        <v>62</v>
      </c>
      <c r="CM15" s="257"/>
      <c r="CV15" s="30">
        <v>8</v>
      </c>
      <c r="DN15" s="44" t="s">
        <v>225</v>
      </c>
      <c r="DO15" s="46">
        <f>IF(AND(DO13=1,DO12=0),1,IF(AND(DO13=1,DO12=1),2,IF(AND(DO13&gt;1,DO12=0),3,IF(AND(DO13&gt;1,DO12=1),4,IF(AND(DO13&gt;1,DO12&gt;1),5)))))</f>
        <v>3</v>
      </c>
      <c r="DS15" s="119" t="s">
        <v>105</v>
      </c>
      <c r="DT15" s="129">
        <f>DT12-0.015</f>
        <v>0.034999999999999996</v>
      </c>
      <c r="DU15" s="126">
        <f>DU12-0.015</f>
        <v>0.11</v>
      </c>
      <c r="DW15" s="131">
        <f>-DT$13</f>
        <v>-0.13333333333333333</v>
      </c>
      <c r="DX15" s="61">
        <f>DU$13</f>
        <v>0.33333333333333337</v>
      </c>
      <c r="DY15" s="117">
        <v>8</v>
      </c>
      <c r="DZ15" s="124">
        <f>VLOOKUP(8,$EX$8:$FN$23,DZ$5+1,TRUE)</f>
        <v>0</v>
      </c>
      <c r="EA15" s="124">
        <f>VLOOKUP(8,$EX$27:$FN$42,EA$5+1,TRUE)</f>
        <v>8</v>
      </c>
      <c r="EB15" s="110">
        <f>VLOOKUP(8,$EX$46:$FN$61,EB$5+1,TRUE)</f>
        <v>8</v>
      </c>
      <c r="EC15" s="124">
        <f>VLOOKUP(8,$EF$8:$EV$23,EC$5+1,TRUE)</f>
        <v>0</v>
      </c>
      <c r="ED15" s="124">
        <f>VLOOKUP(8,$EF$27:$EV$42,ED$5+1,TRUE)</f>
        <v>8</v>
      </c>
      <c r="EE15" s="110">
        <f>VLOOKUP(8,$EF$46:$EV$61,EE$5+1,TRUE)</f>
        <v>8</v>
      </c>
      <c r="EF15" s="52">
        <v>8</v>
      </c>
      <c r="EG15" s="89"/>
      <c r="EH15" s="61"/>
      <c r="EI15" s="61"/>
      <c r="EJ15" s="61"/>
      <c r="EK15" s="61"/>
      <c r="EL15" s="61"/>
      <c r="EM15" s="61"/>
      <c r="EN15" s="124">
        <f>$DR$13</f>
        <v>-0.09333333333333334</v>
      </c>
      <c r="EO15" s="124">
        <f>$DR$13-$DQ$14</f>
        <v>-0.28</v>
      </c>
      <c r="EP15" s="124">
        <f>$DR$13-($DQ$14*2)</f>
        <v>-0.4666666666666667</v>
      </c>
      <c r="EQ15" s="124">
        <f>$DR$13-($DQ$14*3)</f>
        <v>-0.6533333333333334</v>
      </c>
      <c r="ER15" s="124">
        <f>$DR$13-($DQ$14*4)</f>
        <v>-0.8400000000000001</v>
      </c>
      <c r="ES15" s="124">
        <f>$DP$13-$DP$13</f>
        <v>0</v>
      </c>
      <c r="ET15" s="124">
        <f>-$DR$13+($DQ$14*5)</f>
        <v>1.0266666666666666</v>
      </c>
      <c r="EU15" s="124">
        <f>-$DR$13+($DQ$14*5)</f>
        <v>1.0266666666666666</v>
      </c>
      <c r="EV15" s="110">
        <f>-$DR$13+($DQ$14*5)</f>
        <v>1.0266666666666666</v>
      </c>
      <c r="EX15" s="120">
        <v>8</v>
      </c>
      <c r="EY15" s="89"/>
      <c r="EZ15" s="61"/>
      <c r="FA15" s="61"/>
      <c r="FB15" s="61"/>
      <c r="FC15" s="61"/>
      <c r="FD15" s="61"/>
      <c r="FE15" s="61"/>
      <c r="FF15" s="124">
        <f>$DR$8</f>
        <v>-0.09333333333333334</v>
      </c>
      <c r="FG15" s="124">
        <f>$DR$8-$DQ$8</f>
        <v>-0.28</v>
      </c>
      <c r="FH15" s="124">
        <f>$DR$8-($DQ$8*2)</f>
        <v>-0.4666666666666667</v>
      </c>
      <c r="FI15" s="124">
        <f>$DR$8-($DQ$8*3)</f>
        <v>-0.6533333333333334</v>
      </c>
      <c r="FJ15" s="124">
        <f>$DR$8-($DQ$8*4)</f>
        <v>-0.8400000000000001</v>
      </c>
      <c r="FK15" s="124">
        <f>$DP$8-$DP$8</f>
        <v>0</v>
      </c>
      <c r="FL15" s="124">
        <f>-$DR$8+($DQ$8*5)</f>
        <v>1.0266666666666666</v>
      </c>
      <c r="FM15" s="124">
        <f>-$DR$8+($DQ$8*5)</f>
        <v>1.0266666666666666</v>
      </c>
      <c r="FN15" s="110">
        <f>-$DR$8+($DQ$8*5)</f>
        <v>1.0266666666666666</v>
      </c>
    </row>
    <row r="16" spans="2:170" s="30" customFormat="1" ht="15.75" customHeight="1">
      <c r="B16" s="30" t="s">
        <v>40</v>
      </c>
      <c r="L16" s="32" t="s">
        <v>3</v>
      </c>
      <c r="M16" s="270">
        <f>15120*SQRT(fc_)</f>
        <v>198872.5501420445</v>
      </c>
      <c r="N16" s="270"/>
      <c r="O16" s="270"/>
      <c r="P16" s="162"/>
      <c r="AA16" s="52"/>
      <c r="AB16" s="290"/>
      <c r="AC16" s="23"/>
      <c r="AD16" s="23"/>
      <c r="AE16" s="23"/>
      <c r="AF16" s="23"/>
      <c r="AG16" s="23"/>
      <c r="AH16" s="23"/>
      <c r="AI16" s="24"/>
      <c r="AJ16" s="24"/>
      <c r="AK16" s="24"/>
      <c r="AL16" s="23"/>
      <c r="AM16" s="23"/>
      <c r="AN16" s="23"/>
      <c r="AO16" s="23"/>
      <c r="AP16" s="23"/>
      <c r="CA16" s="207" t="s">
        <v>239</v>
      </c>
      <c r="CB16" s="207"/>
      <c r="CC16" s="207"/>
      <c r="CD16" s="207"/>
      <c r="CE16" s="96"/>
      <c r="CF16" s="96"/>
      <c r="CG16" s="96"/>
      <c r="CH16" s="96"/>
      <c r="CI16" s="96"/>
      <c r="CJ16" s="91" t="s">
        <v>145</v>
      </c>
      <c r="CK16" s="246" t="s">
        <v>63</v>
      </c>
      <c r="CL16" s="246"/>
      <c r="CM16" s="246"/>
      <c r="CN16" s="246"/>
      <c r="CO16" s="246" t="s">
        <v>64</v>
      </c>
      <c r="CP16" s="246"/>
      <c r="CQ16" s="246"/>
      <c r="CR16" s="246"/>
      <c r="CS16" s="246" t="s">
        <v>75</v>
      </c>
      <c r="CT16" s="246"/>
      <c r="CU16" s="246"/>
      <c r="CV16" s="246"/>
      <c r="CW16" s="91" t="s">
        <v>89</v>
      </c>
      <c r="CX16" s="246" t="s">
        <v>90</v>
      </c>
      <c r="CY16" s="246"/>
      <c r="CZ16" s="246"/>
      <c r="DA16" s="246"/>
      <c r="DB16" s="246" t="s">
        <v>92</v>
      </c>
      <c r="DC16" s="246"/>
      <c r="DD16" s="246"/>
      <c r="DE16" s="246"/>
      <c r="DF16" s="246"/>
      <c r="DG16" s="246" t="s">
        <v>91</v>
      </c>
      <c r="DH16" s="246"/>
      <c r="DI16" s="246"/>
      <c r="DJ16" s="246" t="s">
        <v>106</v>
      </c>
      <c r="DK16" s="246"/>
      <c r="DL16" s="96"/>
      <c r="DM16" s="96"/>
      <c r="DN16" s="178" t="s">
        <v>226</v>
      </c>
      <c r="DO16" s="179">
        <f>IF(AND(DO13=1,DO11=0),1,IF(AND(DO13=1,DO11=1),2,IF(AND(DO13&gt;1,DO11=0),3,IF(AND(DO13&gt;1,DO11=1),4,IF(AND(DO13&gt;1,DO11&gt;1),5)))))</f>
        <v>3</v>
      </c>
      <c r="DS16" s="120"/>
      <c r="DT16" s="114"/>
      <c r="DU16" s="110">
        <f>DU15-0.03</f>
        <v>0.08</v>
      </c>
      <c r="DW16" s="131">
        <f>DT$13</f>
        <v>0.13333333333333333</v>
      </c>
      <c r="DX16" s="61">
        <f>DU$13</f>
        <v>0.33333333333333337</v>
      </c>
      <c r="DY16" s="117">
        <v>9</v>
      </c>
      <c r="DZ16" s="124">
        <f>VLOOKUP(9,$EX$8:$FN$23,DZ$5+1,TRUE)</f>
        <v>0</v>
      </c>
      <c r="EA16" s="124">
        <f>VLOOKUP(9,$EX$27:$FN$42,EA$5+1,TRUE)</f>
        <v>9</v>
      </c>
      <c r="EB16" s="110">
        <f>VLOOKUP(9,$EX$46:$FN$61,EB$5+1,TRUE)</f>
        <v>9</v>
      </c>
      <c r="EC16" s="124">
        <f>VLOOKUP(9,$EF$8:$EV$23,EC$5+1,TRUE)</f>
        <v>0</v>
      </c>
      <c r="ED16" s="124">
        <f>VLOOKUP(9,$EF$27:$EV$42,ED$5+1,TRUE)</f>
        <v>9</v>
      </c>
      <c r="EE16" s="110">
        <f>VLOOKUP(9,$EF$46:$EV$61,EE$5+1,TRUE)</f>
        <v>9</v>
      </c>
      <c r="EF16" s="52">
        <v>9</v>
      </c>
      <c r="EG16" s="89"/>
      <c r="EH16" s="61"/>
      <c r="EI16" s="61"/>
      <c r="EJ16" s="61"/>
      <c r="EK16" s="61"/>
      <c r="EL16" s="61"/>
      <c r="EM16" s="61"/>
      <c r="EN16" s="61"/>
      <c r="EO16" s="124">
        <f>$DR$13</f>
        <v>-0.09333333333333334</v>
      </c>
      <c r="EP16" s="124">
        <f>$DR$13-$DQ$14</f>
        <v>-0.28</v>
      </c>
      <c r="EQ16" s="124">
        <f>$DR$13-($DQ$14*2)</f>
        <v>-0.4666666666666667</v>
      </c>
      <c r="ER16" s="124">
        <f>$DR$13-($DQ$14*3)</f>
        <v>-0.6533333333333334</v>
      </c>
      <c r="ES16" s="124">
        <f>$DR$13-($DQ$14*4)</f>
        <v>-0.8400000000000001</v>
      </c>
      <c r="ET16" s="124">
        <f>$DR$13-($DQ$14*5)</f>
        <v>-1.0266666666666666</v>
      </c>
      <c r="EU16" s="124">
        <f>$DP$13-$DP$13</f>
        <v>0</v>
      </c>
      <c r="EV16" s="110">
        <f>-$DR$13+($DQ$14*6)</f>
        <v>1.2133333333333334</v>
      </c>
      <c r="EX16" s="120">
        <v>9</v>
      </c>
      <c r="EY16" s="89"/>
      <c r="EZ16" s="61"/>
      <c r="FA16" s="61"/>
      <c r="FB16" s="61"/>
      <c r="FC16" s="61"/>
      <c r="FD16" s="61"/>
      <c r="FE16" s="61"/>
      <c r="FF16" s="61"/>
      <c r="FG16" s="124">
        <f>$DR$8</f>
        <v>-0.09333333333333334</v>
      </c>
      <c r="FH16" s="124">
        <f>$DR$8-$DQ$8</f>
        <v>-0.28</v>
      </c>
      <c r="FI16" s="124">
        <f>$DR$8-($DQ$8*2)</f>
        <v>-0.4666666666666667</v>
      </c>
      <c r="FJ16" s="124">
        <f>$DR$8-($DQ$8*3)</f>
        <v>-0.6533333333333334</v>
      </c>
      <c r="FK16" s="124">
        <f>$DR$8-($DQ$8*4)</f>
        <v>-0.8400000000000001</v>
      </c>
      <c r="FL16" s="124">
        <f>$DR$8-($DQ$8*5)</f>
        <v>-1.0266666666666666</v>
      </c>
      <c r="FM16" s="124">
        <f>$DP$8-$DP$8</f>
        <v>0</v>
      </c>
      <c r="FN16" s="110">
        <f>-$DR$8+($DQ$8*6)</f>
        <v>1.2133333333333334</v>
      </c>
    </row>
    <row r="17" spans="6:170" s="30" customFormat="1" ht="15.75" customHeight="1"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62"/>
      <c r="AA17" s="52"/>
      <c r="AB17" s="290"/>
      <c r="AC17" s="23"/>
      <c r="AD17" s="23"/>
      <c r="AE17" s="23"/>
      <c r="AF17" s="23"/>
      <c r="AG17" s="23"/>
      <c r="AH17" s="23"/>
      <c r="AI17" s="24"/>
      <c r="AJ17" s="24"/>
      <c r="AK17" s="24"/>
      <c r="AL17" s="23"/>
      <c r="AM17" s="23"/>
      <c r="AN17" s="23"/>
      <c r="AO17" s="23"/>
      <c r="AP17" s="23"/>
      <c r="AT17" s="37"/>
      <c r="CA17" s="205">
        <f>(PI()*CM17)*CS17</f>
        <v>7.5398223686155035</v>
      </c>
      <c r="CB17" s="205"/>
      <c r="CC17" s="205">
        <f>(PI()*CQ17)*CT17</f>
        <v>0</v>
      </c>
      <c r="CD17" s="205"/>
      <c r="CE17" s="96"/>
      <c r="CF17" s="97">
        <v>2.5</v>
      </c>
      <c r="CG17" s="91">
        <f>CU17-1</f>
        <v>1</v>
      </c>
      <c r="CH17" s="98" t="s">
        <v>72</v>
      </c>
      <c r="CI17" s="98"/>
      <c r="CJ17" s="92">
        <f>(B_1-(CW$39*2)-(CS17*CM17)-(CT17*CQ17)-(Covering*100*2))/CG17</f>
        <v>6.4</v>
      </c>
      <c r="CK17" s="96">
        <v>2</v>
      </c>
      <c r="CL17" s="96">
        <v>3</v>
      </c>
      <c r="CM17" s="97">
        <f>VLOOKUP(CK17,$CR$7:$CU$13,4,TRUE)</f>
        <v>1.2</v>
      </c>
      <c r="CN17" s="99">
        <f>VLOOKUP(CK17,$CR$7:$CW$13,6,TRUE)</f>
        <v>1.13</v>
      </c>
      <c r="CO17" s="96">
        <v>1</v>
      </c>
      <c r="CP17" s="96">
        <v>1</v>
      </c>
      <c r="CQ17" s="97">
        <f>VLOOKUP(CO17,$CR$7:$CU$13,4,TRUE)</f>
        <v>0</v>
      </c>
      <c r="CR17" s="99">
        <f>VLOOKUP(CO17,$CR$7:$CW$13,6,TRUE)</f>
        <v>0</v>
      </c>
      <c r="CS17" s="96">
        <f>CL17-1</f>
        <v>2</v>
      </c>
      <c r="CT17" s="96">
        <f>CP17-1</f>
        <v>0</v>
      </c>
      <c r="CU17" s="96">
        <f>CS17+CT17</f>
        <v>2</v>
      </c>
      <c r="CV17" s="100" t="str">
        <f>VLOOKUP(CU17,$CK$7:$CM$15,2,TRUE)</f>
        <v>●            ●</v>
      </c>
      <c r="CW17" s="96" t="b">
        <v>1</v>
      </c>
      <c r="CX17" s="101">
        <f>(CN17*CS17)</f>
        <v>2.26</v>
      </c>
      <c r="CY17" s="101">
        <f>(CR17*CT17)</f>
        <v>0</v>
      </c>
      <c r="CZ17" s="249">
        <f>SUM(CX17:CX20)+SUM(CY17:CY20)</f>
        <v>2.26</v>
      </c>
      <c r="DA17" s="245"/>
      <c r="DB17" s="102">
        <f>(DC10+CW39+(CM17/2))*CN17*CS17</f>
        <v>8.362</v>
      </c>
      <c r="DC17" s="102">
        <f>(DC10+CW39+(CQ17/2))*CR17*CT17</f>
        <v>0</v>
      </c>
      <c r="DD17" s="102">
        <f>IF(CM17=CQ17,CM17,IF(CM17&gt;CQ17,CM17,IF(CM17&lt;CQ17,CQ17)))</f>
        <v>1.2</v>
      </c>
      <c r="DE17" s="249">
        <f>SUM(DB17:DB20)+SUM(DC17:DC20)</f>
        <v>8.362</v>
      </c>
      <c r="DF17" s="245"/>
      <c r="DG17" s="252">
        <f>DE17/CZ17</f>
        <v>3.7</v>
      </c>
      <c r="DH17" s="252"/>
      <c r="DI17" s="252"/>
      <c r="DJ17" s="251">
        <f>IF(CN41=1,DG23/100,IF(CN41=2,DG17/100))</f>
        <v>0.037000000000000005</v>
      </c>
      <c r="DK17" s="251"/>
      <c r="DL17" s="245">
        <f>IF(AND(CZ17=0,CZ23=0),0.04,IF(OR(CZ17&gt;0,CZ23&gt;0),DJ17))</f>
        <v>0.037000000000000005</v>
      </c>
      <c r="DM17" s="245"/>
      <c r="DN17" s="180" t="s">
        <v>222</v>
      </c>
      <c r="DO17" s="181">
        <f>IF(AND(DO8=1,DO9=0),1,IF(AND(DO8=1,DO9=1),2,IF(AND(DO8&gt;1,DO9=0),3,IF(AND(DO8&gt;1,DO9=1),4,IF(AND(DO8&gt;1,DO9&gt;1),5)))))</f>
        <v>3</v>
      </c>
      <c r="DS17" s="63"/>
      <c r="DT17" s="115"/>
      <c r="DU17" s="113">
        <f>DU16-0.03</f>
        <v>0.05</v>
      </c>
      <c r="DW17" s="131">
        <f>DT$13</f>
        <v>0.13333333333333333</v>
      </c>
      <c r="DX17" s="61">
        <f>-DU$13</f>
        <v>-0.33333333333333337</v>
      </c>
      <c r="DY17" s="117">
        <v>10</v>
      </c>
      <c r="DZ17" s="124">
        <f>VLOOKUP(10,$EX$8:$FN$23,DZ$5+1,TRUE)</f>
        <v>0</v>
      </c>
      <c r="EA17" s="124">
        <f>VLOOKUP(10,$EX$27:$FN$42,EA$5+1,TRUE)</f>
        <v>10</v>
      </c>
      <c r="EB17" s="110">
        <f>VLOOKUP(10,$EX$46:$FN$61,EB$5+1,TRUE)</f>
        <v>10</v>
      </c>
      <c r="EC17" s="124">
        <f>VLOOKUP(10,$EF$8:$EV$23,EC$5+1,TRUE)</f>
        <v>0</v>
      </c>
      <c r="ED17" s="124">
        <f>VLOOKUP(10,$EF$27:$EV$42,ED$5+1,TRUE)</f>
        <v>10</v>
      </c>
      <c r="EE17" s="110">
        <f>VLOOKUP(10,$EF$46:$EV$61,EE$5+1,TRUE)</f>
        <v>10</v>
      </c>
      <c r="EF17" s="52">
        <v>10</v>
      </c>
      <c r="EG17" s="89"/>
      <c r="EH17" s="61"/>
      <c r="EI17" s="61"/>
      <c r="EJ17" s="61"/>
      <c r="EK17" s="61"/>
      <c r="EL17" s="61"/>
      <c r="EM17" s="61"/>
      <c r="EN17" s="61"/>
      <c r="EO17" s="61"/>
      <c r="EP17" s="124">
        <f>$DR$13</f>
        <v>-0.09333333333333334</v>
      </c>
      <c r="EQ17" s="124">
        <f>$DR$13-$DQ$14</f>
        <v>-0.28</v>
      </c>
      <c r="ER17" s="124">
        <f>$DR$13-($DQ$14*2)</f>
        <v>-0.4666666666666667</v>
      </c>
      <c r="ES17" s="124">
        <f>$DR$13-($DQ$14*3)</f>
        <v>-0.6533333333333334</v>
      </c>
      <c r="ET17" s="124">
        <f>$DR$13-($DQ$14*4)</f>
        <v>-0.8400000000000001</v>
      </c>
      <c r="EU17" s="124">
        <f>$DR$13-($DQ$14*5)</f>
        <v>-1.0266666666666666</v>
      </c>
      <c r="EV17" s="110">
        <f>$DR$13-($DQ$14*6)</f>
        <v>-1.2133333333333334</v>
      </c>
      <c r="EX17" s="120">
        <v>10</v>
      </c>
      <c r="EY17" s="89"/>
      <c r="EZ17" s="61"/>
      <c r="FA17" s="61"/>
      <c r="FB17" s="61"/>
      <c r="FC17" s="61"/>
      <c r="FD17" s="61"/>
      <c r="FE17" s="61"/>
      <c r="FF17" s="61"/>
      <c r="FG17" s="61"/>
      <c r="FH17" s="124">
        <f>$DR$8</f>
        <v>-0.09333333333333334</v>
      </c>
      <c r="FI17" s="124">
        <f>$DR$8-$DQ$8</f>
        <v>-0.28</v>
      </c>
      <c r="FJ17" s="124">
        <f>$DR$8-($DQ$8*2)</f>
        <v>-0.4666666666666667</v>
      </c>
      <c r="FK17" s="124">
        <f>$DR$8-($DQ$8*3)</f>
        <v>-0.6533333333333334</v>
      </c>
      <c r="FL17" s="124">
        <f>$DR$8-($DQ$8*4)</f>
        <v>-0.8400000000000001</v>
      </c>
      <c r="FM17" s="124">
        <f>$DR$8-($DQ$8*5)</f>
        <v>-1.0266666666666666</v>
      </c>
      <c r="FN17" s="110">
        <f>$DR$8-($DQ$8*6)</f>
        <v>-1.2133333333333334</v>
      </c>
    </row>
    <row r="18" spans="2:170" s="30" customFormat="1" ht="15.75" customHeight="1">
      <c r="B18" s="31" t="s">
        <v>41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62"/>
      <c r="Q18" s="39"/>
      <c r="R18" s="37"/>
      <c r="S18" s="37"/>
      <c r="T18" s="37"/>
      <c r="U18" s="37"/>
      <c r="V18" s="37"/>
      <c r="W18" s="37"/>
      <c r="X18" s="37"/>
      <c r="Y18" s="37"/>
      <c r="Z18" s="37"/>
      <c r="AA18" s="52"/>
      <c r="AB18" s="290"/>
      <c r="AC18" s="23"/>
      <c r="AD18" s="23"/>
      <c r="AE18" s="23"/>
      <c r="AF18" s="23"/>
      <c r="AG18" s="23"/>
      <c r="AH18" s="23"/>
      <c r="AI18" s="24"/>
      <c r="AJ18" s="24"/>
      <c r="AK18" s="24"/>
      <c r="AL18" s="23"/>
      <c r="AM18" s="23"/>
      <c r="AN18" s="23"/>
      <c r="AO18" s="23"/>
      <c r="AP18" s="23"/>
      <c r="CA18" s="205">
        <f>(PI()*CM18)*CS18</f>
        <v>0</v>
      </c>
      <c r="CB18" s="205"/>
      <c r="CC18" s="205">
        <f>(PI()*CQ18)*CT18</f>
        <v>0</v>
      </c>
      <c r="CD18" s="205"/>
      <c r="CE18" s="96"/>
      <c r="CF18" s="96"/>
      <c r="CG18" s="91">
        <f>CU18-1</f>
        <v>-1</v>
      </c>
      <c r="CH18" s="98" t="s">
        <v>73</v>
      </c>
      <c r="CI18" s="98"/>
      <c r="CJ18" s="92">
        <f>(B_1-(CW$39*2)-(CS18*CM18)-(CT18*CQ18)-(Covering*100*2))/CG18</f>
        <v>-8.8</v>
      </c>
      <c r="CK18" s="96">
        <v>1</v>
      </c>
      <c r="CL18" s="96">
        <v>1</v>
      </c>
      <c r="CM18" s="97">
        <f>VLOOKUP(CK18,$CR$7:$CU$13,4,TRUE)</f>
        <v>0</v>
      </c>
      <c r="CN18" s="99">
        <f>VLOOKUP(CK18,$CR$7:$CW$13,6,TRUE)</f>
        <v>0</v>
      </c>
      <c r="CO18" s="96">
        <v>1</v>
      </c>
      <c r="CP18" s="96">
        <v>1</v>
      </c>
      <c r="CQ18" s="97">
        <f>VLOOKUP(CO18,$CR$7:$CU$13,4,TRUE)</f>
        <v>0</v>
      </c>
      <c r="CR18" s="99">
        <f>VLOOKUP(CO18,$CR$7:$CW$13,6,TRUE)</f>
        <v>0</v>
      </c>
      <c r="CS18" s="96">
        <f aca="true" t="shared" si="10" ref="CS18:CS25">CL18-1</f>
        <v>0</v>
      </c>
      <c r="CT18" s="96">
        <f aca="true" t="shared" si="11" ref="CT18:CT25">CP18-1</f>
        <v>0</v>
      </c>
      <c r="CU18" s="96">
        <f aca="true" t="shared" si="12" ref="CU18:CU25">CS18+CT18</f>
        <v>0</v>
      </c>
      <c r="CV18" s="100">
        <f aca="true" t="shared" si="13" ref="CV18:CV25">VLOOKUP(CU18,$CK$7:$CM$15,2,TRUE)</f>
        <v>0</v>
      </c>
      <c r="CW18" s="96" t="b">
        <v>1</v>
      </c>
      <c r="CX18" s="101">
        <f>(CN18*CS18)</f>
        <v>0</v>
      </c>
      <c r="CY18" s="101">
        <f>(CR18*CT18)</f>
        <v>0</v>
      </c>
      <c r="CZ18" s="245"/>
      <c r="DA18" s="245"/>
      <c r="DB18" s="102">
        <f>(DC10+2.5+CW39+DD17+(CM18/2))*CN18*CS18</f>
        <v>0</v>
      </c>
      <c r="DC18" s="102">
        <f>(DC10+2.5+CW39+DD17+(CQ18/2))*CR18*CT18</f>
        <v>0</v>
      </c>
      <c r="DD18" s="102">
        <f>IF(CM18=CQ18,CM18,IF(CM18&gt;CQ18,CM18,IF(CM18&lt;CQ18,CQ18)))</f>
        <v>0</v>
      </c>
      <c r="DE18" s="245"/>
      <c r="DF18" s="245"/>
      <c r="DG18" s="252"/>
      <c r="DH18" s="252"/>
      <c r="DI18" s="252"/>
      <c r="DJ18" s="251"/>
      <c r="DK18" s="251"/>
      <c r="DL18" s="245"/>
      <c r="DM18" s="245"/>
      <c r="DN18" s="180" t="s">
        <v>223</v>
      </c>
      <c r="DO18" s="181">
        <f>IF(AND(DO8=1,DO10=0),1,IF(AND(DO8=1,DO10=1),2,IF(AND(DO8&gt;1,DO10=0),3,IF(AND(DO8&gt;1,DO10=1),4,IF(AND(DO8&gt;1,DO10&gt;1),5)))))</f>
        <v>3</v>
      </c>
      <c r="DS18" s="120">
        <f>DT18*2</f>
        <v>0.18666666666666668</v>
      </c>
      <c r="DT18" s="130">
        <f>DT15*DV10</f>
        <v>0.09333333333333334</v>
      </c>
      <c r="DU18" s="110">
        <f>DU15*DV10</f>
        <v>0.2933333333333334</v>
      </c>
      <c r="DW18" s="131">
        <f>-DT$13</f>
        <v>-0.13333333333333333</v>
      </c>
      <c r="DX18" s="61">
        <f>-DU$13</f>
        <v>-0.33333333333333337</v>
      </c>
      <c r="DY18" s="117">
        <v>11</v>
      </c>
      <c r="DZ18" s="124">
        <f>VLOOKUP(11,$EX$8:$FN$23,DZ$5+1,TRUE)</f>
        <v>0</v>
      </c>
      <c r="EA18" s="124">
        <f>VLOOKUP(11,$EX$27:$FN$42,EA$5+1,TRUE)</f>
        <v>11</v>
      </c>
      <c r="EB18" s="110">
        <f>VLOOKUP(11,$EX$46:$FN$61,EB$5+1,TRUE)</f>
        <v>11</v>
      </c>
      <c r="EC18" s="124">
        <f>VLOOKUP(11,$EF$8:$EV$23,EC$5+1,TRUE)</f>
        <v>0</v>
      </c>
      <c r="ED18" s="124">
        <f>VLOOKUP(11,$EF$27:$EV$42,ED$5+1,TRUE)</f>
        <v>11</v>
      </c>
      <c r="EE18" s="110">
        <f>VLOOKUP(11,$EF$46:$EV$61,EE$5+1,TRUE)</f>
        <v>11</v>
      </c>
      <c r="EF18" s="52">
        <v>11</v>
      </c>
      <c r="EG18" s="89"/>
      <c r="EH18" s="61"/>
      <c r="EI18" s="61"/>
      <c r="EJ18" s="61"/>
      <c r="EK18" s="61"/>
      <c r="EL18" s="61"/>
      <c r="EM18" s="61"/>
      <c r="EN18" s="61"/>
      <c r="EO18" s="61"/>
      <c r="EP18" s="61"/>
      <c r="EQ18" s="124">
        <f>$DR$13</f>
        <v>-0.09333333333333334</v>
      </c>
      <c r="ER18" s="124">
        <f>$DR$13-$DQ$14</f>
        <v>-0.28</v>
      </c>
      <c r="ES18" s="124">
        <f>$DR$13-($DQ$14*2)</f>
        <v>-0.4666666666666667</v>
      </c>
      <c r="ET18" s="124">
        <f>$DR$13-($DQ$14*3)</f>
        <v>-0.6533333333333334</v>
      </c>
      <c r="EU18" s="124">
        <f>$DR$13-($DQ$14*4)</f>
        <v>-0.8400000000000001</v>
      </c>
      <c r="EV18" s="110">
        <f>$DR$13-($DQ$14*5)</f>
        <v>-1.0266666666666666</v>
      </c>
      <c r="EX18" s="120">
        <v>11</v>
      </c>
      <c r="EY18" s="89"/>
      <c r="EZ18" s="61"/>
      <c r="FA18" s="61"/>
      <c r="FB18" s="61"/>
      <c r="FC18" s="61"/>
      <c r="FD18" s="61"/>
      <c r="FE18" s="61"/>
      <c r="FF18" s="61"/>
      <c r="FG18" s="61"/>
      <c r="FH18" s="61"/>
      <c r="FI18" s="124">
        <f>$DR$8</f>
        <v>-0.09333333333333334</v>
      </c>
      <c r="FJ18" s="124">
        <f>$DR$8-$DQ$8</f>
        <v>-0.28</v>
      </c>
      <c r="FK18" s="124">
        <f>$DR$8-($DQ$8*2)</f>
        <v>-0.4666666666666667</v>
      </c>
      <c r="FL18" s="124">
        <f>$DR$8-($DQ$8*3)</f>
        <v>-0.6533333333333334</v>
      </c>
      <c r="FM18" s="124">
        <f>$DR$8-($DQ$8*4)</f>
        <v>-0.8400000000000001</v>
      </c>
      <c r="FN18" s="110">
        <f>$DR$8-($DQ$8*5)</f>
        <v>-1.0266666666666666</v>
      </c>
    </row>
    <row r="19" spans="1:170" s="30" customFormat="1" ht="15.75" customHeight="1">
      <c r="A19" s="36"/>
      <c r="B19" s="36" t="s">
        <v>42</v>
      </c>
      <c r="C19" s="36"/>
      <c r="D19" s="36"/>
      <c r="E19" s="36"/>
      <c r="F19" s="36"/>
      <c r="G19" s="36"/>
      <c r="H19" s="36"/>
      <c r="I19" s="36"/>
      <c r="J19" s="36"/>
      <c r="K19" s="246" t="s">
        <v>150</v>
      </c>
      <c r="L19" s="246"/>
      <c r="M19" s="246"/>
      <c r="N19" s="246"/>
      <c r="O19" s="246"/>
      <c r="P19" s="262"/>
      <c r="Q19" s="39"/>
      <c r="R19" s="37"/>
      <c r="S19" s="37"/>
      <c r="T19" s="37"/>
      <c r="U19" s="37"/>
      <c r="V19" s="167"/>
      <c r="W19" s="167"/>
      <c r="X19" s="37"/>
      <c r="Y19" s="37"/>
      <c r="Z19" s="37"/>
      <c r="AA19" s="52"/>
      <c r="AB19" s="290"/>
      <c r="AC19" s="23"/>
      <c r="AD19" s="23"/>
      <c r="AE19" s="23"/>
      <c r="AF19" s="23"/>
      <c r="AG19" s="23"/>
      <c r="AH19" s="4"/>
      <c r="AI19" s="23"/>
      <c r="AJ19" s="23"/>
      <c r="AK19" s="23"/>
      <c r="AL19" s="23"/>
      <c r="AM19" s="23"/>
      <c r="AN19" s="23"/>
      <c r="AO19" s="23"/>
      <c r="AP19" s="23"/>
      <c r="CA19" s="205">
        <f>(PI()*CM19)*CS19</f>
        <v>0</v>
      </c>
      <c r="CB19" s="205"/>
      <c r="CC19" s="205">
        <f>(PI()*CQ19)*CT19</f>
        <v>0</v>
      </c>
      <c r="CD19" s="205"/>
      <c r="CE19" s="96"/>
      <c r="CF19" s="96"/>
      <c r="CG19" s="246">
        <f>CU19-1</f>
        <v>-1</v>
      </c>
      <c r="CH19" s="246" t="s">
        <v>74</v>
      </c>
      <c r="CI19" s="98"/>
      <c r="CJ19" s="255">
        <f>(B_1-(CW$39*2)-(CS19*CM19)-(CT19*CQ19)-(Covering*100*2))/CG19</f>
        <v>-8.8</v>
      </c>
      <c r="CK19" s="247">
        <v>1</v>
      </c>
      <c r="CL19" s="247">
        <v>1</v>
      </c>
      <c r="CM19" s="256">
        <f>VLOOKUP(CK19,$CR$7:$CU$13,4,TRUE)</f>
        <v>0</v>
      </c>
      <c r="CN19" s="250">
        <f>VLOOKUP(CK19,$CR$7:$CW$13,6,TRUE)</f>
        <v>0</v>
      </c>
      <c r="CO19" s="247">
        <v>1</v>
      </c>
      <c r="CP19" s="247">
        <v>1</v>
      </c>
      <c r="CQ19" s="256">
        <f>VLOOKUP(CO19,$CR$7:$CU$13,4,TRUE)</f>
        <v>0</v>
      </c>
      <c r="CR19" s="255">
        <f>VLOOKUP(CO19,$CR$7:$CW$13,6,TRUE)</f>
        <v>0</v>
      </c>
      <c r="CS19" s="247">
        <f t="shared" si="10"/>
        <v>0</v>
      </c>
      <c r="CT19" s="247">
        <f t="shared" si="11"/>
        <v>0</v>
      </c>
      <c r="CU19" s="247">
        <f t="shared" si="12"/>
        <v>0</v>
      </c>
      <c r="CV19" s="275">
        <f t="shared" si="13"/>
        <v>0</v>
      </c>
      <c r="CW19" s="246" t="b">
        <v>1</v>
      </c>
      <c r="CX19" s="248">
        <f>(CN19*CS19)</f>
        <v>0</v>
      </c>
      <c r="CY19" s="248">
        <f>(CR19*CT19)</f>
        <v>0</v>
      </c>
      <c r="CZ19" s="245"/>
      <c r="DA19" s="245"/>
      <c r="DB19" s="250">
        <f>(DC10+5+DD17+CW39+DD18+(CM19/2))*CN19*CS19</f>
        <v>0</v>
      </c>
      <c r="DC19" s="250">
        <f>(DC10+5+DD17+CW39+DD18+(CQ19/2))*CR19*CT19</f>
        <v>0</v>
      </c>
      <c r="DD19" s="247"/>
      <c r="DE19" s="245"/>
      <c r="DF19" s="245"/>
      <c r="DG19" s="252"/>
      <c r="DH19" s="252"/>
      <c r="DI19" s="252"/>
      <c r="DJ19" s="251"/>
      <c r="DK19" s="251"/>
      <c r="DL19" s="245"/>
      <c r="DM19" s="245"/>
      <c r="DN19" s="182"/>
      <c r="DO19" s="183"/>
      <c r="DS19" s="120"/>
      <c r="DT19" s="114"/>
      <c r="DU19" s="110">
        <f>DU16*DV10</f>
        <v>0.21333333333333337</v>
      </c>
      <c r="DW19" s="132">
        <f>-DT$13</f>
        <v>-0.13333333333333333</v>
      </c>
      <c r="DX19" s="111">
        <f>DU$13</f>
        <v>0.33333333333333337</v>
      </c>
      <c r="DY19" s="117">
        <v>12</v>
      </c>
      <c r="DZ19" s="124">
        <f>VLOOKUP(12,$EX$8:$FN$23,DZ$5+1,TRUE)</f>
        <v>0</v>
      </c>
      <c r="EA19" s="124">
        <f>VLOOKUP(12,$EX$27:$FN$42,EA$5+1,TRUE)</f>
        <v>12</v>
      </c>
      <c r="EB19" s="110">
        <f>VLOOKUP(12,$EX$46:$FN$61,EB$5+1,TRUE)</f>
        <v>12</v>
      </c>
      <c r="EC19" s="124">
        <f>VLOOKUP(12,$EF$8:$EV$23,EC$5+1,TRUE)</f>
        <v>0</v>
      </c>
      <c r="ED19" s="124">
        <f>VLOOKUP(12,$EF$27:$EV$42,ED$5+1,TRUE)</f>
        <v>12</v>
      </c>
      <c r="EE19" s="110">
        <f>VLOOKUP(12,$EF$46:$EV$61,EE$5+1,TRUE)</f>
        <v>12</v>
      </c>
      <c r="EF19" s="52">
        <v>12</v>
      </c>
      <c r="EG19" s="89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124">
        <f>$DR$13</f>
        <v>-0.09333333333333334</v>
      </c>
      <c r="ES19" s="124">
        <f>$DR$13-$DQ$14</f>
        <v>-0.28</v>
      </c>
      <c r="ET19" s="124">
        <f>$DR$13-($DQ$14*2)</f>
        <v>-0.4666666666666667</v>
      </c>
      <c r="EU19" s="124">
        <f>$DR$13-($DQ$14*3)</f>
        <v>-0.6533333333333334</v>
      </c>
      <c r="EV19" s="110">
        <f>$DR$13-($DQ$14*4)</f>
        <v>-0.8400000000000001</v>
      </c>
      <c r="EX19" s="120">
        <v>12</v>
      </c>
      <c r="EY19" s="89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124">
        <f>$DR$8</f>
        <v>-0.09333333333333334</v>
      </c>
      <c r="FK19" s="124">
        <f>$DR$8-$DQ$8</f>
        <v>-0.28</v>
      </c>
      <c r="FL19" s="124">
        <f>$DR$8-($DQ$8*2)</f>
        <v>-0.4666666666666667</v>
      </c>
      <c r="FM19" s="124">
        <f>$DR$8-($DQ$8*3)</f>
        <v>-0.6533333333333334</v>
      </c>
      <c r="FN19" s="110">
        <f>$DR$8-($DQ$8*4)</f>
        <v>-0.8400000000000001</v>
      </c>
    </row>
    <row r="20" spans="1:170" s="30" customFormat="1" ht="15.75" customHeight="1">
      <c r="A20" s="36"/>
      <c r="B20" s="36" t="s">
        <v>43</v>
      </c>
      <c r="C20" s="36"/>
      <c r="D20" s="36"/>
      <c r="E20" s="36"/>
      <c r="F20" s="36"/>
      <c r="G20" s="36"/>
      <c r="H20" s="36"/>
      <c r="I20" s="36"/>
      <c r="J20" s="36"/>
      <c r="K20" s="36"/>
      <c r="L20" s="32" t="s">
        <v>3</v>
      </c>
      <c r="M20" s="241">
        <v>0.15</v>
      </c>
      <c r="N20" s="241"/>
      <c r="O20" s="241"/>
      <c r="P20" s="262"/>
      <c r="Q20" s="39"/>
      <c r="R20" s="37"/>
      <c r="S20" s="37"/>
      <c r="T20" s="37"/>
      <c r="U20" s="37"/>
      <c r="V20" s="167">
        <f>IF(CV18=0,"",IF(CV18&lt;&gt;0,CV18))</f>
      </c>
      <c r="W20" s="167"/>
      <c r="X20" s="37"/>
      <c r="Y20" s="37"/>
      <c r="Z20" s="37"/>
      <c r="AA20" s="52"/>
      <c r="AB20" s="290"/>
      <c r="AC20" s="23"/>
      <c r="AD20" s="23"/>
      <c r="AE20" s="23"/>
      <c r="AF20" s="23"/>
      <c r="AG20" s="23"/>
      <c r="AH20" s="4"/>
      <c r="AI20" s="23"/>
      <c r="AJ20" s="23"/>
      <c r="AK20" s="23"/>
      <c r="AL20" s="23"/>
      <c r="AM20" s="23"/>
      <c r="AN20" s="23"/>
      <c r="AO20" s="23"/>
      <c r="AP20" s="23"/>
      <c r="CA20" s="208">
        <f>SUM(CA17:CB19)+SUM(CC17:CD19)</f>
        <v>7.5398223686155035</v>
      </c>
      <c r="CB20" s="208"/>
      <c r="CC20" s="208"/>
      <c r="CD20" s="208"/>
      <c r="CE20" s="96"/>
      <c r="CF20" s="96"/>
      <c r="CG20" s="246"/>
      <c r="CH20" s="246"/>
      <c r="CI20" s="98"/>
      <c r="CJ20" s="255"/>
      <c r="CK20" s="247"/>
      <c r="CL20" s="247"/>
      <c r="CM20" s="256"/>
      <c r="CN20" s="250"/>
      <c r="CO20" s="247"/>
      <c r="CP20" s="247"/>
      <c r="CQ20" s="256"/>
      <c r="CR20" s="255"/>
      <c r="CS20" s="247"/>
      <c r="CT20" s="247"/>
      <c r="CU20" s="247"/>
      <c r="CV20" s="275"/>
      <c r="CW20" s="246"/>
      <c r="CX20" s="248"/>
      <c r="CY20" s="248"/>
      <c r="CZ20" s="245"/>
      <c r="DA20" s="245"/>
      <c r="DB20" s="250"/>
      <c r="DC20" s="250"/>
      <c r="DD20" s="247"/>
      <c r="DE20" s="245"/>
      <c r="DF20" s="245"/>
      <c r="DG20" s="252"/>
      <c r="DH20" s="252"/>
      <c r="DI20" s="252"/>
      <c r="DJ20" s="251"/>
      <c r="DK20" s="251"/>
      <c r="DL20" s="245"/>
      <c r="DM20" s="245"/>
      <c r="DN20" s="98"/>
      <c r="DO20" s="98"/>
      <c r="DS20" s="120"/>
      <c r="DT20" s="120"/>
      <c r="DU20" s="110">
        <f>DU17*DV10</f>
        <v>0.13333333333333336</v>
      </c>
      <c r="DY20" s="117">
        <v>13</v>
      </c>
      <c r="DZ20" s="124">
        <f>VLOOKUP(13,$EX$8:$FN$23,DZ$5+1,TRUE)</f>
        <v>0</v>
      </c>
      <c r="EA20" s="124">
        <f>VLOOKUP(13,$EX$27:$FN$42,EA$5+1,TRUE)</f>
        <v>13</v>
      </c>
      <c r="EB20" s="110">
        <f>VLOOKUP(13,$EX$46:$FN$61,EB$5+1,TRUE)</f>
        <v>13</v>
      </c>
      <c r="EC20" s="124">
        <f>VLOOKUP(13,$EF$8:$EV$23,EC$5+1,TRUE)</f>
        <v>0</v>
      </c>
      <c r="ED20" s="124">
        <f>VLOOKUP(13,$EF$27:$EV$42,ED$5+1,TRUE)</f>
        <v>13</v>
      </c>
      <c r="EE20" s="110">
        <f>VLOOKUP(13,$EF$46:$EV$61,EE$5+1,TRUE)</f>
        <v>13</v>
      </c>
      <c r="EF20" s="52">
        <v>13</v>
      </c>
      <c r="EG20" s="89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124">
        <f>$DR$13</f>
        <v>-0.09333333333333334</v>
      </c>
      <c r="ET20" s="124">
        <f>$DR$13-$DQ$14</f>
        <v>-0.28</v>
      </c>
      <c r="EU20" s="124">
        <f>$DR$13-($DQ$14*2)</f>
        <v>-0.4666666666666667</v>
      </c>
      <c r="EV20" s="110">
        <f>$DR$13-($DQ$14*3)</f>
        <v>-0.6533333333333334</v>
      </c>
      <c r="EX20" s="120">
        <v>13</v>
      </c>
      <c r="EY20" s="89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124">
        <f>$DR$8</f>
        <v>-0.09333333333333334</v>
      </c>
      <c r="FL20" s="124">
        <f>$DR$8-$DQ$8</f>
        <v>-0.28</v>
      </c>
      <c r="FM20" s="124">
        <f>$DR$8-($DQ$8*2)</f>
        <v>-0.4666666666666667</v>
      </c>
      <c r="FN20" s="110">
        <f>$DR$8-($DQ$8*3)</f>
        <v>-0.6533333333333334</v>
      </c>
    </row>
    <row r="21" spans="1:170" s="30" customFormat="1" ht="15.75" customHeight="1" thickBot="1">
      <c r="A21" s="36"/>
      <c r="B21" s="36" t="s">
        <v>44</v>
      </c>
      <c r="C21" s="36"/>
      <c r="D21" s="36"/>
      <c r="E21" s="36"/>
      <c r="F21" s="42">
        <f>IF(BV43=1,"",IF(BV43=2,"Chang Depth t&gt;8b of Narrow Beam"))</f>
      </c>
      <c r="G21" s="36"/>
      <c r="H21" s="36"/>
      <c r="I21" s="36"/>
      <c r="J21" s="36"/>
      <c r="K21" s="36"/>
      <c r="L21" s="32" t="s">
        <v>3</v>
      </c>
      <c r="M21" s="241">
        <v>0.3</v>
      </c>
      <c r="N21" s="241"/>
      <c r="O21" s="241"/>
      <c r="Q21" s="39"/>
      <c r="R21" s="37"/>
      <c r="S21" s="37"/>
      <c r="T21" s="37"/>
      <c r="U21" s="37"/>
      <c r="V21" s="167">
        <f>IF(CV19=0,"",IF(CV19&lt;&gt;0,CV19))</f>
      </c>
      <c r="W21" s="167"/>
      <c r="X21" s="37"/>
      <c r="Y21" s="37"/>
      <c r="Z21" s="37"/>
      <c r="AA21" s="52"/>
      <c r="AB21" s="290"/>
      <c r="AC21" s="173"/>
      <c r="AD21" s="174"/>
      <c r="AE21" s="174"/>
      <c r="AF21" s="174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CD21" s="96"/>
      <c r="CE21" s="96"/>
      <c r="CF21" s="96"/>
      <c r="CG21" s="96"/>
      <c r="CH21" s="98"/>
      <c r="CI21" s="98"/>
      <c r="CJ21" s="103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104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251"/>
      <c r="DK21" s="251"/>
      <c r="DL21" s="245"/>
      <c r="DM21" s="245"/>
      <c r="DN21" s="98"/>
      <c r="DO21" s="98"/>
      <c r="DP21" s="44"/>
      <c r="DQ21" s="199" t="s">
        <v>213</v>
      </c>
      <c r="DR21" s="199"/>
      <c r="DS21" s="199" t="s">
        <v>220</v>
      </c>
      <c r="DT21" s="199"/>
      <c r="DU21" s="199" t="s">
        <v>221</v>
      </c>
      <c r="DV21" s="232"/>
      <c r="DY21" s="117">
        <v>14</v>
      </c>
      <c r="DZ21" s="124">
        <f>VLOOKUP(14,$EX$8:$FN$23,DZ$5+1,TRUE)</f>
        <v>0</v>
      </c>
      <c r="EA21" s="124">
        <f>VLOOKUP(14,$EX$27:$FN$42,EA$5+1,TRUE)</f>
        <v>14</v>
      </c>
      <c r="EB21" s="110">
        <f>VLOOKUP(14,$EX$46:$FN$61,EB$5+1,TRUE)</f>
        <v>14</v>
      </c>
      <c r="EC21" s="124">
        <f>VLOOKUP(14,$EF$8:$EV$23,EC$5+1,TRUE)</f>
        <v>0</v>
      </c>
      <c r="ED21" s="124">
        <f>VLOOKUP(14,$EF$27:$EV$42,ED$5+1,TRUE)</f>
        <v>14</v>
      </c>
      <c r="EE21" s="110">
        <f>VLOOKUP(14,$EF$46:$EV$61,EE$5+1,TRUE)</f>
        <v>14</v>
      </c>
      <c r="EF21" s="52">
        <v>14</v>
      </c>
      <c r="EG21" s="89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124">
        <f>$DR$13</f>
        <v>-0.09333333333333334</v>
      </c>
      <c r="EU21" s="124">
        <f>$DR$13-$DQ$14</f>
        <v>-0.28</v>
      </c>
      <c r="EV21" s="110">
        <f>$DR$13-($DQ$14*2)</f>
        <v>-0.4666666666666667</v>
      </c>
      <c r="EX21" s="120">
        <v>14</v>
      </c>
      <c r="EY21" s="89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124">
        <f>$DR$8</f>
        <v>-0.09333333333333334</v>
      </c>
      <c r="FM21" s="124">
        <f>$DR$8-$DQ$8</f>
        <v>-0.28</v>
      </c>
      <c r="FN21" s="110">
        <f>$DR$8-($DQ$8*2)</f>
        <v>-0.4666666666666667</v>
      </c>
    </row>
    <row r="22" spans="1:170" s="30" customFormat="1" ht="15.75" customHeight="1" thickBot="1">
      <c r="A22" s="36"/>
      <c r="B22" s="30" t="s">
        <v>45</v>
      </c>
      <c r="L22" s="32" t="s">
        <v>3</v>
      </c>
      <c r="M22" s="241">
        <v>1.2</v>
      </c>
      <c r="N22" s="241"/>
      <c r="O22" s="241"/>
      <c r="Q22" s="39"/>
      <c r="R22" s="37"/>
      <c r="S22" s="37"/>
      <c r="T22" s="37"/>
      <c r="U22" s="37"/>
      <c r="V22" s="168"/>
      <c r="W22" s="169"/>
      <c r="X22" s="37"/>
      <c r="Y22" s="37"/>
      <c r="Z22" s="37"/>
      <c r="AA22" s="52"/>
      <c r="AB22" s="290"/>
      <c r="AC22" s="235" t="s">
        <v>234</v>
      </c>
      <c r="AD22" s="236"/>
      <c r="AE22" s="236"/>
      <c r="AF22" s="237"/>
      <c r="AG22" s="172"/>
      <c r="AH22" s="172"/>
      <c r="AI22" s="172"/>
      <c r="AJ22" s="23"/>
      <c r="AK22" s="23"/>
      <c r="AL22" s="23"/>
      <c r="AM22" s="23"/>
      <c r="AN22" s="23"/>
      <c r="AO22" s="23"/>
      <c r="AP22" s="23"/>
      <c r="CD22" s="96"/>
      <c r="CE22" s="96"/>
      <c r="CF22" s="96"/>
      <c r="CG22" s="96"/>
      <c r="CH22" s="98"/>
      <c r="CI22" s="98"/>
      <c r="CJ22" s="103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104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251"/>
      <c r="DK22" s="251"/>
      <c r="DL22" s="245"/>
      <c r="DM22" s="245"/>
      <c r="DN22" s="98"/>
      <c r="DO22" s="98"/>
      <c r="DP22" s="48"/>
      <c r="DQ22" s="61" t="s">
        <v>104</v>
      </c>
      <c r="DR22" s="61" t="s">
        <v>208</v>
      </c>
      <c r="DS22" s="61" t="s">
        <v>104</v>
      </c>
      <c r="DT22" s="61" t="s">
        <v>208</v>
      </c>
      <c r="DU22" s="61" t="s">
        <v>104</v>
      </c>
      <c r="DV22" s="49" t="s">
        <v>208</v>
      </c>
      <c r="DY22" s="117">
        <v>15</v>
      </c>
      <c r="DZ22" s="124">
        <f>VLOOKUP(15,$EX$8:$FN$23,DZ$5+1,TRUE)</f>
        <v>0</v>
      </c>
      <c r="EA22" s="124">
        <f>VLOOKUP(15,$EX$27:$FN$42,EA$5+1,TRUE)</f>
        <v>15</v>
      </c>
      <c r="EB22" s="110">
        <f>VLOOKUP(15,$EX$46:$FN$61,EB$5+1,TRUE)</f>
        <v>15</v>
      </c>
      <c r="EC22" s="124">
        <f>VLOOKUP(15,$EF$8:$EV$23,EC$5+1,TRUE)</f>
        <v>0</v>
      </c>
      <c r="ED22" s="124">
        <f>VLOOKUP(15,$EF$27:$EV$42,ED$5+1,TRUE)</f>
        <v>15</v>
      </c>
      <c r="EE22" s="110">
        <f>VLOOKUP(15,$EF$46:$EV$61,EE$5+1,TRUE)</f>
        <v>15</v>
      </c>
      <c r="EF22" s="52">
        <v>15</v>
      </c>
      <c r="EG22" s="89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124">
        <f>$DR$13</f>
        <v>-0.09333333333333334</v>
      </c>
      <c r="EV22" s="110">
        <f>$DR$13-$DQ$14</f>
        <v>-0.28</v>
      </c>
      <c r="EX22" s="120">
        <v>15</v>
      </c>
      <c r="EY22" s="89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124">
        <f>$DR$8</f>
        <v>-0.09333333333333334</v>
      </c>
      <c r="FN22" s="110">
        <f>$DR$8-$DQ$8</f>
        <v>-0.28</v>
      </c>
    </row>
    <row r="23" spans="2:170" s="30" customFormat="1" ht="15.75" customHeight="1" thickBot="1">
      <c r="B23" s="30" t="s">
        <v>46</v>
      </c>
      <c r="L23" s="32" t="s">
        <v>3</v>
      </c>
      <c r="M23" s="206">
        <f>IF(D="","",IF(D&lt;&gt;"",DL26))</f>
        <v>0.037000000000000005</v>
      </c>
      <c r="N23" s="206"/>
      <c r="O23" s="206"/>
      <c r="Q23" s="39"/>
      <c r="R23" s="37"/>
      <c r="S23" s="37"/>
      <c r="T23" s="37"/>
      <c r="U23" s="37"/>
      <c r="V23" s="170"/>
      <c r="W23" s="170"/>
      <c r="X23" s="37"/>
      <c r="Y23" s="37"/>
      <c r="Z23" s="37"/>
      <c r="AA23" s="52"/>
      <c r="AB23" s="290"/>
      <c r="AC23" s="238"/>
      <c r="AD23" s="239"/>
      <c r="AE23" s="239"/>
      <c r="AF23" s="240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CA23" s="205">
        <f>(PI()*CM23)*CS23</f>
        <v>0</v>
      </c>
      <c r="CB23" s="205"/>
      <c r="CC23" s="205">
        <f>(PI()*CQ23)*CT23</f>
        <v>0</v>
      </c>
      <c r="CD23" s="205"/>
      <c r="CE23" s="96"/>
      <c r="CF23" s="96"/>
      <c r="CG23" s="91">
        <f>CU23-1</f>
        <v>-1</v>
      </c>
      <c r="CH23" s="98" t="s">
        <v>76</v>
      </c>
      <c r="CI23" s="98"/>
      <c r="CJ23" s="92">
        <f>(B_1-(CW$39*2)-(CS23*CM23)-(CT23*CQ23)-(Covering*100*2))/CG23</f>
        <v>-8.8</v>
      </c>
      <c r="CK23" s="96">
        <v>1</v>
      </c>
      <c r="CL23" s="96">
        <v>1</v>
      </c>
      <c r="CM23" s="97">
        <f>VLOOKUP(CK23,$CR$7:$CU$13,4,TRUE)</f>
        <v>0</v>
      </c>
      <c r="CN23" s="99">
        <f>VLOOKUP(CK23,$CR$7:$CW$13,6,TRUE)</f>
        <v>0</v>
      </c>
      <c r="CO23" s="96">
        <v>1</v>
      </c>
      <c r="CP23" s="96">
        <v>1</v>
      </c>
      <c r="CQ23" s="97">
        <f>VLOOKUP(CO23,$CR$7:$CU$13,4,TRUE)</f>
        <v>0</v>
      </c>
      <c r="CR23" s="99">
        <f>VLOOKUP(CO23,$CR$7:$CW$13,6,TRUE)</f>
        <v>0</v>
      </c>
      <c r="CS23" s="96">
        <f t="shared" si="10"/>
        <v>0</v>
      </c>
      <c r="CT23" s="96">
        <f t="shared" si="11"/>
        <v>0</v>
      </c>
      <c r="CU23" s="96">
        <f t="shared" si="12"/>
        <v>0</v>
      </c>
      <c r="CV23" s="100">
        <f t="shared" si="13"/>
        <v>0</v>
      </c>
      <c r="CW23" s="96" t="b">
        <v>1</v>
      </c>
      <c r="CX23" s="101">
        <f>(CN23*CS23)</f>
        <v>0</v>
      </c>
      <c r="CY23" s="101">
        <f>(CR23*CT23)</f>
        <v>0</v>
      </c>
      <c r="CZ23" s="249">
        <f>SUM(CX23:CX25)+SUM(CY23:CY25)</f>
        <v>2.26</v>
      </c>
      <c r="DA23" s="245"/>
      <c r="DB23" s="102">
        <f>(DC10+5+DD25+DD24+CW39+(CM23/2))*CN23*CS23</f>
        <v>0</v>
      </c>
      <c r="DC23" s="102">
        <f>(DC10+5+DD25+DD24+CW39+(CQ23/2))*CR23*CT23</f>
        <v>0</v>
      </c>
      <c r="DD23" s="96"/>
      <c r="DE23" s="249">
        <f>SUM(DB23:DB25)+SUM(DC23:DC25)</f>
        <v>8.362</v>
      </c>
      <c r="DF23" s="245"/>
      <c r="DG23" s="252">
        <f>DE23/CZ23</f>
        <v>3.7</v>
      </c>
      <c r="DH23" s="252"/>
      <c r="DI23" s="252"/>
      <c r="DJ23" s="251"/>
      <c r="DK23" s="251"/>
      <c r="DL23" s="245"/>
      <c r="DM23" s="245"/>
      <c r="DN23" s="98"/>
      <c r="DO23" s="98"/>
      <c r="DP23" s="48">
        <v>1</v>
      </c>
      <c r="DQ23" s="124">
        <f>IF(DO13=1,EC8,IF(DO13&gt;1,-DT18))</f>
        <v>-0.09333333333333334</v>
      </c>
      <c r="DR23" s="124">
        <f>-$DU$18</f>
        <v>-0.2933333333333334</v>
      </c>
      <c r="DS23" s="124">
        <f>IF(DO15=1,EC8,IF(DO15=2,ED8,IF(DO15=3,DQ23,IF(DO15=4,ED8,IF(DO15=5,-DT18)))))</f>
        <v>-0.09333333333333334</v>
      </c>
      <c r="DT23" s="124">
        <f>IF($ED$5=0,DR23,IF($ED$5&gt;0,-$DU$19))</f>
        <v>-0.2933333333333334</v>
      </c>
      <c r="DU23" s="124">
        <f>IF(DO16=1,EC8,IF(DO16=2,EE8,IF(DO16=3,DQ23,IF(DO16=4,EE8,IF(DO16=5,-DT18)))))</f>
        <v>-0.09333333333333334</v>
      </c>
      <c r="DV23" s="110">
        <f>IF($EE$5=0,DR23,IF($EE$5&gt;0,-$DU$20))</f>
        <v>-0.2933333333333334</v>
      </c>
      <c r="DY23" s="123">
        <v>16</v>
      </c>
      <c r="DZ23" s="125">
        <f>VLOOKUP(16,$EX$8:$FN$23,DZ$5+1,TRUE)</f>
        <v>0</v>
      </c>
      <c r="EA23" s="125">
        <f>VLOOKUP(16,$EX$27:$FN$42,EA$5+1,TRUE)</f>
        <v>16</v>
      </c>
      <c r="EB23" s="113">
        <f>VLOOKUP(16,$EX$46:$FN$61,EB$5+1,TRUE)</f>
        <v>16</v>
      </c>
      <c r="EC23" s="125">
        <f>VLOOKUP(16,$EF$8:$EV$23,EC$5+1,TRUE)</f>
        <v>0</v>
      </c>
      <c r="ED23" s="125">
        <f>VLOOKUP(16,$EF$27:$EV$42,ED$5+1,TRUE)</f>
        <v>16</v>
      </c>
      <c r="EE23" s="113">
        <f>VLOOKUP(16,$EF$46:$EV$61,EE$5+1,TRUE)</f>
        <v>16</v>
      </c>
      <c r="EF23" s="55">
        <v>16</v>
      </c>
      <c r="EG23" s="12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3">
        <f>$DR$13</f>
        <v>-0.09333333333333334</v>
      </c>
      <c r="EX23" s="63">
        <v>16</v>
      </c>
      <c r="EY23" s="12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3">
        <f>$DR$8</f>
        <v>-0.09333333333333334</v>
      </c>
    </row>
    <row r="24" spans="2:135" s="30" customFormat="1" ht="15.75" customHeight="1">
      <c r="B24" s="36" t="s">
        <v>47</v>
      </c>
      <c r="C24" s="36"/>
      <c r="D24" s="36"/>
      <c r="E24" s="36"/>
      <c r="F24" s="36"/>
      <c r="G24" s="36"/>
      <c r="H24" s="36"/>
      <c r="I24" s="36"/>
      <c r="J24" s="36"/>
      <c r="K24" s="36"/>
      <c r="L24" s="32" t="s">
        <v>3</v>
      </c>
      <c r="M24" s="206">
        <f>IF(D="","",D-d_)</f>
        <v>0.263</v>
      </c>
      <c r="N24" s="206"/>
      <c r="O24" s="206"/>
      <c r="Q24" s="39"/>
      <c r="R24" s="37"/>
      <c r="S24" s="37"/>
      <c r="T24" s="37"/>
      <c r="U24" s="37"/>
      <c r="V24" s="37"/>
      <c r="W24" s="37"/>
      <c r="X24" s="37"/>
      <c r="Y24" s="37"/>
      <c r="Z24" s="37"/>
      <c r="AA24" s="52"/>
      <c r="AB24" s="290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CA24" s="205">
        <f>(PI()*CM24)*CS24</f>
        <v>0</v>
      </c>
      <c r="CB24" s="205"/>
      <c r="CC24" s="205">
        <f>(PI()*CQ24)*CT24</f>
        <v>0</v>
      </c>
      <c r="CD24" s="205"/>
      <c r="CE24" s="96"/>
      <c r="CF24" s="96"/>
      <c r="CG24" s="91">
        <f>CU24-1</f>
        <v>-1</v>
      </c>
      <c r="CH24" s="98" t="s">
        <v>77</v>
      </c>
      <c r="CI24" s="98"/>
      <c r="CJ24" s="92">
        <f>(B_1-(CW$39*2)-(CS24*CM24)-(CT24*CQ24)-(Covering*100*2))/CG24</f>
        <v>-8.8</v>
      </c>
      <c r="CK24" s="96">
        <v>1</v>
      </c>
      <c r="CL24" s="96">
        <v>1</v>
      </c>
      <c r="CM24" s="97">
        <f>VLOOKUP(CK24,$CR$7:$CU$13,4,TRUE)</f>
        <v>0</v>
      </c>
      <c r="CN24" s="99">
        <f>VLOOKUP(CK24,$CR$7:$CW$13,6,TRUE)</f>
        <v>0</v>
      </c>
      <c r="CO24" s="96">
        <v>1</v>
      </c>
      <c r="CP24" s="96">
        <v>1</v>
      </c>
      <c r="CQ24" s="97">
        <f>VLOOKUP(CO24,$CR$7:$CU$13,4,TRUE)</f>
        <v>0</v>
      </c>
      <c r="CR24" s="99">
        <f>VLOOKUP(CO24,$CR$7:$CW$13,6,TRUE)</f>
        <v>0</v>
      </c>
      <c r="CS24" s="96">
        <f t="shared" si="10"/>
        <v>0</v>
      </c>
      <c r="CT24" s="96">
        <f t="shared" si="11"/>
        <v>0</v>
      </c>
      <c r="CU24" s="96">
        <f t="shared" si="12"/>
        <v>0</v>
      </c>
      <c r="CV24" s="100">
        <f t="shared" si="13"/>
        <v>0</v>
      </c>
      <c r="CW24" s="96" t="b">
        <v>1</v>
      </c>
      <c r="CX24" s="101">
        <f>(CN24*CS24)</f>
        <v>0</v>
      </c>
      <c r="CY24" s="101">
        <f>(CR24*CT24)</f>
        <v>0</v>
      </c>
      <c r="CZ24" s="245"/>
      <c r="DA24" s="245"/>
      <c r="DB24" s="102">
        <f>(DC10+2.5+CW39+DD25+(CM24/2))*CN24*CS24</f>
        <v>0</v>
      </c>
      <c r="DC24" s="102">
        <f>(DC10+2.5+CW39+DD25+(CQ24/2))*CR24*CT24</f>
        <v>0</v>
      </c>
      <c r="DD24" s="102">
        <f>IF(CM24=CQ24,CM24,IF(CM24&gt;CQ24,CM24,IF(CM24&lt;CQ24,CQ24)))</f>
        <v>0</v>
      </c>
      <c r="DE24" s="245"/>
      <c r="DF24" s="245"/>
      <c r="DG24" s="252"/>
      <c r="DH24" s="252"/>
      <c r="DI24" s="252"/>
      <c r="DJ24" s="251"/>
      <c r="DK24" s="251"/>
      <c r="DL24" s="245"/>
      <c r="DM24" s="245"/>
      <c r="DN24" s="98"/>
      <c r="DO24" s="98"/>
      <c r="DP24" s="48"/>
      <c r="DQ24" s="61"/>
      <c r="DR24" s="124"/>
      <c r="DS24" s="61"/>
      <c r="DT24" s="124"/>
      <c r="DU24" s="61"/>
      <c r="DV24" s="110"/>
      <c r="DY24" s="48"/>
      <c r="DZ24" s="37"/>
      <c r="EA24" s="37"/>
      <c r="EB24" s="52"/>
      <c r="EC24" s="37"/>
      <c r="ED24" s="37"/>
      <c r="EE24" s="52"/>
    </row>
    <row r="25" spans="2:154" s="30" customFormat="1" ht="15.75" customHeight="1">
      <c r="B25" s="36" t="s">
        <v>48</v>
      </c>
      <c r="C25" s="36"/>
      <c r="D25" s="36"/>
      <c r="E25" s="36"/>
      <c r="F25" s="36"/>
      <c r="G25" s="36"/>
      <c r="H25" s="36"/>
      <c r="I25" s="36"/>
      <c r="J25" s="36"/>
      <c r="K25" s="36"/>
      <c r="L25" s="32" t="s">
        <v>3</v>
      </c>
      <c r="M25" s="231">
        <v>0.025</v>
      </c>
      <c r="N25" s="231"/>
      <c r="O25" s="231"/>
      <c r="Q25" s="39"/>
      <c r="R25" s="37"/>
      <c r="S25" s="37"/>
      <c r="T25" s="37"/>
      <c r="U25" s="37"/>
      <c r="V25" s="89"/>
      <c r="W25" s="89"/>
      <c r="X25" s="37"/>
      <c r="Y25" s="37"/>
      <c r="Z25" s="37"/>
      <c r="AA25" s="52"/>
      <c r="AB25" s="290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CA25" s="205">
        <f>(PI()*CM25)*CS25</f>
        <v>7.5398223686155035</v>
      </c>
      <c r="CB25" s="205"/>
      <c r="CC25" s="205">
        <f>(PI()*CQ25)*CT25</f>
        <v>0</v>
      </c>
      <c r="CD25" s="205"/>
      <c r="CE25" s="96"/>
      <c r="CF25" s="96"/>
      <c r="CG25" s="91">
        <f>CU25-1</f>
        <v>1</v>
      </c>
      <c r="CH25" s="98" t="s">
        <v>78</v>
      </c>
      <c r="CI25" s="98"/>
      <c r="CJ25" s="92">
        <f>(B_1-(CW$39*2)-(CS25*CM25)-(CT25*CQ25)-(Covering*100*2))/CG25</f>
        <v>6.4</v>
      </c>
      <c r="CK25" s="96">
        <v>2</v>
      </c>
      <c r="CL25" s="96">
        <v>3</v>
      </c>
      <c r="CM25" s="97">
        <f>VLOOKUP(CK25,$CR$7:$CU$13,4,TRUE)</f>
        <v>1.2</v>
      </c>
      <c r="CN25" s="99">
        <f>VLOOKUP(CK25,$CR$7:$CW$13,6,TRUE)</f>
        <v>1.13</v>
      </c>
      <c r="CO25" s="96">
        <v>1</v>
      </c>
      <c r="CP25" s="96">
        <v>1</v>
      </c>
      <c r="CQ25" s="97">
        <f>VLOOKUP(CO25,$CR$7:$CU$13,4,TRUE)</f>
        <v>0</v>
      </c>
      <c r="CR25" s="99">
        <f>VLOOKUP(CO25,$CR$7:$CW$13,6,TRUE)</f>
        <v>0</v>
      </c>
      <c r="CS25" s="96">
        <f t="shared" si="10"/>
        <v>2</v>
      </c>
      <c r="CT25" s="96">
        <f t="shared" si="11"/>
        <v>0</v>
      </c>
      <c r="CU25" s="96">
        <f t="shared" si="12"/>
        <v>2</v>
      </c>
      <c r="CV25" s="100" t="str">
        <f t="shared" si="13"/>
        <v>●            ●</v>
      </c>
      <c r="CW25" s="96" t="b">
        <v>1</v>
      </c>
      <c r="CX25" s="101">
        <f>(CN25*CS25)</f>
        <v>2.26</v>
      </c>
      <c r="CY25" s="101">
        <f>(CR25*CT25)</f>
        <v>0</v>
      </c>
      <c r="CZ25" s="245"/>
      <c r="DA25" s="245"/>
      <c r="DB25" s="102">
        <f>(DC10+CW39+(CM25/2))*CN25*CS25</f>
        <v>8.362</v>
      </c>
      <c r="DC25" s="102">
        <f>(DC10+CW39+(CQ25/2))*CR25*CT25</f>
        <v>0</v>
      </c>
      <c r="DD25" s="102">
        <f>IF(CM25=CQ25,CM25,IF(CM25&gt;CQ25,CM25,IF(CM25&lt;CQ25,CQ25)))</f>
        <v>1.2</v>
      </c>
      <c r="DE25" s="245"/>
      <c r="DF25" s="245"/>
      <c r="DG25" s="252"/>
      <c r="DH25" s="252"/>
      <c r="DI25" s="252"/>
      <c r="DJ25" s="251"/>
      <c r="DK25" s="251"/>
      <c r="DL25" s="245"/>
      <c r="DM25" s="245"/>
      <c r="DN25" s="98"/>
      <c r="DO25" s="98"/>
      <c r="DP25" s="48">
        <v>2</v>
      </c>
      <c r="DQ25" s="124">
        <f>IF($DO$13&lt;=2,$EC$25,IF($DO$13&gt;2,EC10))</f>
        <v>0.09333333333333334</v>
      </c>
      <c r="DR25" s="124">
        <f aca="true" t="shared" si="14" ref="DR25:DR51">-$DU$18</f>
        <v>-0.2933333333333334</v>
      </c>
      <c r="DS25" s="124" t="e">
        <f>IF($DO$12&lt;=2,$ED$25,IF($DO$12&gt;2,ED10))</f>
        <v>#N/A</v>
      </c>
      <c r="DT25" s="124">
        <f aca="true" t="shared" si="15" ref="DT25:DT53">IF($ED$5=0,DR25,IF($ED$5&gt;0,-$DU$19))</f>
        <v>-0.2933333333333334</v>
      </c>
      <c r="DU25" s="124" t="e">
        <f>IF($DO$11&lt;=2,$EE$25,IF($DO$11&gt;2,EE10))</f>
        <v>#N/A</v>
      </c>
      <c r="DV25" s="110">
        <f aca="true" t="shared" si="16" ref="DV25:DV53">IF($EE$5=0,DR25,IF($EE$5&gt;0,-$DU$20))</f>
        <v>-0.2933333333333334</v>
      </c>
      <c r="DY25" s="53"/>
      <c r="DZ25" s="125">
        <f>VLOOKUP(DZ$5,$DY$8:$EE$23,2,TRUE)</f>
        <v>0.09333333333333334</v>
      </c>
      <c r="EA25" s="125" t="e">
        <f>VLOOKUP(EA$5,$DY$8:$EE$23,3,TRUE)</f>
        <v>#N/A</v>
      </c>
      <c r="EB25" s="113" t="e">
        <f>VLOOKUP(EB$5,$DY$8:$EE$23,4,TRUE)</f>
        <v>#N/A</v>
      </c>
      <c r="EC25" s="125">
        <f>VLOOKUP(EC$5,$DY$8:$EE$23,5,TRUE)</f>
        <v>0.09333333333333334</v>
      </c>
      <c r="ED25" s="125" t="e">
        <f>VLOOKUP(ED$5,$DY$8:$EE$23,6,TRUE)</f>
        <v>#N/A</v>
      </c>
      <c r="EE25" s="113" t="e">
        <f>VLOOKUP(EE$5,$DY$8:$EE$23,7,TRUE)</f>
        <v>#N/A</v>
      </c>
      <c r="EF25" s="30" t="s">
        <v>229</v>
      </c>
      <c r="EX25" s="30" t="s">
        <v>232</v>
      </c>
    </row>
    <row r="26" spans="1:170" s="30" customFormat="1" ht="15.75" customHeight="1">
      <c r="A26" s="36"/>
      <c r="B26" s="36" t="s">
        <v>130</v>
      </c>
      <c r="C26" s="36"/>
      <c r="D26" s="36"/>
      <c r="E26" s="36"/>
      <c r="F26" s="36"/>
      <c r="G26" s="36"/>
      <c r="H26" s="36"/>
      <c r="I26" s="36"/>
      <c r="J26" s="36"/>
      <c r="K26" s="36"/>
      <c r="L26" s="32" t="s">
        <v>3</v>
      </c>
      <c r="M26" s="230"/>
      <c r="N26" s="230"/>
      <c r="O26" s="230"/>
      <c r="Q26" s="171" t="str">
        <f>IF(CN41=1,"Tension Area",IF(CN41=2,"Compression Area"))</f>
        <v>Tension Area</v>
      </c>
      <c r="R26" s="37"/>
      <c r="S26" s="37"/>
      <c r="T26" s="37"/>
      <c r="U26" s="37"/>
      <c r="V26" s="37"/>
      <c r="W26" s="37"/>
      <c r="X26" s="37"/>
      <c r="Y26" s="37"/>
      <c r="Z26" s="37"/>
      <c r="AA26" s="52"/>
      <c r="AB26" s="290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CA26" s="208">
        <f>SUM(CA23:CB25)+SUM(CC23:CD25)</f>
        <v>7.5398223686155035</v>
      </c>
      <c r="CB26" s="208"/>
      <c r="CC26" s="208"/>
      <c r="CD26" s="208"/>
      <c r="CH26" s="36"/>
      <c r="CI26" s="36"/>
      <c r="CJ26" s="36"/>
      <c r="CV26" s="40"/>
      <c r="DK26" s="30" t="s">
        <v>136</v>
      </c>
      <c r="DL26" s="206">
        <f>IF(DG28=2,AC23,IF(DG28=1,DL17))</f>
        <v>0.037000000000000005</v>
      </c>
      <c r="DM26" s="206"/>
      <c r="DP26" s="48"/>
      <c r="DQ26" s="124"/>
      <c r="DR26" s="124"/>
      <c r="DS26" s="124"/>
      <c r="DT26" s="124"/>
      <c r="DU26" s="124"/>
      <c r="DV26" s="110"/>
      <c r="EF26" s="56"/>
      <c r="EG26" s="112">
        <v>1</v>
      </c>
      <c r="EH26" s="112">
        <v>2</v>
      </c>
      <c r="EI26" s="112">
        <v>3</v>
      </c>
      <c r="EJ26" s="112">
        <v>4</v>
      </c>
      <c r="EK26" s="112">
        <v>5</v>
      </c>
      <c r="EL26" s="112">
        <v>6</v>
      </c>
      <c r="EM26" s="112">
        <v>7</v>
      </c>
      <c r="EN26" s="112">
        <v>8</v>
      </c>
      <c r="EO26" s="112">
        <v>9</v>
      </c>
      <c r="EP26" s="112">
        <v>10</v>
      </c>
      <c r="EQ26" s="112">
        <v>11</v>
      </c>
      <c r="ER26" s="112">
        <v>12</v>
      </c>
      <c r="ES26" s="112">
        <v>13</v>
      </c>
      <c r="ET26" s="112">
        <v>14</v>
      </c>
      <c r="EU26" s="112">
        <v>15</v>
      </c>
      <c r="EV26" s="127">
        <v>16</v>
      </c>
      <c r="EX26" s="56"/>
      <c r="EY26" s="112">
        <v>1</v>
      </c>
      <c r="EZ26" s="112">
        <v>2</v>
      </c>
      <c r="FA26" s="112">
        <v>3</v>
      </c>
      <c r="FB26" s="112">
        <v>4</v>
      </c>
      <c r="FC26" s="112">
        <v>5</v>
      </c>
      <c r="FD26" s="112">
        <v>6</v>
      </c>
      <c r="FE26" s="112">
        <v>7</v>
      </c>
      <c r="FF26" s="112">
        <v>8</v>
      </c>
      <c r="FG26" s="112">
        <v>9</v>
      </c>
      <c r="FH26" s="112">
        <v>10</v>
      </c>
      <c r="FI26" s="112">
        <v>11</v>
      </c>
      <c r="FJ26" s="112">
        <v>12</v>
      </c>
      <c r="FK26" s="112">
        <v>13</v>
      </c>
      <c r="FL26" s="112">
        <v>14</v>
      </c>
      <c r="FM26" s="112">
        <v>15</v>
      </c>
      <c r="FN26" s="127">
        <v>16</v>
      </c>
    </row>
    <row r="27" spans="13:170" s="30" customFormat="1" ht="15.75" customHeight="1">
      <c r="M27" s="205"/>
      <c r="N27" s="205"/>
      <c r="O27" s="205"/>
      <c r="Q27" s="141" t="s">
        <v>59</v>
      </c>
      <c r="R27" s="142"/>
      <c r="S27" s="142"/>
      <c r="T27" s="142"/>
      <c r="U27" s="134" t="str">
        <f>IF(AND(B="",D=""),"",B&amp;"X"&amp;D&amp;" m.")</f>
        <v>0.15X0.3 m.</v>
      </c>
      <c r="V27" s="135"/>
      <c r="W27" s="135"/>
      <c r="X27" s="135"/>
      <c r="Y27" s="135"/>
      <c r="Z27" s="135"/>
      <c r="AA27" s="136"/>
      <c r="AB27" s="290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DK27" s="30" t="s">
        <v>235</v>
      </c>
      <c r="DL27" s="205">
        <f>IF(CN41=2,DG23/100,IF(CN41=1,DG17/100))</f>
        <v>0.037000000000000005</v>
      </c>
      <c r="DM27" s="205"/>
      <c r="DO27" s="32"/>
      <c r="DP27" s="48">
        <v>3</v>
      </c>
      <c r="DQ27" s="124">
        <f>IF($DO$13&lt;=3,$EC$25,IF($DO$13&gt;3,EC11))</f>
        <v>0.09333333333333334</v>
      </c>
      <c r="DR27" s="124">
        <f t="shared" si="14"/>
        <v>-0.2933333333333334</v>
      </c>
      <c r="DS27" s="124" t="e">
        <f>IF($DO$12&lt;=3,$ED$25,IF($DO$12&gt;3,ED11))</f>
        <v>#N/A</v>
      </c>
      <c r="DT27" s="124">
        <f t="shared" si="15"/>
        <v>-0.2933333333333334</v>
      </c>
      <c r="DU27" s="124" t="e">
        <f>IF($DO$11&lt;=3,$EE$25,IF($DO$11&gt;3,EE11))</f>
        <v>#N/A</v>
      </c>
      <c r="DV27" s="110">
        <f t="shared" si="16"/>
        <v>-0.2933333333333334</v>
      </c>
      <c r="DX27" s="44"/>
      <c r="DY27" s="199" t="s">
        <v>231</v>
      </c>
      <c r="DZ27" s="199"/>
      <c r="EA27" s="199" t="s">
        <v>232</v>
      </c>
      <c r="EB27" s="199"/>
      <c r="EC27" s="199" t="s">
        <v>233</v>
      </c>
      <c r="ED27" s="232"/>
      <c r="EF27" s="120">
        <v>1</v>
      </c>
      <c r="EG27" s="124">
        <f>$DP$13-$DP$13</f>
        <v>0</v>
      </c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52"/>
      <c r="EX27" s="120">
        <v>1</v>
      </c>
      <c r="EY27" s="124">
        <f>$DP$9-$DP$9</f>
        <v>0</v>
      </c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52"/>
    </row>
    <row r="28" spans="2:170" s="30" customFormat="1" ht="15.75" customHeight="1">
      <c r="B28" s="31" t="s">
        <v>49</v>
      </c>
      <c r="L28" s="32"/>
      <c r="M28" s="32"/>
      <c r="N28" s="32"/>
      <c r="O28" s="32"/>
      <c r="Q28" s="143" t="s">
        <v>53</v>
      </c>
      <c r="R28" s="144"/>
      <c r="S28" s="144"/>
      <c r="T28" s="144"/>
      <c r="U28" s="134" t="str">
        <f>CT39</f>
        <v>2-DB12</v>
      </c>
      <c r="V28" s="135"/>
      <c r="W28" s="135"/>
      <c r="X28" s="135"/>
      <c r="Y28" s="135"/>
      <c r="Z28" s="135"/>
      <c r="AA28" s="136"/>
      <c r="AB28" s="290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DG28" s="30">
        <f>IF(AC23=0,1,IF(AC23&gt;0,2))</f>
        <v>1</v>
      </c>
      <c r="DP28" s="48"/>
      <c r="DQ28" s="124"/>
      <c r="DR28" s="124"/>
      <c r="DS28" s="124"/>
      <c r="DT28" s="124"/>
      <c r="DU28" s="124"/>
      <c r="DV28" s="110"/>
      <c r="DX28" s="48"/>
      <c r="DY28" s="61" t="s">
        <v>104</v>
      </c>
      <c r="DZ28" s="61" t="s">
        <v>208</v>
      </c>
      <c r="EA28" s="61" t="s">
        <v>104</v>
      </c>
      <c r="EB28" s="61" t="s">
        <v>208</v>
      </c>
      <c r="EC28" s="61" t="s">
        <v>104</v>
      </c>
      <c r="ED28" s="49" t="s">
        <v>208</v>
      </c>
      <c r="EF28" s="120">
        <v>2</v>
      </c>
      <c r="EG28" s="89"/>
      <c r="EH28" s="124">
        <f>DS53</f>
        <v>0.09333333333333334</v>
      </c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49"/>
      <c r="EX28" s="120">
        <v>2</v>
      </c>
      <c r="EY28" s="89"/>
      <c r="EZ28" s="124">
        <f>DS53</f>
        <v>0.09333333333333334</v>
      </c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49"/>
    </row>
    <row r="29" spans="2:170" s="30" customFormat="1" ht="15.75" customHeight="1">
      <c r="B29" s="30" t="s">
        <v>157</v>
      </c>
      <c r="F29" s="32" t="s">
        <v>3</v>
      </c>
      <c r="G29" s="205">
        <f>IF(Mmax="","",Mc)</f>
        <v>928.3124471314733</v>
      </c>
      <c r="H29" s="205"/>
      <c r="I29" s="32" t="str">
        <f>IF(Mmax="","",IF(CJ43=1,"&gt;",IF(CJ43=2,"&lt;")))</f>
        <v>&gt;</v>
      </c>
      <c r="J29" s="292">
        <f>IF(Mmax="","",ABS(Mmax))</f>
        <v>0</v>
      </c>
      <c r="K29" s="292"/>
      <c r="L29" s="205" t="str">
        <f>IF(Mmax="","",IF(CJ43=1,"Singly",IF(CJ43=2,"Doubly")))</f>
        <v>Singly</v>
      </c>
      <c r="M29" s="205"/>
      <c r="N29" s="205"/>
      <c r="O29" s="32"/>
      <c r="Q29" s="143" t="s">
        <v>54</v>
      </c>
      <c r="R29" s="144"/>
      <c r="S29" s="144"/>
      <c r="T29" s="144"/>
      <c r="U29" s="134">
        <f>CT40</f>
      </c>
      <c r="V29" s="135"/>
      <c r="W29" s="135"/>
      <c r="X29" s="135"/>
      <c r="Y29" s="135"/>
      <c r="Z29" s="135"/>
      <c r="AA29" s="136"/>
      <c r="AB29" s="290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DC29" s="30">
        <v>1</v>
      </c>
      <c r="DP29" s="48">
        <v>4</v>
      </c>
      <c r="DQ29" s="124">
        <f>IF($DO$13&lt;=4,$EC$25,IF($DO$13&gt;4,EC12))</f>
        <v>0.09333333333333334</v>
      </c>
      <c r="DR29" s="124">
        <f t="shared" si="14"/>
        <v>-0.2933333333333334</v>
      </c>
      <c r="DS29" s="124" t="e">
        <f>IF($DO$12&lt;=4,$ED$25,IF($DO$12&gt;4,ED12))</f>
        <v>#N/A</v>
      </c>
      <c r="DT29" s="124">
        <f t="shared" si="15"/>
        <v>-0.2933333333333334</v>
      </c>
      <c r="DU29" s="124" t="e">
        <f>IF($DO$11&lt;=4,$EE$25,IF($DO$11&gt;4,EE12))</f>
        <v>#N/A</v>
      </c>
      <c r="DV29" s="110">
        <f t="shared" si="16"/>
        <v>-0.2933333333333334</v>
      </c>
      <c r="DX29" s="48">
        <v>1</v>
      </c>
      <c r="DY29" s="124">
        <f>IF(DO8=1,DZ8,IF(DO8&gt;1,-DT18))</f>
        <v>-0.09333333333333334</v>
      </c>
      <c r="DZ29" s="124">
        <f>$DU$18</f>
        <v>0.2933333333333334</v>
      </c>
      <c r="EA29" s="124">
        <f>IF(DO17=1,DZ8,IF(DO17=2,EA8,IF(DO17=3,DY29,IF(DO17=4,EA8,IF(DO17=5,-DT18)))))</f>
        <v>-0.09333333333333334</v>
      </c>
      <c r="EB29" s="124">
        <f>IF($EA$5=0,DZ29,IF($EA$5&gt;0,$DU$19))</f>
        <v>0.2933333333333334</v>
      </c>
      <c r="EC29" s="124">
        <f>IF(DO18=1,DZ8,IF(DO18=2,EB8,IF(DO18=3,DY29,IF(DO18=4,EB8,IF(DO18=5,-DT18)))))</f>
        <v>-0.09333333333333334</v>
      </c>
      <c r="ED29" s="110">
        <f>IF($EB$5=0,DZ29,IF($EB$5&gt;0,$DU$20))</f>
        <v>0.2933333333333334</v>
      </c>
      <c r="EF29" s="120">
        <v>3</v>
      </c>
      <c r="EG29" s="89"/>
      <c r="EH29" s="61"/>
      <c r="EI29" s="124">
        <f>$DR$12</f>
        <v>0.09333333333333334</v>
      </c>
      <c r="EJ29" s="124">
        <f>-$DR$12</f>
        <v>-0.09333333333333334</v>
      </c>
      <c r="EK29" s="124">
        <f>-$DR$12</f>
        <v>-0.09333333333333334</v>
      </c>
      <c r="EL29" s="124">
        <f>-$DR$12</f>
        <v>-0.09333333333333334</v>
      </c>
      <c r="EM29" s="124">
        <f>-$DR$12</f>
        <v>-0.09333333333333334</v>
      </c>
      <c r="EN29" s="124">
        <f>-$DR$12</f>
        <v>-0.09333333333333334</v>
      </c>
      <c r="EO29" s="124">
        <f aca="true" t="shared" si="17" ref="EO29:EV29">-$DR$12</f>
        <v>-0.09333333333333334</v>
      </c>
      <c r="EP29" s="124">
        <f t="shared" si="17"/>
        <v>-0.09333333333333334</v>
      </c>
      <c r="EQ29" s="124">
        <f t="shared" si="17"/>
        <v>-0.09333333333333334</v>
      </c>
      <c r="ER29" s="124">
        <f t="shared" si="17"/>
        <v>-0.09333333333333334</v>
      </c>
      <c r="ES29" s="124">
        <f t="shared" si="17"/>
        <v>-0.09333333333333334</v>
      </c>
      <c r="ET29" s="124">
        <f t="shared" si="17"/>
        <v>-0.09333333333333334</v>
      </c>
      <c r="EU29" s="124">
        <f t="shared" si="17"/>
        <v>-0.09333333333333334</v>
      </c>
      <c r="EV29" s="110">
        <f t="shared" si="17"/>
        <v>-0.09333333333333334</v>
      </c>
      <c r="EX29" s="120">
        <v>3</v>
      </c>
      <c r="EY29" s="89"/>
      <c r="EZ29" s="61"/>
      <c r="FA29" s="124">
        <f>$DR$9</f>
        <v>0.09333333333333334</v>
      </c>
      <c r="FB29" s="124">
        <f>-$DR$9</f>
        <v>-0.09333333333333334</v>
      </c>
      <c r="FC29" s="124">
        <f aca="true" t="shared" si="18" ref="FC29:FN29">-$DR$9</f>
        <v>-0.09333333333333334</v>
      </c>
      <c r="FD29" s="124">
        <f t="shared" si="18"/>
        <v>-0.09333333333333334</v>
      </c>
      <c r="FE29" s="124">
        <f t="shared" si="18"/>
        <v>-0.09333333333333334</v>
      </c>
      <c r="FF29" s="124">
        <f t="shared" si="18"/>
        <v>-0.09333333333333334</v>
      </c>
      <c r="FG29" s="124">
        <f t="shared" si="18"/>
        <v>-0.09333333333333334</v>
      </c>
      <c r="FH29" s="124">
        <f t="shared" si="18"/>
        <v>-0.09333333333333334</v>
      </c>
      <c r="FI29" s="124">
        <f t="shared" si="18"/>
        <v>-0.09333333333333334</v>
      </c>
      <c r="FJ29" s="124">
        <f t="shared" si="18"/>
        <v>-0.09333333333333334</v>
      </c>
      <c r="FK29" s="124">
        <f t="shared" si="18"/>
        <v>-0.09333333333333334</v>
      </c>
      <c r="FL29" s="124">
        <f t="shared" si="18"/>
        <v>-0.09333333333333334</v>
      </c>
      <c r="FM29" s="124">
        <f t="shared" si="18"/>
        <v>-0.09333333333333334</v>
      </c>
      <c r="FN29" s="110">
        <f t="shared" si="18"/>
        <v>-0.09333333333333334</v>
      </c>
    </row>
    <row r="30" spans="12:170" s="30" customFormat="1" ht="15.75" customHeight="1" thickBot="1">
      <c r="L30" s="32"/>
      <c r="Q30" s="145" t="s">
        <v>55</v>
      </c>
      <c r="R30" s="146"/>
      <c r="S30" s="146"/>
      <c r="T30" s="146"/>
      <c r="U30" s="138">
        <f>CT41</f>
      </c>
      <c r="V30" s="139"/>
      <c r="W30" s="139"/>
      <c r="X30" s="139"/>
      <c r="Y30" s="139"/>
      <c r="Z30" s="139"/>
      <c r="AA30" s="140"/>
      <c r="AB30" s="290"/>
      <c r="AC30" s="233" t="s">
        <v>65</v>
      </c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CS30" s="30">
        <v>1</v>
      </c>
      <c r="CT30" s="30">
        <v>2</v>
      </c>
      <c r="CU30" s="205">
        <v>3</v>
      </c>
      <c r="CV30" s="205"/>
      <c r="CW30" s="205">
        <v>4</v>
      </c>
      <c r="CX30" s="205"/>
      <c r="CY30" s="205"/>
      <c r="DA30" s="30">
        <v>5</v>
      </c>
      <c r="DC30" s="30">
        <v>2</v>
      </c>
      <c r="DD30" s="30">
        <v>0.05</v>
      </c>
      <c r="DP30" s="48"/>
      <c r="DQ30" s="124"/>
      <c r="DR30" s="124"/>
      <c r="DS30" s="124"/>
      <c r="DT30" s="124"/>
      <c r="DU30" s="124"/>
      <c r="DV30" s="110"/>
      <c r="DX30" s="48"/>
      <c r="DY30" s="61"/>
      <c r="DZ30" s="124"/>
      <c r="EA30" s="61"/>
      <c r="EB30" s="124"/>
      <c r="EC30" s="61"/>
      <c r="ED30" s="110"/>
      <c r="EF30" s="120">
        <v>4</v>
      </c>
      <c r="EG30" s="89"/>
      <c r="EH30" s="61"/>
      <c r="EI30" s="61"/>
      <c r="EJ30" s="124">
        <f>$DR$12</f>
        <v>0.09333333333333334</v>
      </c>
      <c r="EK30" s="124">
        <f>$DP$12-$DP$12</f>
        <v>0</v>
      </c>
      <c r="EL30" s="124">
        <f>-$DR$12+$DQ$12</f>
        <v>-0.09333333333333334</v>
      </c>
      <c r="EM30" s="124">
        <f>-$DR$12+$DQ$12</f>
        <v>-0.09333333333333334</v>
      </c>
      <c r="EN30" s="124">
        <f>-$DR$12+$DQ$12</f>
        <v>-0.09333333333333334</v>
      </c>
      <c r="EO30" s="124">
        <f aca="true" t="shared" si="19" ref="EO30:EV30">-$DR$12+$DQ$12</f>
        <v>-0.09333333333333334</v>
      </c>
      <c r="EP30" s="124">
        <f t="shared" si="19"/>
        <v>-0.09333333333333334</v>
      </c>
      <c r="EQ30" s="124">
        <f t="shared" si="19"/>
        <v>-0.09333333333333334</v>
      </c>
      <c r="ER30" s="124">
        <f t="shared" si="19"/>
        <v>-0.09333333333333334</v>
      </c>
      <c r="ES30" s="124">
        <f t="shared" si="19"/>
        <v>-0.09333333333333334</v>
      </c>
      <c r="ET30" s="124">
        <f t="shared" si="19"/>
        <v>-0.09333333333333334</v>
      </c>
      <c r="EU30" s="124">
        <f t="shared" si="19"/>
        <v>-0.09333333333333334</v>
      </c>
      <c r="EV30" s="110">
        <f t="shared" si="19"/>
        <v>-0.09333333333333334</v>
      </c>
      <c r="EX30" s="120">
        <v>4</v>
      </c>
      <c r="EY30" s="89"/>
      <c r="EZ30" s="61"/>
      <c r="FA30" s="61"/>
      <c r="FB30" s="124">
        <f>$DR$9</f>
        <v>0.09333333333333334</v>
      </c>
      <c r="FC30" s="124">
        <f>$DP$9-$DP$9</f>
        <v>0</v>
      </c>
      <c r="FD30" s="124">
        <f>-$DR$9+$DQ$9</f>
        <v>-0.09333333333333334</v>
      </c>
      <c r="FE30" s="124">
        <f aca="true" t="shared" si="20" ref="FE30:FN30">-$DR$9+$DQ$9</f>
        <v>-0.09333333333333334</v>
      </c>
      <c r="FF30" s="124">
        <f t="shared" si="20"/>
        <v>-0.09333333333333334</v>
      </c>
      <c r="FG30" s="124">
        <f t="shared" si="20"/>
        <v>-0.09333333333333334</v>
      </c>
      <c r="FH30" s="124">
        <f t="shared" si="20"/>
        <v>-0.09333333333333334</v>
      </c>
      <c r="FI30" s="124">
        <f t="shared" si="20"/>
        <v>-0.09333333333333334</v>
      </c>
      <c r="FJ30" s="124">
        <f t="shared" si="20"/>
        <v>-0.09333333333333334</v>
      </c>
      <c r="FK30" s="124">
        <f t="shared" si="20"/>
        <v>-0.09333333333333334</v>
      </c>
      <c r="FL30" s="124">
        <f t="shared" si="20"/>
        <v>-0.09333333333333334</v>
      </c>
      <c r="FM30" s="124">
        <f t="shared" si="20"/>
        <v>-0.09333333333333334</v>
      </c>
      <c r="FN30" s="110">
        <f t="shared" si="20"/>
        <v>-0.09333333333333334</v>
      </c>
    </row>
    <row r="31" spans="2:170" s="30" customFormat="1" ht="15.75" customHeight="1" thickBot="1" thickTop="1">
      <c r="B31" s="212" t="str">
        <f>IF(CN$41=1,"As' (sq.cm.)",IF(CN$41=2,"As (sq.cm.)"))</f>
        <v>As' (sq.cm.)</v>
      </c>
      <c r="C31" s="212"/>
      <c r="D31" s="212"/>
      <c r="E31" s="213"/>
      <c r="F31" s="211" t="s">
        <v>50</v>
      </c>
      <c r="G31" s="212"/>
      <c r="H31" s="213"/>
      <c r="I31" s="211" t="s">
        <v>51</v>
      </c>
      <c r="J31" s="212"/>
      <c r="K31" s="213"/>
      <c r="L31" s="211" t="s">
        <v>52</v>
      </c>
      <c r="M31" s="212"/>
      <c r="N31" s="212"/>
      <c r="O31" s="212"/>
      <c r="Q31" s="147" t="s">
        <v>58</v>
      </c>
      <c r="R31" s="148"/>
      <c r="S31" s="148"/>
      <c r="T31" s="148"/>
      <c r="U31" s="51">
        <f>CT43</f>
      </c>
      <c r="V31" s="133"/>
      <c r="W31" s="133"/>
      <c r="X31" s="133"/>
      <c r="Y31" s="133"/>
      <c r="Z31" s="133"/>
      <c r="AA31" s="163"/>
      <c r="AB31" s="290"/>
      <c r="AC31" s="285" t="s">
        <v>63</v>
      </c>
      <c r="AD31" s="283"/>
      <c r="AE31" s="283"/>
      <c r="AF31" s="283"/>
      <c r="AG31" s="284"/>
      <c r="AH31" s="282" t="s">
        <v>64</v>
      </c>
      <c r="AI31" s="283"/>
      <c r="AJ31" s="283"/>
      <c r="AK31" s="283"/>
      <c r="AL31" s="284"/>
      <c r="AM31" s="282" t="s">
        <v>86</v>
      </c>
      <c r="AN31" s="283"/>
      <c r="AO31" s="283"/>
      <c r="AP31" s="284"/>
      <c r="AS31" s="37"/>
      <c r="BZ31" s="242">
        <f>ABS(M26)</f>
        <v>0</v>
      </c>
      <c r="CA31" s="243"/>
      <c r="CB31" s="244"/>
      <c r="CH31" s="43"/>
      <c r="CI31" s="43"/>
      <c r="CO31" s="30" t="str">
        <f>VLOOKUP(CK17,$CR$7:$CT$13,2,TRUE)</f>
        <v>DB12</v>
      </c>
      <c r="CQ31" s="30">
        <f>VLOOKUP(CO17,$CR$7:$CT$13,2,TRUE)</f>
        <v>0</v>
      </c>
      <c r="CS31" s="30" t="b">
        <f>IF(AND(CK17=1,CO17=1),"")</f>
        <v>0</v>
      </c>
      <c r="CT31" s="30" t="str">
        <f>IF(AND(CK17&gt;1,CO17=1),CS17&amp;"-"&amp;CO31)</f>
        <v>2-DB12</v>
      </c>
      <c r="CU31" s="205" t="b">
        <f>IF(AND(CK17&gt;1,CO17&gt;1,CW17=FALSE),CS17&amp;"-"&amp;CO31&amp;" + "&amp;CT17&amp;"-"&amp;CQ31)</f>
        <v>0</v>
      </c>
      <c r="CV31" s="205"/>
      <c r="CW31" s="30" t="b">
        <f>IF(AND(CK17&gt;1,CO17&gt;1,CW17=TRUE),CS17&amp;"-"&amp;CO31&amp;" + "&amp;CT17&amp;"-"&amp;CQ31&amp;" (เสริมพิเศษ) ")</f>
        <v>0</v>
      </c>
      <c r="DC31" s="96">
        <v>3</v>
      </c>
      <c r="DD31" s="96">
        <v>0.075</v>
      </c>
      <c r="DE31" s="96"/>
      <c r="DF31" s="96"/>
      <c r="DP31" s="48">
        <v>5</v>
      </c>
      <c r="DQ31" s="124">
        <f>IF($DO$13&lt;=5,$EC$25,IF($DO$13&gt;5,EC13))</f>
        <v>0.09333333333333334</v>
      </c>
      <c r="DR31" s="124">
        <f t="shared" si="14"/>
        <v>-0.2933333333333334</v>
      </c>
      <c r="DS31" s="124" t="e">
        <f>IF($DO$12&lt;=5,$ED$25,IF($DO$12&gt;5,ED13))</f>
        <v>#N/A</v>
      </c>
      <c r="DT31" s="124">
        <f t="shared" si="15"/>
        <v>-0.2933333333333334</v>
      </c>
      <c r="DU31" s="124" t="e">
        <f>IF($DO$11&lt;=5,$EE$25,IF($DO$11&gt;5,EE13))</f>
        <v>#N/A</v>
      </c>
      <c r="DV31" s="110">
        <f t="shared" si="16"/>
        <v>-0.2933333333333334</v>
      </c>
      <c r="DX31" s="48">
        <v>2</v>
      </c>
      <c r="DY31" s="124">
        <f>IF($DO$8&lt;=2,$DZ$25,IF($DO$8&gt;2,DZ10))</f>
        <v>0.09333333333333334</v>
      </c>
      <c r="DZ31" s="124">
        <f aca="true" t="shared" si="21" ref="DZ31:DZ59">$DU$18</f>
        <v>0.2933333333333334</v>
      </c>
      <c r="EA31" s="124" t="e">
        <f>IF($DO$9&lt;=2,$EA$25,IF($DO$9&gt;2,EA10))</f>
        <v>#N/A</v>
      </c>
      <c r="EB31" s="124">
        <f aca="true" t="shared" si="22" ref="EB31:EB59">IF($EA$5=0,DZ31,IF($EA$5&gt;0,$DU$19))</f>
        <v>0.2933333333333334</v>
      </c>
      <c r="EC31" s="124" t="e">
        <f>IF($DO$10&lt;=2,$EB$25,IF($DO$10&gt;2,EB10))</f>
        <v>#N/A</v>
      </c>
      <c r="ED31" s="110">
        <f aca="true" t="shared" si="23" ref="ED31:ED59">IF($EB$5=0,DZ31,IF($EB$5&gt;0,$DU$20))</f>
        <v>0.2933333333333334</v>
      </c>
      <c r="EF31" s="120">
        <v>5</v>
      </c>
      <c r="EG31" s="89"/>
      <c r="EH31" s="61"/>
      <c r="EI31" s="61"/>
      <c r="EJ31" s="61"/>
      <c r="EK31" s="124">
        <f>$DR$12</f>
        <v>0.09333333333333334</v>
      </c>
      <c r="EL31" s="124">
        <f>$DR$12-$DQ$12</f>
        <v>0.09333333333333334</v>
      </c>
      <c r="EM31" s="124">
        <f>$DP$12-$DP$12</f>
        <v>0</v>
      </c>
      <c r="EN31" s="124">
        <f>-$DR$12+($DQ$12*2)</f>
        <v>-0.09333333333333334</v>
      </c>
      <c r="EO31" s="124">
        <f aca="true" t="shared" si="24" ref="EO31:EV31">-$DR$12+($DQ$12*2)</f>
        <v>-0.09333333333333334</v>
      </c>
      <c r="EP31" s="124">
        <f>-$DR$12+($DQ$12*2)</f>
        <v>-0.09333333333333334</v>
      </c>
      <c r="EQ31" s="124">
        <f t="shared" si="24"/>
        <v>-0.09333333333333334</v>
      </c>
      <c r="ER31" s="124">
        <f t="shared" si="24"/>
        <v>-0.09333333333333334</v>
      </c>
      <c r="ES31" s="124">
        <f t="shared" si="24"/>
        <v>-0.09333333333333334</v>
      </c>
      <c r="ET31" s="124">
        <f t="shared" si="24"/>
        <v>-0.09333333333333334</v>
      </c>
      <c r="EU31" s="124">
        <f t="shared" si="24"/>
        <v>-0.09333333333333334</v>
      </c>
      <c r="EV31" s="110">
        <f t="shared" si="24"/>
        <v>-0.09333333333333334</v>
      </c>
      <c r="EX31" s="120">
        <v>5</v>
      </c>
      <c r="EY31" s="89"/>
      <c r="EZ31" s="61"/>
      <c r="FA31" s="61"/>
      <c r="FB31" s="61"/>
      <c r="FC31" s="124">
        <f>$DR$9</f>
        <v>0.09333333333333334</v>
      </c>
      <c r="FD31" s="124">
        <f>$DR$9-$DQ$9</f>
        <v>0.09333333333333334</v>
      </c>
      <c r="FE31" s="124">
        <f>$DP$9-$DP$9</f>
        <v>0</v>
      </c>
      <c r="FF31" s="124">
        <f>-$DR$9+($DQ$9*2)</f>
        <v>-0.09333333333333334</v>
      </c>
      <c r="FG31" s="124">
        <f aca="true" t="shared" si="25" ref="FG31:FN31">-$DR$9+($DQ$9*2)</f>
        <v>-0.09333333333333334</v>
      </c>
      <c r="FH31" s="124">
        <f t="shared" si="25"/>
        <v>-0.09333333333333334</v>
      </c>
      <c r="FI31" s="124">
        <f t="shared" si="25"/>
        <v>-0.09333333333333334</v>
      </c>
      <c r="FJ31" s="124">
        <f t="shared" si="25"/>
        <v>-0.09333333333333334</v>
      </c>
      <c r="FK31" s="124">
        <f t="shared" si="25"/>
        <v>-0.09333333333333334</v>
      </c>
      <c r="FL31" s="124">
        <f t="shared" si="25"/>
        <v>-0.09333333333333334</v>
      </c>
      <c r="FM31" s="124">
        <f t="shared" si="25"/>
        <v>-0.09333333333333334</v>
      </c>
      <c r="FN31" s="110">
        <f t="shared" si="25"/>
        <v>-0.09333333333333334</v>
      </c>
    </row>
    <row r="32" spans="2:170" s="30" customFormat="1" ht="15.75" customHeight="1">
      <c r="B32" s="151" t="str">
        <f>IF(CN$41=1,"1' st Layer",IF(CN$41=2,"1 st Layer"))</f>
        <v>1' st Layer</v>
      </c>
      <c r="C32" s="151"/>
      <c r="D32" s="151"/>
      <c r="E32" s="152"/>
      <c r="F32" s="305">
        <f>IF(Mmax="","",IF(AND(CJ$43=1,CN$41=1),"",IF(AND(CJ$43=1,CN$41=2),CJ54,IF(AND(CJ$43=2,CN$41=1),CG52,IF(AND(CJ$43=2,CN$41=2),CJ54)))))</f>
      </c>
      <c r="G32" s="306"/>
      <c r="H32" s="307"/>
      <c r="I32" s="295">
        <f>IF(AND(CJ$43=1,CN$41=1),"",IF(AND(CJ$43=1,CN$41=2),CZ17,IF(CJ$43=2,CZ17)))</f>
      </c>
      <c r="J32" s="296"/>
      <c r="K32" s="297"/>
      <c r="L32" s="293">
        <f>IF(CG17&lt;1,"-",IF(CG17&gt;0,CJ17))</f>
        <v>6.4</v>
      </c>
      <c r="M32" s="294"/>
      <c r="N32" s="294"/>
      <c r="O32" s="294"/>
      <c r="Q32" s="149" t="s">
        <v>57</v>
      </c>
      <c r="R32" s="150"/>
      <c r="S32" s="150"/>
      <c r="T32" s="150"/>
      <c r="U32" s="134">
        <f>CT44</f>
      </c>
      <c r="V32" s="135"/>
      <c r="W32" s="135"/>
      <c r="X32" s="135"/>
      <c r="Y32" s="135"/>
      <c r="Z32" s="135"/>
      <c r="AA32" s="136"/>
      <c r="AB32" s="290"/>
      <c r="AC32" s="156"/>
      <c r="AD32" s="156"/>
      <c r="AE32" s="156"/>
      <c r="AF32" s="156"/>
      <c r="AG32" s="157"/>
      <c r="AH32" s="158"/>
      <c r="AI32" s="156"/>
      <c r="AJ32" s="156"/>
      <c r="AK32" s="156"/>
      <c r="AL32" s="157"/>
      <c r="AM32" s="158"/>
      <c r="AN32" s="156"/>
      <c r="AO32" s="156"/>
      <c r="AP32" s="157"/>
      <c r="CD32" s="44"/>
      <c r="CE32" s="45"/>
      <c r="CF32" s="45" t="s">
        <v>124</v>
      </c>
      <c r="CG32" s="46"/>
      <c r="CH32" s="43">
        <f>IF(CG13&lt;=CG14,1,IF(CG13&gt;CG14,2))</f>
        <v>1</v>
      </c>
      <c r="CI32" s="43"/>
      <c r="CJ32" s="47"/>
      <c r="CO32" s="30">
        <f>VLOOKUP(CK18,$CR$7:$CT$13,2,TRUE)</f>
        <v>0</v>
      </c>
      <c r="CQ32" s="30">
        <f>VLOOKUP(CO18,$CR$7:$CT$13,2,TRUE)</f>
        <v>0</v>
      </c>
      <c r="CS32" s="30">
        <f>IF(AND(CK18=1,CO18=1),"")</f>
      </c>
      <c r="CT32" s="30" t="b">
        <f>IF(AND(CK18&gt;1,CO18=1,CW18=FALSE),CS18&amp;"-"&amp;CO32)</f>
        <v>0</v>
      </c>
      <c r="CU32" s="205" t="b">
        <f>IF(AND(CK18&gt;1,CO18&gt;1,CW18=FALSE),CS18&amp;"-"&amp;CO32&amp;" + "&amp;CT18&amp;"-"&amp;CQ32)</f>
        <v>0</v>
      </c>
      <c r="CV32" s="205"/>
      <c r="CW32" s="30" t="b">
        <f>IF(AND(CK18&gt;1,CO18&gt;1,CW18=TRUE),CS18&amp;"-"&amp;CO32&amp;" + "&amp;CT18&amp;"-"&amp;CQ32&amp;" (เสริมพิเศษ) ")</f>
        <v>0</v>
      </c>
      <c r="DA32" s="30" t="b">
        <f>IF(AND(CK18&gt;1,CO18=1,CW18=TRUE),CS18&amp;"-"&amp;CO32&amp;" (เสริมพิเศษ) ")</f>
        <v>0</v>
      </c>
      <c r="DC32" s="96">
        <v>4</v>
      </c>
      <c r="DD32" s="102">
        <v>0.1</v>
      </c>
      <c r="DE32" s="96"/>
      <c r="DF32" s="96">
        <v>8</v>
      </c>
      <c r="DP32" s="48"/>
      <c r="DQ32" s="124"/>
      <c r="DR32" s="124"/>
      <c r="DS32" s="124"/>
      <c r="DT32" s="124"/>
      <c r="DU32" s="124"/>
      <c r="DV32" s="110"/>
      <c r="DX32" s="48"/>
      <c r="DY32" s="124"/>
      <c r="DZ32" s="124"/>
      <c r="EA32" s="124"/>
      <c r="EB32" s="124"/>
      <c r="EC32" s="124"/>
      <c r="ED32" s="110"/>
      <c r="EF32" s="120">
        <v>6</v>
      </c>
      <c r="EG32" s="89"/>
      <c r="EH32" s="61"/>
      <c r="EI32" s="61"/>
      <c r="EJ32" s="61"/>
      <c r="EK32" s="61"/>
      <c r="EL32" s="124">
        <f>$DR$12</f>
        <v>0.09333333333333334</v>
      </c>
      <c r="EM32" s="124">
        <f>$DR$12-$DQ$12</f>
        <v>0.09333333333333334</v>
      </c>
      <c r="EN32" s="124">
        <f>$DR$12-($DQ$12*2)</f>
        <v>0.09333333333333334</v>
      </c>
      <c r="EO32" s="124">
        <f>$DP$12-$DP$12</f>
        <v>0</v>
      </c>
      <c r="EP32" s="124">
        <f>-$DR$12+($DQ$12*3)</f>
        <v>-0.09333333333333334</v>
      </c>
      <c r="EQ32" s="124">
        <f aca="true" t="shared" si="26" ref="EQ32:EV32">-$DR$12+($DQ$12*3)</f>
        <v>-0.09333333333333334</v>
      </c>
      <c r="ER32" s="124">
        <f t="shared" si="26"/>
        <v>-0.09333333333333334</v>
      </c>
      <c r="ES32" s="124">
        <f t="shared" si="26"/>
        <v>-0.09333333333333334</v>
      </c>
      <c r="ET32" s="124">
        <f t="shared" si="26"/>
        <v>-0.09333333333333334</v>
      </c>
      <c r="EU32" s="124">
        <f t="shared" si="26"/>
        <v>-0.09333333333333334</v>
      </c>
      <c r="EV32" s="110">
        <f t="shared" si="26"/>
        <v>-0.09333333333333334</v>
      </c>
      <c r="EX32" s="120">
        <v>6</v>
      </c>
      <c r="EY32" s="89"/>
      <c r="EZ32" s="61"/>
      <c r="FA32" s="61"/>
      <c r="FB32" s="61"/>
      <c r="FC32" s="61"/>
      <c r="FD32" s="124">
        <f>$DR$9</f>
        <v>0.09333333333333334</v>
      </c>
      <c r="FE32" s="124">
        <f>$DR$9-$DQ$9</f>
        <v>0.09333333333333334</v>
      </c>
      <c r="FF32" s="124">
        <f>$DR$9-($DQ$9*2)</f>
        <v>0.09333333333333334</v>
      </c>
      <c r="FG32" s="124">
        <f>$DP$9-$DP$9</f>
        <v>0</v>
      </c>
      <c r="FH32" s="124">
        <f>-$DR$9+($DQ$9*3)</f>
        <v>-0.09333333333333334</v>
      </c>
      <c r="FI32" s="124">
        <f aca="true" t="shared" si="27" ref="FI32:FN32">-$DR$9+($DQ$9*3)</f>
        <v>-0.09333333333333334</v>
      </c>
      <c r="FJ32" s="124">
        <f t="shared" si="27"/>
        <v>-0.09333333333333334</v>
      </c>
      <c r="FK32" s="124">
        <f t="shared" si="27"/>
        <v>-0.09333333333333334</v>
      </c>
      <c r="FL32" s="124">
        <f t="shared" si="27"/>
        <v>-0.09333333333333334</v>
      </c>
      <c r="FM32" s="124">
        <f t="shared" si="27"/>
        <v>-0.09333333333333334</v>
      </c>
      <c r="FN32" s="110">
        <f t="shared" si="27"/>
        <v>-0.09333333333333334</v>
      </c>
    </row>
    <row r="33" spans="2:170" s="30" customFormat="1" ht="15.75" customHeight="1">
      <c r="B33" s="22" t="str">
        <f>IF(CN$41=1,"2' nd Layer",IF(CN$41=2,"2 nd Layer"))</f>
        <v>2' nd Layer</v>
      </c>
      <c r="C33" s="22"/>
      <c r="D33" s="22"/>
      <c r="E33" s="153"/>
      <c r="F33" s="308"/>
      <c r="G33" s="309"/>
      <c r="H33" s="310"/>
      <c r="I33" s="298"/>
      <c r="J33" s="299"/>
      <c r="K33" s="300"/>
      <c r="L33" s="216" t="str">
        <f>IF(CG18&lt;1,"-",IF(CG18&gt;0,CJ18))</f>
        <v>-</v>
      </c>
      <c r="M33" s="217"/>
      <c r="N33" s="217"/>
      <c r="O33" s="217"/>
      <c r="Q33" s="149" t="s">
        <v>56</v>
      </c>
      <c r="R33" s="150"/>
      <c r="S33" s="150"/>
      <c r="T33" s="150"/>
      <c r="U33" s="134" t="str">
        <f>CT45</f>
        <v>2-DB12</v>
      </c>
      <c r="V33" s="135"/>
      <c r="W33" s="135"/>
      <c r="X33" s="135"/>
      <c r="Y33" s="135"/>
      <c r="Z33" s="135"/>
      <c r="AA33" s="136"/>
      <c r="AB33" s="290"/>
      <c r="AC33" s="156"/>
      <c r="AD33" s="156"/>
      <c r="AE33" s="156"/>
      <c r="AF33" s="156"/>
      <c r="AG33" s="157"/>
      <c r="AH33" s="158"/>
      <c r="AI33" s="156"/>
      <c r="AJ33" s="156"/>
      <c r="AK33" s="156"/>
      <c r="AL33" s="157"/>
      <c r="AM33" s="158"/>
      <c r="AN33" s="156"/>
      <c r="AO33" s="156"/>
      <c r="AP33" s="157"/>
      <c r="CD33" s="48"/>
      <c r="CE33" s="37"/>
      <c r="CF33" s="37"/>
      <c r="CG33" s="49" t="s">
        <v>94</v>
      </c>
      <c r="CH33" s="43"/>
      <c r="CI33" s="43"/>
      <c r="CO33" s="30">
        <f>VLOOKUP(CK19,$CR$7:$CT$13,2,TRUE)</f>
        <v>0</v>
      </c>
      <c r="CQ33" s="30">
        <f>VLOOKUP(CO19,$CR$7:$CT$13,2,TRUE)</f>
        <v>0</v>
      </c>
      <c r="CS33" s="30">
        <f>IF(AND(CK19=1,CO19=1),"")</f>
      </c>
      <c r="CT33" s="30" t="b">
        <f>IF(AND(CK19&gt;1,CO19=1,CW19=FALSE),CS19&amp;"-"&amp;CO33)</f>
        <v>0</v>
      </c>
      <c r="CU33" s="205" t="b">
        <f>IF(AND(CK19&gt;1,CO19&gt;1,CW19=FALSE),CS19&amp;"-"&amp;CO33&amp;" + "&amp;CT19&amp;"-"&amp;CQ33)</f>
        <v>0</v>
      </c>
      <c r="CV33" s="205"/>
      <c r="CW33" s="30" t="b">
        <f>IF(AND(CK19&gt;1,CO19&gt;1,CW19=TRUE),CS19&amp;"-"&amp;CO33&amp;" + "&amp;CT19&amp;"-"&amp;CQ33&amp;" (เสริมพิเศษ) ")</f>
        <v>0</v>
      </c>
      <c r="DA33" s="30" t="b">
        <f>IF(AND(CK19&gt;1,CO19=1,CW19=TRUE),CS19&amp;"-"&amp;CO33&amp;" (เสริมพิเศษ) ")</f>
        <v>0</v>
      </c>
      <c r="DC33" s="96">
        <v>5</v>
      </c>
      <c r="DD33" s="96">
        <v>0.125</v>
      </c>
      <c r="DE33" s="96"/>
      <c r="DF33" s="105">
        <f>VLOOKUP(DF32,DC31:DD38,2,FALSE)</f>
        <v>0.2</v>
      </c>
      <c r="DP33" s="48">
        <v>6</v>
      </c>
      <c r="DQ33" s="124">
        <f>IF($DO$13&lt;=6,$EC$25,IF($DO$13&gt;6,EC14))</f>
        <v>0.09333333333333334</v>
      </c>
      <c r="DR33" s="124">
        <f t="shared" si="14"/>
        <v>-0.2933333333333334</v>
      </c>
      <c r="DS33" s="124" t="e">
        <f>IF($DO$12&lt;=6,$ED$25,IF($DO$12&gt;6,ED14))</f>
        <v>#N/A</v>
      </c>
      <c r="DT33" s="124">
        <f t="shared" si="15"/>
        <v>-0.2933333333333334</v>
      </c>
      <c r="DU33" s="124" t="e">
        <f>IF($DO$11&lt;=6,$EE$25,IF($DO$11&gt;6,EE14))</f>
        <v>#N/A</v>
      </c>
      <c r="DV33" s="110">
        <f t="shared" si="16"/>
        <v>-0.2933333333333334</v>
      </c>
      <c r="DX33" s="48">
        <v>3</v>
      </c>
      <c r="DY33" s="124">
        <f>IF($DO$8&lt;=3,$DZ$25,IF($DO$8&gt;3,DZ11))</f>
        <v>0.09333333333333334</v>
      </c>
      <c r="DZ33" s="124">
        <f t="shared" si="21"/>
        <v>0.2933333333333334</v>
      </c>
      <c r="EA33" s="124" t="e">
        <f>IF($DO$9&lt;=3,$EA$25,IF($DO$9&gt;3,EA11))</f>
        <v>#N/A</v>
      </c>
      <c r="EB33" s="124">
        <f t="shared" si="22"/>
        <v>0.2933333333333334</v>
      </c>
      <c r="EC33" s="124" t="e">
        <f>IF($DO$10&lt;=3,$EB$25,IF($DO$10&gt;3,EB11))</f>
        <v>#N/A</v>
      </c>
      <c r="ED33" s="110">
        <f t="shared" si="23"/>
        <v>0.2933333333333334</v>
      </c>
      <c r="EF33" s="120">
        <v>7</v>
      </c>
      <c r="EG33" s="89"/>
      <c r="EH33" s="61"/>
      <c r="EI33" s="61"/>
      <c r="EJ33" s="61"/>
      <c r="EK33" s="61"/>
      <c r="EL33" s="37"/>
      <c r="EM33" s="124">
        <f>$DR$12</f>
        <v>0.09333333333333334</v>
      </c>
      <c r="EN33" s="124">
        <f>$DR$12-$DQ$12</f>
        <v>0.09333333333333334</v>
      </c>
      <c r="EO33" s="124">
        <f>$DR$12-($DQ$12*2)</f>
        <v>0.09333333333333334</v>
      </c>
      <c r="EP33" s="124">
        <f>$DR$12-($DQ$12*3)</f>
        <v>0.09333333333333334</v>
      </c>
      <c r="EQ33" s="124">
        <f>$DP$12-$DP$12</f>
        <v>0</v>
      </c>
      <c r="ER33" s="124">
        <f>-$DR$12+($DQ$12*4)</f>
        <v>-0.09333333333333334</v>
      </c>
      <c r="ES33" s="124">
        <f>-$DR$12+($DQ$12*4)</f>
        <v>-0.09333333333333334</v>
      </c>
      <c r="ET33" s="124">
        <f>-$DR$12+($DQ$12*4)</f>
        <v>-0.09333333333333334</v>
      </c>
      <c r="EU33" s="124">
        <f>-$DR$12+($DQ$12*4)</f>
        <v>-0.09333333333333334</v>
      </c>
      <c r="EV33" s="110">
        <f>-$DR$12+($DQ$12*4)</f>
        <v>-0.09333333333333334</v>
      </c>
      <c r="EX33" s="120">
        <v>7</v>
      </c>
      <c r="EY33" s="89"/>
      <c r="EZ33" s="61"/>
      <c r="FA33" s="61"/>
      <c r="FB33" s="61"/>
      <c r="FC33" s="61"/>
      <c r="FD33" s="37"/>
      <c r="FE33" s="124">
        <f>$DR$9</f>
        <v>0.09333333333333334</v>
      </c>
      <c r="FF33" s="124">
        <f>$DR$9-$DQ$9</f>
        <v>0.09333333333333334</v>
      </c>
      <c r="FG33" s="124">
        <f>$DR$9-($DQ$9*2)</f>
        <v>0.09333333333333334</v>
      </c>
      <c r="FH33" s="124">
        <f>$DR$9-($DQ$9*3)</f>
        <v>0.09333333333333334</v>
      </c>
      <c r="FI33" s="124">
        <f>$DP$9-$DP$9</f>
        <v>0</v>
      </c>
      <c r="FJ33" s="124">
        <f>-$DR$9+($DQ$9*4)</f>
        <v>-0.09333333333333334</v>
      </c>
      <c r="FK33" s="124">
        <f>-$DR$9+($DQ$9*4)</f>
        <v>-0.09333333333333334</v>
      </c>
      <c r="FL33" s="124">
        <f>-$DR$9+($DQ$9*4)</f>
        <v>-0.09333333333333334</v>
      </c>
      <c r="FM33" s="124">
        <f>-$DR$9+($DQ$9*4)</f>
        <v>-0.09333333333333334</v>
      </c>
      <c r="FN33" s="110">
        <f>-$DR$9+($DQ$9*4)</f>
        <v>-0.09333333333333334</v>
      </c>
    </row>
    <row r="34" spans="2:170" s="30" customFormat="1" ht="15.75" customHeight="1" thickBot="1">
      <c r="B34" s="22" t="str">
        <f>IF(CN$41=1,"3' rd Layer",IF(CN$41=2,"3 rd Layer"))</f>
        <v>3' rd Layer</v>
      </c>
      <c r="C34" s="22"/>
      <c r="D34" s="22"/>
      <c r="E34" s="153"/>
      <c r="F34" s="311"/>
      <c r="G34" s="312"/>
      <c r="H34" s="313"/>
      <c r="I34" s="301"/>
      <c r="J34" s="302"/>
      <c r="K34" s="303"/>
      <c r="L34" s="214" t="str">
        <f>IF(CG19&lt;1,"-",IF(CG19&gt;0,CJ19))</f>
        <v>-</v>
      </c>
      <c r="M34" s="215"/>
      <c r="N34" s="215"/>
      <c r="O34" s="215"/>
      <c r="Q34" s="145" t="s">
        <v>60</v>
      </c>
      <c r="R34" s="146"/>
      <c r="S34" s="146"/>
      <c r="T34" s="146"/>
      <c r="U34" s="138">
        <f>IF(Y41="","",IF(Y41&lt;&gt;"",Y44&amp;" -"&amp;V44&amp;" @ "&amp;ROUND(DF33,3)&amp;" m."))</f>
      </c>
      <c r="V34" s="139"/>
      <c r="W34" s="139"/>
      <c r="X34" s="139"/>
      <c r="Y34" s="139"/>
      <c r="Z34" s="139"/>
      <c r="AA34" s="140"/>
      <c r="AB34" s="291"/>
      <c r="AC34" s="156"/>
      <c r="AD34" s="156"/>
      <c r="AE34" s="156"/>
      <c r="AF34" s="156"/>
      <c r="AG34" s="157"/>
      <c r="AH34" s="158"/>
      <c r="AI34" s="156"/>
      <c r="AJ34" s="156"/>
      <c r="AK34" s="156"/>
      <c r="AL34" s="157"/>
      <c r="AM34" s="158"/>
      <c r="AN34" s="156"/>
      <c r="AO34" s="156"/>
      <c r="AP34" s="157"/>
      <c r="CD34" s="48"/>
      <c r="CE34" s="37"/>
      <c r="CF34" s="37" t="s">
        <v>125</v>
      </c>
      <c r="CG34" s="50">
        <f>Mmax/(fs*j*dd)</f>
        <v>0</v>
      </c>
      <c r="CH34" s="38"/>
      <c r="CU34" s="205"/>
      <c r="CV34" s="205"/>
      <c r="DC34" s="96">
        <v>6</v>
      </c>
      <c r="DD34" s="96">
        <v>0.15</v>
      </c>
      <c r="DE34" s="96"/>
      <c r="DF34" s="96"/>
      <c r="DP34" s="48"/>
      <c r="DQ34" s="124"/>
      <c r="DR34" s="124"/>
      <c r="DS34" s="124"/>
      <c r="DT34" s="124"/>
      <c r="DU34" s="124"/>
      <c r="DV34" s="110"/>
      <c r="DX34" s="48"/>
      <c r="DY34" s="124"/>
      <c r="DZ34" s="124"/>
      <c r="EA34" s="124"/>
      <c r="EB34" s="124"/>
      <c r="EC34" s="124"/>
      <c r="ED34" s="110"/>
      <c r="EF34" s="120">
        <v>8</v>
      </c>
      <c r="EG34" s="89"/>
      <c r="EH34" s="61"/>
      <c r="EI34" s="61"/>
      <c r="EJ34" s="61"/>
      <c r="EK34" s="61"/>
      <c r="EL34" s="61"/>
      <c r="EM34" s="61"/>
      <c r="EN34" s="124">
        <f>$DR$12</f>
        <v>0.09333333333333334</v>
      </c>
      <c r="EO34" s="124">
        <f>$DR$12-$DQ$12</f>
        <v>0.09333333333333334</v>
      </c>
      <c r="EP34" s="124">
        <f>$DR$12-($DQ$12*2)</f>
        <v>0.09333333333333334</v>
      </c>
      <c r="EQ34" s="124">
        <f>$DR$12-($DQ$12*3)</f>
        <v>0.09333333333333334</v>
      </c>
      <c r="ER34" s="124">
        <f>$DR$12-($DQ$12*4)</f>
        <v>0.09333333333333334</v>
      </c>
      <c r="ES34" s="124">
        <f>$DP$12-$DP$12</f>
        <v>0</v>
      </c>
      <c r="ET34" s="124">
        <f>-$DR$12+($DQ$12*5)</f>
        <v>-0.09333333333333334</v>
      </c>
      <c r="EU34" s="124">
        <f>-$DR$12+($DQ$12*5)</f>
        <v>-0.09333333333333334</v>
      </c>
      <c r="EV34" s="110">
        <f>-$DR$12+($DQ$12*5)</f>
        <v>-0.09333333333333334</v>
      </c>
      <c r="EX34" s="120">
        <v>8</v>
      </c>
      <c r="EY34" s="89"/>
      <c r="EZ34" s="61"/>
      <c r="FA34" s="61"/>
      <c r="FB34" s="61"/>
      <c r="FC34" s="61"/>
      <c r="FD34" s="61"/>
      <c r="FE34" s="61"/>
      <c r="FF34" s="124">
        <f>$DR$9</f>
        <v>0.09333333333333334</v>
      </c>
      <c r="FG34" s="124">
        <f>$DR$9-$DQ$9</f>
        <v>0.09333333333333334</v>
      </c>
      <c r="FH34" s="124">
        <f>$DR$9-($DQ$9*2)</f>
        <v>0.09333333333333334</v>
      </c>
      <c r="FI34" s="124">
        <f>$DR$9-($DQ$9*3)</f>
        <v>0.09333333333333334</v>
      </c>
      <c r="FJ34" s="124">
        <f>$DR$9-($DQ$9*4)</f>
        <v>0.09333333333333334</v>
      </c>
      <c r="FK34" s="124">
        <f>$DP$9-$DP$9</f>
        <v>0</v>
      </c>
      <c r="FL34" s="124">
        <f>-$DR$9+($DQ$9*5)</f>
        <v>-0.09333333333333334</v>
      </c>
      <c r="FM34" s="124">
        <f>-$DR$9+($DQ$9*5)</f>
        <v>-0.09333333333333334</v>
      </c>
      <c r="FN34" s="110">
        <f>-$DR$9+($DQ$9*5)</f>
        <v>-0.09333333333333334</v>
      </c>
    </row>
    <row r="35" spans="2:170" s="30" customFormat="1" ht="15.75" customHeight="1" thickTop="1">
      <c r="B35" s="209" t="str">
        <f>IF(CN$41=1,"As (sq.cm.)",IF(CN$41=2,"As' (sq.cm.)"))</f>
        <v>As (sq.cm.)</v>
      </c>
      <c r="C35" s="209"/>
      <c r="D35" s="209"/>
      <c r="E35" s="210"/>
      <c r="F35" s="304" t="s">
        <v>50</v>
      </c>
      <c r="G35" s="209"/>
      <c r="H35" s="210"/>
      <c r="I35" s="304" t="s">
        <v>51</v>
      </c>
      <c r="J35" s="209"/>
      <c r="K35" s="210"/>
      <c r="L35" s="304" t="s">
        <v>52</v>
      </c>
      <c r="M35" s="209"/>
      <c r="N35" s="209"/>
      <c r="O35" s="209"/>
      <c r="AC35" s="156"/>
      <c r="AD35" s="156"/>
      <c r="AE35" s="156"/>
      <c r="AF35" s="156"/>
      <c r="AG35" s="157"/>
      <c r="AH35" s="158"/>
      <c r="AI35" s="156"/>
      <c r="AJ35" s="156"/>
      <c r="AK35" s="156"/>
      <c r="AL35" s="157"/>
      <c r="AM35" s="158"/>
      <c r="AN35" s="156"/>
      <c r="AO35" s="156"/>
      <c r="AP35" s="157"/>
      <c r="CD35" s="48" t="s">
        <v>128</v>
      </c>
      <c r="CE35" s="37"/>
      <c r="CF35" s="37"/>
      <c r="CG35" s="52">
        <f>IF(AND(CJ$43=1,CN$41=1),CZ23,IF(AND(CJ$43=1,CN$41=2),CZ17))</f>
        <v>2.26</v>
      </c>
      <c r="CO35" s="30">
        <f>VLOOKUP(CK23,$CR$7:$CT$13,2,TRUE)</f>
        <v>0</v>
      </c>
      <c r="CQ35" s="30">
        <f>VLOOKUP(CO23,$CR$7:$CT$13,2,TRUE)</f>
        <v>0</v>
      </c>
      <c r="CS35" s="30">
        <f>IF(AND(CK23=1,CO23=1),"")</f>
      </c>
      <c r="CT35" s="30" t="b">
        <f>IF(AND(CK23&gt;1,CO23=1,CW23=FALSE),CS23&amp;"-"&amp;CO35)</f>
        <v>0</v>
      </c>
      <c r="CU35" s="205" t="b">
        <f>IF(AND(CK23&gt;1,CO23&gt;1,CW23=FALSE),CS23&amp;"-"&amp;CO35&amp;" + "&amp;CT23&amp;"-"&amp;CQ35)</f>
        <v>0</v>
      </c>
      <c r="CV35" s="205"/>
      <c r="CW35" s="30" t="b">
        <f>IF(AND(CK23&gt;1,CO23&gt;1,CW23=TRUE),CS23&amp;"-"&amp;CO35&amp;" + "&amp;CT23&amp;"-"&amp;CQ35&amp;" (เสริมพิเศษ) ")</f>
        <v>0</v>
      </c>
      <c r="DA35" s="30" t="b">
        <f>IF(AND(CK23&gt;1,CO23=1,CW23=TRUE),CS23&amp;"-"&amp;CO35&amp;" (เสริมพิเศษ) ")</f>
        <v>0</v>
      </c>
      <c r="DC35" s="96">
        <v>7</v>
      </c>
      <c r="DD35" s="96">
        <v>0.175</v>
      </c>
      <c r="DE35" s="96"/>
      <c r="DF35" s="96"/>
      <c r="DP35" s="48">
        <v>7</v>
      </c>
      <c r="DQ35" s="124">
        <f>IF($DO$13&lt;=7,$EC$25,IF($DO$13&gt;7,EC15))</f>
        <v>0.09333333333333334</v>
      </c>
      <c r="DR35" s="124">
        <f t="shared" si="14"/>
        <v>-0.2933333333333334</v>
      </c>
      <c r="DS35" s="124" t="e">
        <f>IF($DO$12&lt;=7,$ED$25,IF($DO$12&gt;7,ED15))</f>
        <v>#N/A</v>
      </c>
      <c r="DT35" s="124">
        <f t="shared" si="15"/>
        <v>-0.2933333333333334</v>
      </c>
      <c r="DU35" s="124" t="e">
        <f>IF($DO$11&lt;=7,$EE$25,IF($DO$11&gt;7,EE15))</f>
        <v>#N/A</v>
      </c>
      <c r="DV35" s="110">
        <f t="shared" si="16"/>
        <v>-0.2933333333333334</v>
      </c>
      <c r="DX35" s="48">
        <v>4</v>
      </c>
      <c r="DY35" s="124">
        <f>IF($DO$8&lt;=4,$DZ$25,IF($DO$8&gt;4,DZ12))</f>
        <v>0.09333333333333334</v>
      </c>
      <c r="DZ35" s="124">
        <f t="shared" si="21"/>
        <v>0.2933333333333334</v>
      </c>
      <c r="EA35" s="124" t="e">
        <f>IF($DO$9&lt;=4,$EA$25,IF($DO$9&gt;4,EA12))</f>
        <v>#N/A</v>
      </c>
      <c r="EB35" s="124">
        <f t="shared" si="22"/>
        <v>0.2933333333333334</v>
      </c>
      <c r="EC35" s="124" t="e">
        <f>IF($DO$10&lt;=4,$EB$25,IF($DO$10&gt;4,EB12))</f>
        <v>#N/A</v>
      </c>
      <c r="ED35" s="110">
        <f t="shared" si="23"/>
        <v>0.2933333333333334</v>
      </c>
      <c r="EF35" s="120">
        <v>9</v>
      </c>
      <c r="EG35" s="89"/>
      <c r="EH35" s="61"/>
      <c r="EI35" s="61"/>
      <c r="EJ35" s="61"/>
      <c r="EK35" s="61"/>
      <c r="EL35" s="61"/>
      <c r="EM35" s="61"/>
      <c r="EN35" s="61"/>
      <c r="EO35" s="124">
        <f>$DR$12</f>
        <v>0.09333333333333334</v>
      </c>
      <c r="EP35" s="124">
        <f>$DR$12-$DQ$12</f>
        <v>0.09333333333333334</v>
      </c>
      <c r="EQ35" s="124">
        <f>$DR$12-($DQ$12*2)</f>
        <v>0.09333333333333334</v>
      </c>
      <c r="ER35" s="124">
        <f>$DR$12-($DQ$12*3)</f>
        <v>0.09333333333333334</v>
      </c>
      <c r="ES35" s="124">
        <f>$DR$12-($DQ$12*4)</f>
        <v>0.09333333333333334</v>
      </c>
      <c r="ET35" s="124">
        <f>$DR$12-($DQ$12*5)</f>
        <v>0.09333333333333334</v>
      </c>
      <c r="EU35" s="124">
        <f>$DP$12-$DP$12</f>
        <v>0</v>
      </c>
      <c r="EV35" s="110">
        <f>-$DR$12+($DQ$12*6)</f>
        <v>-0.09333333333333334</v>
      </c>
      <c r="EX35" s="120">
        <v>9</v>
      </c>
      <c r="EY35" s="89"/>
      <c r="EZ35" s="61"/>
      <c r="FA35" s="61"/>
      <c r="FB35" s="61"/>
      <c r="FC35" s="61"/>
      <c r="FD35" s="61"/>
      <c r="FE35" s="61"/>
      <c r="FF35" s="61"/>
      <c r="FG35" s="124">
        <f>$DR$9</f>
        <v>0.09333333333333334</v>
      </c>
      <c r="FH35" s="124">
        <f>$DR$9-$DQ$9</f>
        <v>0.09333333333333334</v>
      </c>
      <c r="FI35" s="124">
        <f>$DR$9-($DQ$9*2)</f>
        <v>0.09333333333333334</v>
      </c>
      <c r="FJ35" s="124">
        <f>$DR$9-($DQ$9*3)</f>
        <v>0.09333333333333334</v>
      </c>
      <c r="FK35" s="124">
        <f>$DR$9-($DQ$9*4)</f>
        <v>0.09333333333333334</v>
      </c>
      <c r="FL35" s="124">
        <f>$DR$9-($DQ$9*5)</f>
        <v>0.09333333333333334</v>
      </c>
      <c r="FM35" s="124">
        <f>$DP$9-$DP$9</f>
        <v>0</v>
      </c>
      <c r="FN35" s="110">
        <f>-$DR$9+($DQ$9*6)</f>
        <v>-0.09333333333333334</v>
      </c>
    </row>
    <row r="36" spans="2:170" s="30" customFormat="1" ht="15.75" customHeight="1">
      <c r="B36" s="151" t="str">
        <f>IF(CN$41=1,"3 rd Layer",IF(CN$41=2,"3' rd Layer"))</f>
        <v>3 rd Layer</v>
      </c>
      <c r="C36" s="151"/>
      <c r="D36" s="151"/>
      <c r="E36" s="152"/>
      <c r="F36" s="305">
        <f>IF(Mmax="","",IF(AND(CJ$43=1,CN$41=1),CJ54,IF(AND(CJ$43=1,CN$41=2),"",IF(AND(CJ$43=2,CN$41=1),CJ54,IF(AND(CJ$43=2,CN$41=2),CG52)))))</f>
        <v>0</v>
      </c>
      <c r="G36" s="306"/>
      <c r="H36" s="307"/>
      <c r="I36" s="295">
        <f>IF(AND(CJ$43=1,CN$41=1),CZ23,IF(AND(CJ$43=1,CN$41=2),"",IF(CJ$43=2,CZ23)))</f>
        <v>2.26</v>
      </c>
      <c r="J36" s="296"/>
      <c r="K36" s="297"/>
      <c r="L36" s="293" t="str">
        <f>IF(CG23&lt;1,"-",IF(CG23&gt;0,CJ23))</f>
        <v>-</v>
      </c>
      <c r="M36" s="294"/>
      <c r="N36" s="294"/>
      <c r="O36" s="294"/>
      <c r="Q36" s="31" t="s">
        <v>144</v>
      </c>
      <c r="AC36" s="156"/>
      <c r="AD36" s="156"/>
      <c r="AE36" s="156"/>
      <c r="AF36" s="156"/>
      <c r="AG36" s="157"/>
      <c r="AH36" s="158"/>
      <c r="AI36" s="156"/>
      <c r="AJ36" s="156"/>
      <c r="AK36" s="156"/>
      <c r="AL36" s="157"/>
      <c r="AM36" s="158"/>
      <c r="AN36" s="156"/>
      <c r="AO36" s="156"/>
      <c r="AP36" s="157"/>
      <c r="CD36" s="48"/>
      <c r="CE36" s="37" t="s">
        <v>126</v>
      </c>
      <c r="CF36" s="37"/>
      <c r="CG36" s="52">
        <f>CG35/(B_1*d_1)</f>
        <v>0.005728770595690747</v>
      </c>
      <c r="CO36" s="30">
        <f>VLOOKUP(CK24,$CR$7:$CT$13,2,TRUE)</f>
        <v>0</v>
      </c>
      <c r="CQ36" s="30">
        <f>VLOOKUP(CO24,$CR$7:$CT$13,2,TRUE)</f>
        <v>0</v>
      </c>
      <c r="CS36" s="30">
        <f>IF(AND(CK24=1,CO24=1),"")</f>
      </c>
      <c r="CT36" s="30" t="b">
        <f>IF(AND(CK24&gt;1,CO24=1,CW24=FALSE),CS24&amp;"-"&amp;CO36)</f>
        <v>0</v>
      </c>
      <c r="CU36" s="205" t="b">
        <f>IF(AND(CK24&gt;1,CO24&gt;1,CW24=FALSE),CS24&amp;"-"&amp;CO36&amp;" + "&amp;CT24&amp;"-"&amp;CQ36)</f>
        <v>0</v>
      </c>
      <c r="CV36" s="205"/>
      <c r="CW36" s="30" t="b">
        <f>IF(AND(CK24&gt;1,CO24&gt;1,CW24=TRUE),CS24&amp;"-"&amp;CO36&amp;" + "&amp;CT24&amp;"-"&amp;CQ36&amp;" (เสริมพิเศษ) ")</f>
        <v>0</v>
      </c>
      <c r="DA36" s="30" t="b">
        <f>IF(AND(CK24&gt;1,CO24=1,CW24=TRUE),CS24&amp;"-"&amp;CO36&amp;" (เสริมพิเศษ) ")</f>
        <v>0</v>
      </c>
      <c r="DC36" s="96">
        <v>8</v>
      </c>
      <c r="DD36" s="102">
        <v>0.2</v>
      </c>
      <c r="DE36" s="96"/>
      <c r="DF36" s="96"/>
      <c r="DP36" s="48"/>
      <c r="DQ36" s="124"/>
      <c r="DR36" s="124"/>
      <c r="DS36" s="124"/>
      <c r="DT36" s="124"/>
      <c r="DU36" s="124"/>
      <c r="DV36" s="110"/>
      <c r="DX36" s="48"/>
      <c r="DY36" s="124"/>
      <c r="DZ36" s="124"/>
      <c r="EA36" s="124"/>
      <c r="EB36" s="124"/>
      <c r="EC36" s="124"/>
      <c r="ED36" s="110"/>
      <c r="EF36" s="120">
        <v>10</v>
      </c>
      <c r="EG36" s="89"/>
      <c r="EH36" s="61"/>
      <c r="EI36" s="61"/>
      <c r="EJ36" s="61"/>
      <c r="EK36" s="61"/>
      <c r="EL36" s="61"/>
      <c r="EM36" s="61"/>
      <c r="EN36" s="61"/>
      <c r="EO36" s="61"/>
      <c r="EP36" s="124">
        <f>$DR$12</f>
        <v>0.09333333333333334</v>
      </c>
      <c r="EQ36" s="124">
        <f>$DR$12-$DQ$12</f>
        <v>0.09333333333333334</v>
      </c>
      <c r="ER36" s="124">
        <f>$DR$12-($DQ$12*2)</f>
        <v>0.09333333333333334</v>
      </c>
      <c r="ES36" s="124">
        <f>$DR$12-($DQ$12*3)</f>
        <v>0.09333333333333334</v>
      </c>
      <c r="ET36" s="124">
        <f>$DR$12-($DQ$12*4)</f>
        <v>0.09333333333333334</v>
      </c>
      <c r="EU36" s="124">
        <f>$DR$12-($DQ$12*5)</f>
        <v>0.09333333333333334</v>
      </c>
      <c r="EV36" s="110">
        <f>$DR$12-($DQ$12*6)</f>
        <v>0.09333333333333334</v>
      </c>
      <c r="EX36" s="120">
        <v>10</v>
      </c>
      <c r="EY36" s="89"/>
      <c r="EZ36" s="61"/>
      <c r="FA36" s="61"/>
      <c r="FB36" s="61"/>
      <c r="FC36" s="61"/>
      <c r="FD36" s="61"/>
      <c r="FE36" s="61"/>
      <c r="FF36" s="61"/>
      <c r="FG36" s="61"/>
      <c r="FH36" s="124">
        <f>$DR$9</f>
        <v>0.09333333333333334</v>
      </c>
      <c r="FI36" s="124">
        <f>$DR$9-$DQ$9</f>
        <v>0.09333333333333334</v>
      </c>
      <c r="FJ36" s="124">
        <f>$DR$9-($DQ$9*2)</f>
        <v>0.09333333333333334</v>
      </c>
      <c r="FK36" s="124">
        <f>$DR$9-($DQ$9*3)</f>
        <v>0.09333333333333334</v>
      </c>
      <c r="FL36" s="124">
        <f>$DR$9-($DQ$9*4)</f>
        <v>0.09333333333333334</v>
      </c>
      <c r="FM36" s="124">
        <f>$DR$9-($DQ$9*5)</f>
        <v>0.09333333333333334</v>
      </c>
      <c r="FN36" s="110">
        <f>$DR$9-($DQ$9*6)</f>
        <v>0.09333333333333334</v>
      </c>
    </row>
    <row r="37" spans="2:170" s="30" customFormat="1" ht="15.75" customHeight="1">
      <c r="B37" s="122" t="str">
        <f>IF(CN$41=1,"2 nd Layer",IF(CN$41=2,"2' nd Layer"))</f>
        <v>2 nd Layer</v>
      </c>
      <c r="C37" s="122"/>
      <c r="D37" s="122"/>
      <c r="E37" s="153"/>
      <c r="F37" s="308"/>
      <c r="G37" s="309"/>
      <c r="H37" s="310"/>
      <c r="I37" s="298"/>
      <c r="J37" s="299"/>
      <c r="K37" s="300"/>
      <c r="L37" s="216" t="str">
        <f>IF(CG24&lt;1,"-",IF(CG24&gt;0,CJ24))</f>
        <v>-</v>
      </c>
      <c r="M37" s="217"/>
      <c r="N37" s="217"/>
      <c r="O37" s="217"/>
      <c r="Q37" s="30" t="s">
        <v>146</v>
      </c>
      <c r="U37" s="32" t="s">
        <v>3</v>
      </c>
      <c r="V37" s="278">
        <f>D</f>
        <v>0.3</v>
      </c>
      <c r="W37" s="278"/>
      <c r="X37" s="32" t="str">
        <f>IF(V37&gt;=Y37,"&gt;",IF(V37&lt;Y37,"&lt;"))</f>
        <v>&gt;</v>
      </c>
      <c r="Y37" s="208">
        <f>CG40</f>
        <v>0.15</v>
      </c>
      <c r="Z37" s="208"/>
      <c r="AA37" s="22" t="str">
        <f>IF(V37&gt;=Y37,"Ok.",IF(V37&lt;Y37,"Not Ok."))</f>
        <v>Ok.</v>
      </c>
      <c r="AC37" s="156"/>
      <c r="AD37" s="156"/>
      <c r="AE37" s="156"/>
      <c r="AF37" s="156"/>
      <c r="AG37" s="157"/>
      <c r="AH37" s="158"/>
      <c r="AI37" s="156"/>
      <c r="AJ37" s="156"/>
      <c r="AK37" s="156"/>
      <c r="AL37" s="157"/>
      <c r="AM37" s="158"/>
      <c r="AN37" s="156"/>
      <c r="AO37" s="156"/>
      <c r="AP37" s="157"/>
      <c r="BU37" s="32"/>
      <c r="BV37" s="47"/>
      <c r="CD37" s="48" t="s">
        <v>129</v>
      </c>
      <c r="CE37" s="37"/>
      <c r="CF37" s="37"/>
      <c r="CG37" s="52">
        <f>14/fy</f>
        <v>0.004666666666666667</v>
      </c>
      <c r="CO37" s="30" t="str">
        <f>VLOOKUP(CK25,$CR$7:$CT$13,2,TRUE)</f>
        <v>DB12</v>
      </c>
      <c r="CQ37" s="30">
        <f>VLOOKUP(CO25,$CR$7:$CT$13,2,TRUE)</f>
        <v>0</v>
      </c>
      <c r="CS37" s="30" t="b">
        <f>IF(AND(CK25=1,CO25=1),"")</f>
        <v>0</v>
      </c>
      <c r="CT37" s="30" t="str">
        <f>IF(AND(CK25&gt;1,CO25=1),CS25&amp;"-"&amp;CO37)</f>
        <v>2-DB12</v>
      </c>
      <c r="CU37" s="205" t="b">
        <f>IF(AND(CK25&gt;1,CO25&gt;1,CW25=FALSE),CS25&amp;"-"&amp;CO37&amp;" + "&amp;CT25&amp;"-"&amp;CQ37)</f>
        <v>0</v>
      </c>
      <c r="CV37" s="205"/>
      <c r="CW37" s="30" t="b">
        <f>IF(AND(CK25&gt;1,CO25&gt;1,CW25=TRUE),CS25&amp;"-"&amp;CO37&amp;" + "&amp;CT25&amp;"-"&amp;CQ37&amp;" (เสริมพิเศษ) ")</f>
        <v>0</v>
      </c>
      <c r="DC37" s="96">
        <v>9</v>
      </c>
      <c r="DD37" s="96">
        <v>0.25</v>
      </c>
      <c r="DE37" s="96"/>
      <c r="DF37" s="96"/>
      <c r="DP37" s="48">
        <v>8</v>
      </c>
      <c r="DQ37" s="124">
        <f>IF($DO$13&lt;=8,$EC$25,IF($DO$13&gt;8,EC16))</f>
        <v>0.09333333333333334</v>
      </c>
      <c r="DR37" s="124">
        <f t="shared" si="14"/>
        <v>-0.2933333333333334</v>
      </c>
      <c r="DS37" s="124" t="e">
        <f>IF($DO$12&lt;=8,$ED$25,IF($DO$12&gt;8,ED16))</f>
        <v>#N/A</v>
      </c>
      <c r="DT37" s="124">
        <f t="shared" si="15"/>
        <v>-0.2933333333333334</v>
      </c>
      <c r="DU37" s="124" t="e">
        <f>IF($DO$11&lt;=8,$EE$25,IF($DO$11&gt;8,EE16))</f>
        <v>#N/A</v>
      </c>
      <c r="DV37" s="110">
        <f t="shared" si="16"/>
        <v>-0.2933333333333334</v>
      </c>
      <c r="DX37" s="48">
        <v>5</v>
      </c>
      <c r="DY37" s="124">
        <f>IF($DO$8&lt;=5,$DZ$25,IF($DO$8&gt;5,DZ13))</f>
        <v>0.09333333333333334</v>
      </c>
      <c r="DZ37" s="124">
        <f t="shared" si="21"/>
        <v>0.2933333333333334</v>
      </c>
      <c r="EA37" s="124" t="e">
        <f>IF($DO$9&lt;=5,$EA$25,IF($DO$9&gt;5,EA13))</f>
        <v>#N/A</v>
      </c>
      <c r="EB37" s="124">
        <f t="shared" si="22"/>
        <v>0.2933333333333334</v>
      </c>
      <c r="EC37" s="124" t="e">
        <f>IF($DO$10&lt;=5,$EB$25,IF($DO$10&gt;5,EB13))</f>
        <v>#N/A</v>
      </c>
      <c r="ED37" s="110">
        <f t="shared" si="23"/>
        <v>0.2933333333333334</v>
      </c>
      <c r="EF37" s="120">
        <v>11</v>
      </c>
      <c r="EG37" s="89"/>
      <c r="EH37" s="61"/>
      <c r="EI37" s="61"/>
      <c r="EJ37" s="61"/>
      <c r="EK37" s="61"/>
      <c r="EL37" s="61"/>
      <c r="EM37" s="61"/>
      <c r="EN37" s="61"/>
      <c r="EO37" s="61"/>
      <c r="EP37" s="61"/>
      <c r="EQ37" s="124">
        <f>$DR$12</f>
        <v>0.09333333333333334</v>
      </c>
      <c r="ER37" s="124">
        <f>$DR$12-$DQ$12</f>
        <v>0.09333333333333334</v>
      </c>
      <c r="ES37" s="124">
        <f>$DR$12-($DQ$12*2)</f>
        <v>0.09333333333333334</v>
      </c>
      <c r="ET37" s="124">
        <f>$DR$12-($DQ$12*3)</f>
        <v>0.09333333333333334</v>
      </c>
      <c r="EU37" s="124">
        <f>$DR$12-($DQ$12*4)</f>
        <v>0.09333333333333334</v>
      </c>
      <c r="EV37" s="110">
        <f>$DR$12-($DQ$12*5)</f>
        <v>0.09333333333333334</v>
      </c>
      <c r="EX37" s="120">
        <v>11</v>
      </c>
      <c r="EY37" s="89"/>
      <c r="EZ37" s="61"/>
      <c r="FA37" s="61"/>
      <c r="FB37" s="61"/>
      <c r="FC37" s="61"/>
      <c r="FD37" s="61"/>
      <c r="FE37" s="61"/>
      <c r="FF37" s="61"/>
      <c r="FG37" s="61"/>
      <c r="FH37" s="61"/>
      <c r="FI37" s="124">
        <f>$DR$9</f>
        <v>0.09333333333333334</v>
      </c>
      <c r="FJ37" s="124">
        <f>$DR$9-$DQ$9</f>
        <v>0.09333333333333334</v>
      </c>
      <c r="FK37" s="124">
        <f>$DR$9-($DQ$9*2)</f>
        <v>0.09333333333333334</v>
      </c>
      <c r="FL37" s="124">
        <f>$DR$9-($DQ$9*3)</f>
        <v>0.09333333333333334</v>
      </c>
      <c r="FM37" s="124">
        <f>$DR$9-($DQ$9*4)</f>
        <v>0.09333333333333334</v>
      </c>
      <c r="FN37" s="110">
        <f>$DR$9-($DQ$9*5)</f>
        <v>0.09333333333333334</v>
      </c>
    </row>
    <row r="38" spans="2:170" s="30" customFormat="1" ht="15.75" customHeight="1">
      <c r="B38" s="154" t="str">
        <f>IF(CN$41=1,"1 st Layer",IF(CN$41=2,"1' st Layer"))</f>
        <v>1 st Layer</v>
      </c>
      <c r="C38" s="154"/>
      <c r="D38" s="154"/>
      <c r="E38" s="155"/>
      <c r="F38" s="311"/>
      <c r="G38" s="312"/>
      <c r="H38" s="313"/>
      <c r="I38" s="301"/>
      <c r="J38" s="302"/>
      <c r="K38" s="303"/>
      <c r="L38" s="253">
        <f>IF(CG25&lt;1,"-",IF(CG25&gt;0,CJ25))</f>
        <v>6.4</v>
      </c>
      <c r="M38" s="254"/>
      <c r="N38" s="254"/>
      <c r="O38" s="254"/>
      <c r="Q38" s="30" t="s">
        <v>147</v>
      </c>
      <c r="U38" s="32" t="s">
        <v>3</v>
      </c>
      <c r="V38" s="208">
        <f>BV39</f>
        <v>4.5</v>
      </c>
      <c r="W38" s="208"/>
      <c r="X38" s="32" t="str">
        <f>IF(BV39&gt;=BV40,"&gt;",IF(BV39&lt;=BV40,"&lt;"))</f>
        <v>&gt;</v>
      </c>
      <c r="Y38" s="278">
        <f>BV40</f>
        <v>1.2</v>
      </c>
      <c r="Z38" s="278"/>
      <c r="AA38" s="22" t="str">
        <f>IF(BV39&gt;BV40,"No.",IF(BV39&lt;=BV40,"Yes."))</f>
        <v>No.</v>
      </c>
      <c r="AB38" s="32"/>
      <c r="AC38" s="156"/>
      <c r="AD38" s="156"/>
      <c r="AE38" s="156"/>
      <c r="AF38" s="156"/>
      <c r="AG38" s="157"/>
      <c r="AH38" s="158"/>
      <c r="AI38" s="156"/>
      <c r="AJ38" s="156"/>
      <c r="AK38" s="156"/>
      <c r="AL38" s="157"/>
      <c r="AM38" s="158"/>
      <c r="AN38" s="156"/>
      <c r="AO38" s="156"/>
      <c r="AP38" s="157"/>
      <c r="BV38" s="35"/>
      <c r="CD38" s="53"/>
      <c r="CE38" s="54"/>
      <c r="CF38" s="54"/>
      <c r="CG38" s="55">
        <f>IF(CG36&gt;=CG37,1,IF(CG36&lt;CG37,2))</f>
        <v>1</v>
      </c>
      <c r="CT38" s="56"/>
      <c r="DC38" s="96">
        <v>10</v>
      </c>
      <c r="DD38" s="102">
        <v>0.3</v>
      </c>
      <c r="DE38" s="96"/>
      <c r="DF38" s="96"/>
      <c r="DP38" s="48"/>
      <c r="DQ38" s="124"/>
      <c r="DR38" s="124"/>
      <c r="DS38" s="124"/>
      <c r="DT38" s="124"/>
      <c r="DU38" s="124"/>
      <c r="DV38" s="110"/>
      <c r="DX38" s="48"/>
      <c r="DY38" s="124"/>
      <c r="DZ38" s="124"/>
      <c r="EA38" s="124"/>
      <c r="EB38" s="124"/>
      <c r="EC38" s="124"/>
      <c r="ED38" s="110"/>
      <c r="EF38" s="120">
        <v>12</v>
      </c>
      <c r="EG38" s="89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124">
        <f>$DR$12</f>
        <v>0.09333333333333334</v>
      </c>
      <c r="ES38" s="124">
        <f>$DR$12-$DQ$12</f>
        <v>0.09333333333333334</v>
      </c>
      <c r="ET38" s="124">
        <f>$DR$12-($DQ$12*2)</f>
        <v>0.09333333333333334</v>
      </c>
      <c r="EU38" s="124">
        <f>$DR$12-($DQ$12*3)</f>
        <v>0.09333333333333334</v>
      </c>
      <c r="EV38" s="110">
        <f>$DR$12-($DQ$12*4)</f>
        <v>0.09333333333333334</v>
      </c>
      <c r="EX38" s="120">
        <v>12</v>
      </c>
      <c r="EY38" s="89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124">
        <f>$DR$9</f>
        <v>0.09333333333333334</v>
      </c>
      <c r="FK38" s="124">
        <f>$DR$9-$DQ$9</f>
        <v>0.09333333333333334</v>
      </c>
      <c r="FL38" s="124">
        <f>$DR$9-($DQ$9*2)</f>
        <v>0.09333333333333334</v>
      </c>
      <c r="FM38" s="124">
        <f>$DR$9-($DQ$9*3)</f>
        <v>0.09333333333333334</v>
      </c>
      <c r="FN38" s="110">
        <f>$DR$9-($DQ$9*4)</f>
        <v>0.09333333333333334</v>
      </c>
    </row>
    <row r="39" spans="17:170" s="30" customFormat="1" ht="15.75" customHeight="1" thickBot="1">
      <c r="Q39" s="30" t="s">
        <v>148</v>
      </c>
      <c r="U39" s="32" t="s">
        <v>3</v>
      </c>
      <c r="V39" s="276">
        <f>BW48</f>
        <v>0.25</v>
      </c>
      <c r="W39" s="276"/>
      <c r="X39" s="32" t="str">
        <f>IF(BW49=1,"&lt;",IF(BW49=2,"&gt;"))</f>
        <v>&lt;</v>
      </c>
      <c r="Y39" s="277">
        <f>BW47</f>
        <v>0.4</v>
      </c>
      <c r="Z39" s="277"/>
      <c r="AA39" s="22" t="str">
        <f>IF(BW49=1,"Ok.",IF(BW49=2,"Not Ok."))</f>
        <v>Ok.</v>
      </c>
      <c r="AB39" s="32"/>
      <c r="AC39" s="159"/>
      <c r="AD39" s="159"/>
      <c r="AE39" s="159"/>
      <c r="AF39" s="159"/>
      <c r="AG39" s="160"/>
      <c r="AH39" s="161"/>
      <c r="AI39" s="159"/>
      <c r="AJ39" s="159"/>
      <c r="AK39" s="159"/>
      <c r="AL39" s="160"/>
      <c r="AM39" s="161"/>
      <c r="AN39" s="159"/>
      <c r="AO39" s="159"/>
      <c r="AP39" s="160"/>
      <c r="BT39" s="30" t="s">
        <v>153</v>
      </c>
      <c r="BU39" s="30" t="s">
        <v>3</v>
      </c>
      <c r="BV39" s="30">
        <f>B*30</f>
        <v>4.5</v>
      </c>
      <c r="BZ39" s="57" t="s">
        <v>149</v>
      </c>
      <c r="CA39" s="45"/>
      <c r="CB39" s="45"/>
      <c r="CC39" s="45"/>
      <c r="CD39" s="45"/>
      <c r="CE39" s="45"/>
      <c r="CF39" s="45"/>
      <c r="CG39" s="46"/>
      <c r="CH39" s="2"/>
      <c r="CI39" s="32"/>
      <c r="CJ39" s="58"/>
      <c r="CS39" s="30">
        <f>IF(AND(CK17=1,CO17=1),1,IF(AND(CK17&gt;1,CO17=1),2,IF(AND(CK17&gt;1,CO17&gt;1,CW17=FALSE),3,IF(AND(CK17&gt;1,CO17&gt;1,CW17=TRUE),4))))</f>
        <v>2</v>
      </c>
      <c r="CT39" s="56" t="str">
        <f>HLOOKUP(CS39,$CS$30:$DA$37,2,TRUE)</f>
        <v>2-DB12</v>
      </c>
      <c r="CW39" s="30">
        <f>VLOOKUP(V44,CX39:CY44,2,FALSE)</f>
        <v>0.6</v>
      </c>
      <c r="CX39" s="30" t="s">
        <v>99</v>
      </c>
      <c r="CY39" s="30">
        <v>0.6</v>
      </c>
      <c r="DA39" s="38">
        <v>0.28</v>
      </c>
      <c r="DP39" s="48">
        <v>9</v>
      </c>
      <c r="DQ39" s="124">
        <f>IF($DO$13&lt;=9,$EC$25,IF($DO$13&gt;9,EC17))</f>
        <v>0.09333333333333334</v>
      </c>
      <c r="DR39" s="124">
        <f t="shared" si="14"/>
        <v>-0.2933333333333334</v>
      </c>
      <c r="DS39" s="124" t="e">
        <f>IF($DO$12&lt;=9,$ED$25,IF($DO$12&gt;9,ED17))</f>
        <v>#N/A</v>
      </c>
      <c r="DT39" s="124">
        <f t="shared" si="15"/>
        <v>-0.2933333333333334</v>
      </c>
      <c r="DU39" s="124" t="e">
        <f>IF($DO$11&lt;=9,$EE$25,IF($DO$11&gt;9,EE17))</f>
        <v>#N/A</v>
      </c>
      <c r="DV39" s="110">
        <f t="shared" si="16"/>
        <v>-0.2933333333333334</v>
      </c>
      <c r="DX39" s="48">
        <v>6</v>
      </c>
      <c r="DY39" s="124">
        <f>IF($DO$8&lt;=6,$DZ$25,IF($DO$8&gt;6,DZ14))</f>
        <v>0.09333333333333334</v>
      </c>
      <c r="DZ39" s="124">
        <f t="shared" si="21"/>
        <v>0.2933333333333334</v>
      </c>
      <c r="EA39" s="124" t="e">
        <f>IF($DO$9&lt;=6,$EA$25,IF($DO$9&gt;6,EA14))</f>
        <v>#N/A</v>
      </c>
      <c r="EB39" s="124">
        <f t="shared" si="22"/>
        <v>0.2933333333333334</v>
      </c>
      <c r="EC39" s="124" t="e">
        <f>IF($DO$10&lt;=6,$EB$25,IF($DO$10&gt;6,EB14))</f>
        <v>#N/A</v>
      </c>
      <c r="ED39" s="110">
        <f t="shared" si="23"/>
        <v>0.2933333333333334</v>
      </c>
      <c r="EF39" s="120">
        <v>13</v>
      </c>
      <c r="EG39" s="89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124">
        <f>$DR$12</f>
        <v>0.09333333333333334</v>
      </c>
      <c r="ET39" s="124">
        <f>$DR$12-$DQ$12</f>
        <v>0.09333333333333334</v>
      </c>
      <c r="EU39" s="124">
        <f>$DR$12-($DQ$12*2)</f>
        <v>0.09333333333333334</v>
      </c>
      <c r="EV39" s="110">
        <f>$DR$12-($DQ$12*3)</f>
        <v>0.09333333333333334</v>
      </c>
      <c r="EX39" s="120">
        <v>13</v>
      </c>
      <c r="EY39" s="89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124">
        <f>$DR$9</f>
        <v>0.09333333333333334</v>
      </c>
      <c r="FL39" s="124">
        <f>$DR$9-$DQ$9</f>
        <v>0.09333333333333334</v>
      </c>
      <c r="FM39" s="124">
        <f>$DR$9-($DQ$9*2)</f>
        <v>0.09333333333333334</v>
      </c>
      <c r="FN39" s="110">
        <f>$DR$9-($DQ$9*3)</f>
        <v>0.09333333333333334</v>
      </c>
    </row>
    <row r="40" spans="2:170" s="30" customFormat="1" ht="15.75" customHeight="1">
      <c r="B40" s="31" t="s">
        <v>87</v>
      </c>
      <c r="L40" s="32"/>
      <c r="Y40" s="32"/>
      <c r="AB40" s="32"/>
      <c r="AC40" s="90"/>
      <c r="AD40" s="90"/>
      <c r="AE40" s="90"/>
      <c r="AF40" s="90"/>
      <c r="AG40" s="90"/>
      <c r="AH40" s="90"/>
      <c r="AI40" s="23"/>
      <c r="AJ40" s="23"/>
      <c r="AK40" s="23"/>
      <c r="AL40" s="23"/>
      <c r="AM40" s="23"/>
      <c r="AN40" s="23"/>
      <c r="AO40" s="23"/>
      <c r="AP40" s="23"/>
      <c r="BT40" s="30" t="s">
        <v>154</v>
      </c>
      <c r="BU40" s="30" t="s">
        <v>3</v>
      </c>
      <c r="BV40" s="30">
        <f>L</f>
        <v>1.2</v>
      </c>
      <c r="BZ40" s="59" t="s">
        <v>88</v>
      </c>
      <c r="CA40" s="37"/>
      <c r="CB40" s="37"/>
      <c r="CC40" s="37"/>
      <c r="CD40" s="37">
        <v>1</v>
      </c>
      <c r="CE40" s="274">
        <f>L/16</f>
        <v>0.075</v>
      </c>
      <c r="CF40" s="274"/>
      <c r="CG40" s="60">
        <f>VLOOKUP(K$19,BZ$40:CF$43,6,FALSE)</f>
        <v>0.15</v>
      </c>
      <c r="CH40" s="2"/>
      <c r="CI40" s="32"/>
      <c r="CJ40" s="58"/>
      <c r="CP40" s="22"/>
      <c r="CS40" s="30">
        <f>IF(AND(CK18=1,CO18=1),1,IF(AND(CK18&gt;1,CO18=1,CW18=FALSE),2,IF(AND(CK18&gt;1,CO18&gt;1,CW18=FALSE),3,IF(AND(CK18&gt;1,CO18&gt;1,CW18=TRUE),4,IF(AND(CK18&gt;1,CO18=1,CW18=TRUE),5)))))</f>
        <v>1</v>
      </c>
      <c r="CT40" s="56">
        <f>HLOOKUP(CS40,$CS$30:$DA$37,3,TRUE)</f>
      </c>
      <c r="CW40" s="30">
        <f>VLOOKUP(V44,CX39:DA44,4,FALSE)</f>
        <v>0.28</v>
      </c>
      <c r="CX40" s="30" t="s">
        <v>100</v>
      </c>
      <c r="CY40" s="30">
        <v>0.9</v>
      </c>
      <c r="DA40" s="38">
        <v>0.64</v>
      </c>
      <c r="DP40" s="48"/>
      <c r="DQ40" s="124"/>
      <c r="DR40" s="124"/>
      <c r="DS40" s="124"/>
      <c r="DT40" s="124"/>
      <c r="DU40" s="124"/>
      <c r="DV40" s="110"/>
      <c r="DX40" s="48"/>
      <c r="DY40" s="124"/>
      <c r="DZ40" s="124"/>
      <c r="EA40" s="124"/>
      <c r="EB40" s="124"/>
      <c r="EC40" s="124"/>
      <c r="ED40" s="110"/>
      <c r="EF40" s="120">
        <v>14</v>
      </c>
      <c r="EG40" s="89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124">
        <f>$DR$12</f>
        <v>0.09333333333333334</v>
      </c>
      <c r="EU40" s="124">
        <f>$DR$12-$DQ$12</f>
        <v>0.09333333333333334</v>
      </c>
      <c r="EV40" s="110">
        <f>$DR$12-($DQ$12*2)</f>
        <v>0.09333333333333334</v>
      </c>
      <c r="EX40" s="120">
        <v>14</v>
      </c>
      <c r="EY40" s="89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124">
        <f>$DR$9</f>
        <v>0.09333333333333334</v>
      </c>
      <c r="FM40" s="124">
        <f>$DR$9-$DQ$9</f>
        <v>0.09333333333333334</v>
      </c>
      <c r="FN40" s="110">
        <f>$DR$9-($DQ$9*2)</f>
        <v>0.09333333333333334</v>
      </c>
    </row>
    <row r="41" spans="2:170" s="30" customFormat="1" ht="15.75" customHeight="1">
      <c r="B41" s="30" t="s">
        <v>186</v>
      </c>
      <c r="J41" s="32" t="s">
        <v>3</v>
      </c>
      <c r="K41" s="230">
        <v>2400</v>
      </c>
      <c r="L41" s="230"/>
      <c r="M41" s="230"/>
      <c r="Q41" s="30" t="s">
        <v>162</v>
      </c>
      <c r="X41" s="32" t="s">
        <v>3</v>
      </c>
      <c r="Y41" s="231"/>
      <c r="Z41" s="231"/>
      <c r="AA41" s="231"/>
      <c r="AC41" s="88"/>
      <c r="AD41" s="88"/>
      <c r="AE41" s="88"/>
      <c r="AF41" s="88"/>
      <c r="AG41" s="88"/>
      <c r="AH41" s="88"/>
      <c r="AI41" s="23"/>
      <c r="AJ41" s="23"/>
      <c r="AK41" s="23"/>
      <c r="AL41" s="23"/>
      <c r="AM41" s="23"/>
      <c r="AN41" s="23"/>
      <c r="AO41" s="23"/>
      <c r="AP41" s="23"/>
      <c r="BV41" s="30">
        <f>IF(BV39&lt;BV40,1,IF(BV39&gt;=BV40,2))</f>
        <v>2</v>
      </c>
      <c r="BZ41" s="59" t="s">
        <v>151</v>
      </c>
      <c r="CA41" s="37"/>
      <c r="CB41" s="37"/>
      <c r="CC41" s="37"/>
      <c r="CD41" s="37">
        <v>2</v>
      </c>
      <c r="CE41" s="274">
        <f>L/18.5</f>
        <v>0.06486486486486487</v>
      </c>
      <c r="CF41" s="274"/>
      <c r="CG41" s="52"/>
      <c r="CH41" s="2"/>
      <c r="CI41" s="32"/>
      <c r="CJ41" s="62" t="s">
        <v>127</v>
      </c>
      <c r="CM41" s="32" t="s">
        <v>3</v>
      </c>
      <c r="CN41" s="30">
        <f>IF(M26&gt;=0,1,IF(M26&lt;0,2))</f>
        <v>1</v>
      </c>
      <c r="CS41" s="30">
        <f>IF(AND(CK19=1,CO19=1),1,IF(AND(CK19&gt;1,CO19=1,CW19=FALSE),2,IF(AND(CK19&gt;1,CO19&gt;1,CW19=FALSE),3,IF(AND(CK19&gt;1,CO19&gt;1,CW19=TRUE),4,IF(AND(CK19&gt;1,CO19=1,CW19=TRUE),5)))))</f>
        <v>1</v>
      </c>
      <c r="CT41" s="56">
        <f>HLOOKUP(CS41,$CS$30:$DA$37,4,TRUE)</f>
      </c>
      <c r="CW41" s="30">
        <f>Y44</f>
        <v>1</v>
      </c>
      <c r="CX41" s="30" t="s">
        <v>101</v>
      </c>
      <c r="CY41" s="30">
        <v>1</v>
      </c>
      <c r="DA41" s="38">
        <v>0.78</v>
      </c>
      <c r="DP41" s="48">
        <v>10</v>
      </c>
      <c r="DQ41" s="124">
        <f>IF($DO$13&lt;=10,$EC$25,IF($DO$13&gt;10,EC18))</f>
        <v>0.09333333333333334</v>
      </c>
      <c r="DR41" s="124">
        <f t="shared" si="14"/>
        <v>-0.2933333333333334</v>
      </c>
      <c r="DS41" s="124" t="e">
        <f>IF($DO$12&lt;=10,$ED$25,IF($DO$12&gt;10,ED18))</f>
        <v>#N/A</v>
      </c>
      <c r="DT41" s="124">
        <f t="shared" si="15"/>
        <v>-0.2933333333333334</v>
      </c>
      <c r="DU41" s="124" t="e">
        <f>IF($DO$11&lt;=10,$EE$25,IF($DO$11&gt;10,EE18))</f>
        <v>#N/A</v>
      </c>
      <c r="DV41" s="110">
        <f t="shared" si="16"/>
        <v>-0.2933333333333334</v>
      </c>
      <c r="DX41" s="48">
        <v>7</v>
      </c>
      <c r="DY41" s="124">
        <f>IF($DO$8&lt;=7,$DZ$25,IF($DO$8&gt;7,DZ15))</f>
        <v>0.09333333333333334</v>
      </c>
      <c r="DZ41" s="124">
        <f t="shared" si="21"/>
        <v>0.2933333333333334</v>
      </c>
      <c r="EA41" s="124" t="e">
        <f>IF($DO$9&lt;=7,$EA$25,IF($DO$9&gt;7,EA15))</f>
        <v>#N/A</v>
      </c>
      <c r="EB41" s="124">
        <f t="shared" si="22"/>
        <v>0.2933333333333334</v>
      </c>
      <c r="EC41" s="124" t="e">
        <f>IF($DO$10&lt;=7,$EB$25,IF($DO$10&gt;7,EB15))</f>
        <v>#N/A</v>
      </c>
      <c r="ED41" s="110">
        <f t="shared" si="23"/>
        <v>0.2933333333333334</v>
      </c>
      <c r="EF41" s="120">
        <v>15</v>
      </c>
      <c r="EG41" s="89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124">
        <f>$DR$12</f>
        <v>0.09333333333333334</v>
      </c>
      <c r="EV41" s="110">
        <f>$DR$12-$DQ$12</f>
        <v>0.09333333333333334</v>
      </c>
      <c r="EX41" s="120">
        <v>15</v>
      </c>
      <c r="EY41" s="89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124">
        <f>$DR$9</f>
        <v>0.09333333333333334</v>
      </c>
      <c r="FN41" s="110">
        <f>$DR$9-$DQ$9</f>
        <v>0.09333333333333334</v>
      </c>
    </row>
    <row r="42" spans="2:170" s="30" customFormat="1" ht="15.75" customHeight="1">
      <c r="B42" s="30" t="s">
        <v>111</v>
      </c>
      <c r="J42" s="32" t="s">
        <v>3</v>
      </c>
      <c r="K42" s="229">
        <v>0.5</v>
      </c>
      <c r="L42" s="229"/>
      <c r="M42" s="229"/>
      <c r="Q42" s="30" t="s">
        <v>164</v>
      </c>
      <c r="X42" s="32" t="s">
        <v>3</v>
      </c>
      <c r="Y42" s="231"/>
      <c r="Z42" s="231"/>
      <c r="AA42" s="231"/>
      <c r="AC42" s="88"/>
      <c r="AD42" s="88"/>
      <c r="AE42" s="88"/>
      <c r="AF42" s="88"/>
      <c r="AG42" s="88"/>
      <c r="AH42" s="88"/>
      <c r="AI42" s="23"/>
      <c r="AJ42" s="23"/>
      <c r="AK42" s="23"/>
      <c r="AL42" s="23"/>
      <c r="AM42" s="23"/>
      <c r="AN42" s="23"/>
      <c r="AO42" s="23"/>
      <c r="AP42" s="23"/>
      <c r="BT42" s="30" t="s">
        <v>155</v>
      </c>
      <c r="BU42" s="30" t="s">
        <v>3</v>
      </c>
      <c r="BV42" s="30">
        <f>8*B</f>
        <v>1.2</v>
      </c>
      <c r="BZ42" s="59" t="s">
        <v>152</v>
      </c>
      <c r="CA42" s="37"/>
      <c r="CB42" s="37"/>
      <c r="CC42" s="37"/>
      <c r="CD42" s="37">
        <v>2</v>
      </c>
      <c r="CE42" s="274">
        <f>L/21</f>
        <v>0.05714285714285714</v>
      </c>
      <c r="CF42" s="274"/>
      <c r="CG42" s="52"/>
      <c r="CI42" s="32"/>
      <c r="CJ42" s="41"/>
      <c r="CT42" s="56"/>
      <c r="CX42" s="30" t="s">
        <v>102</v>
      </c>
      <c r="CY42" s="30">
        <v>1.2</v>
      </c>
      <c r="DA42" s="38">
        <v>1.13</v>
      </c>
      <c r="DP42" s="48"/>
      <c r="DQ42" s="124"/>
      <c r="DR42" s="124"/>
      <c r="DS42" s="124"/>
      <c r="DT42" s="124"/>
      <c r="DU42" s="124"/>
      <c r="DV42" s="110"/>
      <c r="DX42" s="48"/>
      <c r="DY42" s="124"/>
      <c r="DZ42" s="124"/>
      <c r="EA42" s="124"/>
      <c r="EB42" s="124"/>
      <c r="EC42" s="124"/>
      <c r="ED42" s="110"/>
      <c r="EF42" s="63">
        <v>16</v>
      </c>
      <c r="EG42" s="12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3">
        <f>$DR$12</f>
        <v>0.09333333333333334</v>
      </c>
      <c r="EX42" s="63">
        <v>16</v>
      </c>
      <c r="EY42" s="12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3">
        <f>$DR$9</f>
        <v>0.09333333333333334</v>
      </c>
    </row>
    <row r="43" spans="2:134" s="30" customFormat="1" ht="15.75" customHeight="1">
      <c r="B43" s="30" t="s">
        <v>185</v>
      </c>
      <c r="J43" s="32" t="s">
        <v>3</v>
      </c>
      <c r="K43" s="270">
        <f>IF(fv&gt;1500,1500,IF(fv&lt;=1500,fv))</f>
        <v>1200</v>
      </c>
      <c r="L43" s="270"/>
      <c r="M43" s="270"/>
      <c r="Q43" s="30" t="s">
        <v>95</v>
      </c>
      <c r="X43" s="32" t="s">
        <v>3</v>
      </c>
      <c r="Y43" s="231"/>
      <c r="Z43" s="231"/>
      <c r="AA43" s="231"/>
      <c r="AC43" s="286" t="s">
        <v>206</v>
      </c>
      <c r="AD43" s="287"/>
      <c r="AE43" s="288"/>
      <c r="AF43" s="88"/>
      <c r="AG43" s="88"/>
      <c r="AH43" s="88"/>
      <c r="AI43" s="23"/>
      <c r="AJ43" s="23"/>
      <c r="AK43" s="23"/>
      <c r="AL43" s="23"/>
      <c r="AM43" s="23"/>
      <c r="AN43" s="23"/>
      <c r="AO43" s="23"/>
      <c r="AP43" s="23"/>
      <c r="BV43" s="30">
        <f>IF(D&lt;=BV42,1,IF(D&gt;BV42,2))</f>
        <v>1</v>
      </c>
      <c r="BZ43" s="51" t="s">
        <v>150</v>
      </c>
      <c r="CA43" s="54"/>
      <c r="CB43" s="54"/>
      <c r="CC43" s="54"/>
      <c r="CD43" s="54">
        <v>2</v>
      </c>
      <c r="CE43" s="281">
        <f>L/8</f>
        <v>0.15</v>
      </c>
      <c r="CF43" s="281"/>
      <c r="CG43" s="55"/>
      <c r="CH43" s="30" t="s">
        <v>123</v>
      </c>
      <c r="CJ43" s="32">
        <f>IF(Mc&gt;=ABS(Mmax),1,IF(Mc&lt;ABS(Mmax),2))</f>
        <v>1</v>
      </c>
      <c r="CS43" s="30">
        <f>IF(AND(CK23=1,CO23=1),1,IF(AND(CK23&gt;1,CO23=1,CW23=FALSE),2,IF(AND(CK23&gt;1,CO23&gt;1,CW23=FALSE),3,IF(AND(CK23&gt;1,CO23&gt;1,CW23=TRUE),4,IF(AND(CK23&gt;1,CO23=1,CW23=TRUE),5)))))</f>
        <v>1</v>
      </c>
      <c r="CT43" s="63">
        <f>HLOOKUP(CS43,$CS$30:$DA$37,6,TRUE)</f>
      </c>
      <c r="CX43" s="30" t="s">
        <v>66</v>
      </c>
      <c r="CY43" s="30">
        <v>1.2</v>
      </c>
      <c r="DA43" s="38">
        <v>1.13</v>
      </c>
      <c r="DP43" s="48">
        <v>11</v>
      </c>
      <c r="DQ43" s="124">
        <f>IF($DO$13&lt;=11,$EC$25,IF($DO$13&gt;11,EC19))</f>
        <v>0.09333333333333334</v>
      </c>
      <c r="DR43" s="124">
        <f t="shared" si="14"/>
        <v>-0.2933333333333334</v>
      </c>
      <c r="DS43" s="124" t="e">
        <f>IF($DO$12&lt;=11,$ED$25,IF($DO$12&gt;11,ED19))</f>
        <v>#N/A</v>
      </c>
      <c r="DT43" s="124">
        <f t="shared" si="15"/>
        <v>-0.2933333333333334</v>
      </c>
      <c r="DU43" s="124" t="e">
        <f>IF($DO$11&lt;=11,$EE$25,IF($DO$11&gt;11,EE19))</f>
        <v>#N/A</v>
      </c>
      <c r="DV43" s="110">
        <f t="shared" si="16"/>
        <v>-0.2933333333333334</v>
      </c>
      <c r="DX43" s="48">
        <v>8</v>
      </c>
      <c r="DY43" s="124">
        <f>IF($DO$8&lt;=8,$DZ$25,IF($DO$8&gt;8,DZ16))</f>
        <v>0.09333333333333334</v>
      </c>
      <c r="DZ43" s="124">
        <f t="shared" si="21"/>
        <v>0.2933333333333334</v>
      </c>
      <c r="EA43" s="124" t="e">
        <f>IF($DO$9&lt;=8,$EA$25,IF($DO$9&gt;8,EA16))</f>
        <v>#N/A</v>
      </c>
      <c r="EB43" s="124">
        <f t="shared" si="22"/>
        <v>0.2933333333333334</v>
      </c>
      <c r="EC43" s="124" t="e">
        <f>IF($DO$10&lt;=8,$EB$25,IF($DO$10&gt;8,EB16))</f>
        <v>#N/A</v>
      </c>
      <c r="ED43" s="110">
        <f t="shared" si="23"/>
        <v>0.2933333333333334</v>
      </c>
    </row>
    <row r="44" spans="14:154" s="30" customFormat="1" ht="15.75" customHeight="1">
      <c r="N44" s="137"/>
      <c r="O44" s="137"/>
      <c r="Q44" s="30" t="s">
        <v>98</v>
      </c>
      <c r="V44" s="231" t="s">
        <v>99</v>
      </c>
      <c r="W44" s="231"/>
      <c r="X44" s="32" t="s">
        <v>104</v>
      </c>
      <c r="Y44" s="231">
        <v>1</v>
      </c>
      <c r="Z44" s="231"/>
      <c r="AA44" s="30" t="s">
        <v>105</v>
      </c>
      <c r="AC44" s="93"/>
      <c r="AD44" s="94"/>
      <c r="AE44" s="95"/>
      <c r="AF44" s="88"/>
      <c r="AG44" s="88"/>
      <c r="AH44" s="88"/>
      <c r="AI44" s="23"/>
      <c r="AJ44" s="23"/>
      <c r="AK44" s="23"/>
      <c r="AL44" s="23"/>
      <c r="AM44" s="23"/>
      <c r="AN44" s="23"/>
      <c r="AO44" s="23"/>
      <c r="AP44" s="23"/>
      <c r="BT44" s="30" t="s">
        <v>156</v>
      </c>
      <c r="BU44" s="30" t="s">
        <v>3</v>
      </c>
      <c r="BV44" s="30">
        <f>1.75-(L/(40*B))</f>
        <v>1.55</v>
      </c>
      <c r="CS44" s="30">
        <f>IF(AND(CK24=1,CO24=1),1,IF(AND(CK24&gt;1,CO24=1,CW24=FALSE),2,IF(AND(CK24&gt;1,CO24&gt;1,CW24=FALSE),3,IF(AND(CK24&gt;1,CO24&gt;1,CW24=TRUE),4,IF(AND(CK24&gt;1,CO24=1,CW24=TRUE),5)))))</f>
        <v>1</v>
      </c>
      <c r="CT44" s="56">
        <f>HLOOKUP(CS44,$CS$30:$DA$37,7,TRUE)</f>
      </c>
      <c r="CX44" s="30" t="s">
        <v>103</v>
      </c>
      <c r="CY44" s="30">
        <v>1.5</v>
      </c>
      <c r="DA44" s="38">
        <v>1.77</v>
      </c>
      <c r="DP44" s="48"/>
      <c r="DQ44" s="124"/>
      <c r="DR44" s="124"/>
      <c r="DS44" s="124"/>
      <c r="DT44" s="124"/>
      <c r="DU44" s="124"/>
      <c r="DV44" s="110"/>
      <c r="DX44" s="48"/>
      <c r="DY44" s="124"/>
      <c r="DZ44" s="124"/>
      <c r="EA44" s="124"/>
      <c r="EB44" s="124"/>
      <c r="EC44" s="124"/>
      <c r="ED44" s="110"/>
      <c r="EF44" s="30" t="s">
        <v>230</v>
      </c>
      <c r="EX44" s="30" t="s">
        <v>233</v>
      </c>
    </row>
    <row r="45" spans="12:170" s="30" customFormat="1" ht="15.75" customHeight="1">
      <c r="L45" s="32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BQ45" s="44"/>
      <c r="BR45" s="45"/>
      <c r="BS45" s="45"/>
      <c r="BT45" s="45"/>
      <c r="BU45" s="45"/>
      <c r="BV45" s="45"/>
      <c r="BW45" s="46" t="s">
        <v>158</v>
      </c>
      <c r="CD45" s="44"/>
      <c r="CE45" s="45"/>
      <c r="CF45" s="45"/>
      <c r="CG45" s="64" t="s">
        <v>131</v>
      </c>
      <c r="CS45" s="30">
        <f>IF(AND(CK25=1,CO25=1),1,IF(AND(CK25&gt;1,CO25=1),2,IF(AND(CK25&gt;1,CO25&gt;1,CW25=FALSE),3,IF(AND(CK25&gt;1,CO25&gt;1,CW25=TRUE),4))))</f>
        <v>2</v>
      </c>
      <c r="CT45" s="56" t="str">
        <f>HLOOKUP(CS45,$CS$30:$DA$37,8,TRUE)</f>
        <v>2-DB12</v>
      </c>
      <c r="DP45" s="48">
        <v>12</v>
      </c>
      <c r="DQ45" s="124">
        <f>IF($DO$13&lt;=12,$EC$25,IF($DO$13&gt;12,EC20))</f>
        <v>0.09333333333333334</v>
      </c>
      <c r="DR45" s="124">
        <f t="shared" si="14"/>
        <v>-0.2933333333333334</v>
      </c>
      <c r="DS45" s="124" t="e">
        <f>IF($DO$12&lt;=12,$ED$25,IF($DO$12&gt;12,ED20))</f>
        <v>#N/A</v>
      </c>
      <c r="DT45" s="124">
        <f t="shared" si="15"/>
        <v>-0.2933333333333334</v>
      </c>
      <c r="DU45" s="124" t="e">
        <f>IF($DO$11&lt;=12,$EE$25,IF($DO$11&gt;12,EE20))</f>
        <v>#N/A</v>
      </c>
      <c r="DV45" s="110">
        <f t="shared" si="16"/>
        <v>-0.2933333333333334</v>
      </c>
      <c r="DX45" s="48">
        <v>9</v>
      </c>
      <c r="DY45" s="124">
        <f>IF($DO$8&lt;=9,$DZ$25,IF($DO$8&gt;9,DZ17))</f>
        <v>0.09333333333333334</v>
      </c>
      <c r="DZ45" s="124">
        <f t="shared" si="21"/>
        <v>0.2933333333333334</v>
      </c>
      <c r="EA45" s="124" t="e">
        <f>IF($DO$9&lt;=9,$EA$25,IF($DO$9&gt;9,EA17))</f>
        <v>#N/A</v>
      </c>
      <c r="EB45" s="124">
        <f t="shared" si="22"/>
        <v>0.2933333333333334</v>
      </c>
      <c r="EC45" s="124" t="e">
        <f>IF($DO$10&lt;=9,$EB$25,IF($DO$10&gt;9,EB17))</f>
        <v>#N/A</v>
      </c>
      <c r="ED45" s="110">
        <f t="shared" si="23"/>
        <v>0.2933333333333334</v>
      </c>
      <c r="EE45" s="37"/>
      <c r="EF45" s="56"/>
      <c r="EG45" s="112">
        <v>1</v>
      </c>
      <c r="EH45" s="112">
        <v>2</v>
      </c>
      <c r="EI45" s="112">
        <v>3</v>
      </c>
      <c r="EJ45" s="112">
        <v>4</v>
      </c>
      <c r="EK45" s="112">
        <v>5</v>
      </c>
      <c r="EL45" s="112">
        <v>6</v>
      </c>
      <c r="EM45" s="112">
        <v>7</v>
      </c>
      <c r="EN45" s="112">
        <v>8</v>
      </c>
      <c r="EO45" s="112">
        <v>9</v>
      </c>
      <c r="EP45" s="112">
        <v>10</v>
      </c>
      <c r="EQ45" s="112">
        <v>11</v>
      </c>
      <c r="ER45" s="112">
        <v>12</v>
      </c>
      <c r="ES45" s="112">
        <v>13</v>
      </c>
      <c r="ET45" s="112">
        <v>14</v>
      </c>
      <c r="EU45" s="112">
        <v>15</v>
      </c>
      <c r="EV45" s="127">
        <v>16</v>
      </c>
      <c r="EX45" s="56"/>
      <c r="EY45" s="112">
        <v>1</v>
      </c>
      <c r="EZ45" s="112">
        <v>2</v>
      </c>
      <c r="FA45" s="112">
        <v>3</v>
      </c>
      <c r="FB45" s="112">
        <v>4</v>
      </c>
      <c r="FC45" s="112">
        <v>5</v>
      </c>
      <c r="FD45" s="112">
        <v>6</v>
      </c>
      <c r="FE45" s="112">
        <v>7</v>
      </c>
      <c r="FF45" s="112">
        <v>8</v>
      </c>
      <c r="FG45" s="112">
        <v>9</v>
      </c>
      <c r="FH45" s="112">
        <v>10</v>
      </c>
      <c r="FI45" s="112">
        <v>11</v>
      </c>
      <c r="FJ45" s="112">
        <v>12</v>
      </c>
      <c r="FK45" s="112">
        <v>13</v>
      </c>
      <c r="FL45" s="112">
        <v>14</v>
      </c>
      <c r="FM45" s="112">
        <v>15</v>
      </c>
      <c r="FN45" s="127">
        <v>16</v>
      </c>
    </row>
    <row r="46" spans="3:170" s="30" customFormat="1" ht="15.75" customHeight="1">
      <c r="C46" s="200" t="s">
        <v>205</v>
      </c>
      <c r="D46" s="200"/>
      <c r="E46" s="201"/>
      <c r="F46" s="226" t="s">
        <v>108</v>
      </c>
      <c r="G46" s="200"/>
      <c r="H46" s="201"/>
      <c r="I46" s="226" t="s">
        <v>198</v>
      </c>
      <c r="J46" s="200"/>
      <c r="K46" s="201"/>
      <c r="L46" s="226" t="s">
        <v>199</v>
      </c>
      <c r="M46" s="200"/>
      <c r="N46" s="201"/>
      <c r="O46" s="226" t="s">
        <v>200</v>
      </c>
      <c r="P46" s="200"/>
      <c r="Q46" s="201"/>
      <c r="R46" s="226" t="s">
        <v>201</v>
      </c>
      <c r="S46" s="200"/>
      <c r="T46" s="201"/>
      <c r="U46" s="226" t="s">
        <v>202</v>
      </c>
      <c r="V46" s="200"/>
      <c r="W46" s="201"/>
      <c r="X46" s="200" t="s">
        <v>109</v>
      </c>
      <c r="Y46" s="200"/>
      <c r="Z46" s="200"/>
      <c r="AA46" s="200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BQ46" s="48"/>
      <c r="BR46" s="37"/>
      <c r="BS46" s="37"/>
      <c r="BT46" s="37"/>
      <c r="BU46" s="37"/>
      <c r="BV46" s="37"/>
      <c r="BW46" s="52">
        <f>VLOOKUP(K19,BZ40:CD43,5,FALSE)</f>
        <v>2</v>
      </c>
      <c r="CD46" s="48"/>
      <c r="CE46" s="37" t="s">
        <v>132</v>
      </c>
      <c r="CF46" s="37" t="s">
        <v>3</v>
      </c>
      <c r="CG46" s="50">
        <f>Mc</f>
        <v>928.3124471314733</v>
      </c>
      <c r="CI46" s="32"/>
      <c r="CJ46" s="34"/>
      <c r="DP46" s="48"/>
      <c r="DQ46" s="124"/>
      <c r="DR46" s="124"/>
      <c r="DS46" s="124"/>
      <c r="DT46" s="124"/>
      <c r="DU46" s="124"/>
      <c r="DV46" s="110"/>
      <c r="DX46" s="48"/>
      <c r="DY46" s="124"/>
      <c r="DZ46" s="124"/>
      <c r="EA46" s="124"/>
      <c r="EB46" s="124"/>
      <c r="EC46" s="124"/>
      <c r="ED46" s="110"/>
      <c r="EE46" s="37"/>
      <c r="EF46" s="120">
        <v>1</v>
      </c>
      <c r="EG46" s="124">
        <f>$DP$11-$DP$11</f>
        <v>0</v>
      </c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52"/>
      <c r="EX46" s="120">
        <v>1</v>
      </c>
      <c r="EY46" s="124">
        <f>$DP$10-$DP$10</f>
        <v>0</v>
      </c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52"/>
    </row>
    <row r="47" spans="3:170" s="30" customFormat="1" ht="15.75" customHeight="1">
      <c r="C47" s="227" t="str">
        <f>IF(Y41="","-",IF(Y41&lt;&gt;"",Vd))</f>
        <v>-</v>
      </c>
      <c r="D47" s="227"/>
      <c r="E47" s="228"/>
      <c r="F47" s="218" t="str">
        <f>IF(Y41="","-",IF(Y41&lt;&gt;"",Vc))</f>
        <v>-</v>
      </c>
      <c r="G47" s="219"/>
      <c r="H47" s="220"/>
      <c r="I47" s="218" t="str">
        <f>IF(Torsion="","-",IF(Torsion&lt;&gt;"",(Vt*B_1*d_1)))</f>
        <v>-</v>
      </c>
      <c r="J47" s="219"/>
      <c r="K47" s="220"/>
      <c r="L47" s="218" t="str">
        <f>IF(Y41="","-",IF(Y41&lt;&gt;"",CU64))</f>
        <v>-</v>
      </c>
      <c r="M47" s="219"/>
      <c r="N47" s="220"/>
      <c r="O47" s="223" t="str">
        <f>IF(Y41="","-",IF(AND(Y41&lt;&gt;"",CU72&lt;=0),"-",IF(AND(Y41&lt;&gt;"",CU72&gt;0),CU72)))</f>
        <v>-</v>
      </c>
      <c r="P47" s="224"/>
      <c r="Q47" s="225"/>
      <c r="R47" s="223" t="str">
        <f>IF(Torsion="","-",IF(Torsion&lt;&gt;"",At))</f>
        <v>-</v>
      </c>
      <c r="S47" s="224"/>
      <c r="T47" s="225"/>
      <c r="U47" s="223" t="str">
        <f>IF(Torsion="","-",IF(Torsion&lt;&gt;"",DD68))</f>
        <v>-</v>
      </c>
      <c r="V47" s="224"/>
      <c r="W47" s="225"/>
      <c r="X47" s="221" t="str">
        <f>IF(Y41="","-",IF(Y41&lt;&gt;"",CX63))</f>
        <v>-</v>
      </c>
      <c r="Y47" s="222"/>
      <c r="Z47" s="222"/>
      <c r="AA47" s="222"/>
      <c r="AC47" s="23"/>
      <c r="AD47" s="23"/>
      <c r="AE47" s="23"/>
      <c r="AF47" s="23"/>
      <c r="AG47" s="23"/>
      <c r="AH47" s="25"/>
      <c r="AI47" s="23"/>
      <c r="AJ47" s="23"/>
      <c r="AK47" s="23"/>
      <c r="AL47" s="23"/>
      <c r="AM47" s="23"/>
      <c r="AN47" s="23"/>
      <c r="AO47" s="23"/>
      <c r="AP47" s="23"/>
      <c r="BQ47" s="48" t="s">
        <v>159</v>
      </c>
      <c r="BR47" s="37"/>
      <c r="BS47" s="37"/>
      <c r="BT47" s="37"/>
      <c r="BU47" s="37"/>
      <c r="BV47" s="37"/>
      <c r="BW47" s="65">
        <f>IF(BW46=1,0.8,IF(BW46=2,0.4))</f>
        <v>0.4</v>
      </c>
      <c r="CD47" s="48"/>
      <c r="CE47" s="37" t="s">
        <v>133</v>
      </c>
      <c r="CF47" s="37" t="s">
        <v>3</v>
      </c>
      <c r="CG47" s="60">
        <f>(M_1*100)/(fs*j*d_1)</f>
        <v>2.6216961291448033</v>
      </c>
      <c r="CI47" s="32"/>
      <c r="CM47" s="32"/>
      <c r="CN47" s="66" t="s">
        <v>96</v>
      </c>
      <c r="DP47" s="48">
        <v>13</v>
      </c>
      <c r="DQ47" s="124">
        <f>IF($DO$13&lt;=13,$EC$25,IF($DO$13&gt;13,EC21))</f>
        <v>0.09333333333333334</v>
      </c>
      <c r="DR47" s="124">
        <f t="shared" si="14"/>
        <v>-0.2933333333333334</v>
      </c>
      <c r="DS47" s="124" t="e">
        <f>IF($DO$12&lt;=13,$ED$25,IF($DO$12&gt;13,ED21))</f>
        <v>#N/A</v>
      </c>
      <c r="DT47" s="124">
        <f t="shared" si="15"/>
        <v>-0.2933333333333334</v>
      </c>
      <c r="DU47" s="124" t="e">
        <f>IF($DO$11&lt;=13,$EE$25,IF($DO$11&gt;13,EE21))</f>
        <v>#N/A</v>
      </c>
      <c r="DV47" s="110">
        <f t="shared" si="16"/>
        <v>-0.2933333333333334</v>
      </c>
      <c r="DX47" s="48">
        <v>10</v>
      </c>
      <c r="DY47" s="124">
        <f>IF($DO$8&lt;=10,$DZ$25,IF($DO$8&gt;10,DZ18))</f>
        <v>0.09333333333333334</v>
      </c>
      <c r="DZ47" s="124">
        <f t="shared" si="21"/>
        <v>0.2933333333333334</v>
      </c>
      <c r="EA47" s="124" t="e">
        <f>IF($DO$9&lt;=10,$EA$25,IF($DO$9&gt;10,EA18))</f>
        <v>#N/A</v>
      </c>
      <c r="EB47" s="124">
        <f t="shared" si="22"/>
        <v>0.2933333333333334</v>
      </c>
      <c r="EC47" s="124" t="e">
        <f>IF($DO$10&lt;=10,$EB$25,IF($DO$10&gt;10,EB18))</f>
        <v>#N/A</v>
      </c>
      <c r="ED47" s="110">
        <f t="shared" si="23"/>
        <v>0.2933333333333334</v>
      </c>
      <c r="EE47" s="37"/>
      <c r="EF47" s="120">
        <v>2</v>
      </c>
      <c r="EG47" s="89"/>
      <c r="EH47" s="124">
        <f>DU53</f>
        <v>0.09333333333333334</v>
      </c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49"/>
      <c r="EX47" s="120">
        <v>2</v>
      </c>
      <c r="EY47" s="89"/>
      <c r="EZ47" s="124">
        <f>EC59</f>
        <v>0.09333333333333334</v>
      </c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49"/>
    </row>
    <row r="48" spans="1:170" s="30" customFormat="1" ht="15.75" customHeight="1">
      <c r="A48" s="68"/>
      <c r="B48" s="68"/>
      <c r="AB48" s="1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BQ48" s="48" t="s">
        <v>160</v>
      </c>
      <c r="BR48" s="37"/>
      <c r="BS48" s="37"/>
      <c r="BT48" s="37"/>
      <c r="BU48" s="37"/>
      <c r="BV48" s="37"/>
      <c r="BW48" s="60">
        <f>D/L</f>
        <v>0.25</v>
      </c>
      <c r="CD48" s="48"/>
      <c r="CE48" s="37" t="s">
        <v>134</v>
      </c>
      <c r="CF48" s="37" t="s">
        <v>3</v>
      </c>
      <c r="CG48" s="50">
        <f>(Mmax-Mc)</f>
        <v>-928.3124471314733</v>
      </c>
      <c r="CI48" s="32"/>
      <c r="CJ48" s="34"/>
      <c r="CM48" s="38"/>
      <c r="CN48" s="44"/>
      <c r="CO48" s="45"/>
      <c r="CP48" s="45"/>
      <c r="CQ48" s="45"/>
      <c r="CR48" s="45"/>
      <c r="CS48" s="45"/>
      <c r="CT48" s="45">
        <v>27</v>
      </c>
      <c r="CU48" s="45">
        <f>IF(AND(Y41&gt;=0,Y42&lt;=0),1,IF(AND(Y41&gt;0,Y42&gt;0),2))</f>
        <v>1</v>
      </c>
      <c r="CV48" s="45"/>
      <c r="CW48" s="45"/>
      <c r="CX48" s="45"/>
      <c r="CY48" s="45"/>
      <c r="CZ48" s="46"/>
      <c r="DP48" s="48"/>
      <c r="DQ48" s="124"/>
      <c r="DR48" s="124"/>
      <c r="DS48" s="124"/>
      <c r="DT48" s="124"/>
      <c r="DU48" s="124"/>
      <c r="DV48" s="110"/>
      <c r="DX48" s="48"/>
      <c r="DY48" s="124"/>
      <c r="DZ48" s="124"/>
      <c r="EA48" s="124"/>
      <c r="EB48" s="124"/>
      <c r="EC48" s="124"/>
      <c r="ED48" s="110"/>
      <c r="EE48" s="37"/>
      <c r="EF48" s="120">
        <v>3</v>
      </c>
      <c r="EG48" s="89"/>
      <c r="EH48" s="61"/>
      <c r="EI48" s="124">
        <f>$DR$11</f>
        <v>0.09333333333333334</v>
      </c>
      <c r="EJ48" s="124">
        <f>-$DR$11</f>
        <v>-0.09333333333333334</v>
      </c>
      <c r="EK48" s="124">
        <f aca="true" t="shared" si="28" ref="EK48:EV48">-$DR$11</f>
        <v>-0.09333333333333334</v>
      </c>
      <c r="EL48" s="124">
        <f t="shared" si="28"/>
        <v>-0.09333333333333334</v>
      </c>
      <c r="EM48" s="124">
        <f t="shared" si="28"/>
        <v>-0.09333333333333334</v>
      </c>
      <c r="EN48" s="124">
        <f t="shared" si="28"/>
        <v>-0.09333333333333334</v>
      </c>
      <c r="EO48" s="124">
        <f t="shared" si="28"/>
        <v>-0.09333333333333334</v>
      </c>
      <c r="EP48" s="124">
        <f t="shared" si="28"/>
        <v>-0.09333333333333334</v>
      </c>
      <c r="EQ48" s="124">
        <f t="shared" si="28"/>
        <v>-0.09333333333333334</v>
      </c>
      <c r="ER48" s="124">
        <f t="shared" si="28"/>
        <v>-0.09333333333333334</v>
      </c>
      <c r="ES48" s="124">
        <f t="shared" si="28"/>
        <v>-0.09333333333333334</v>
      </c>
      <c r="ET48" s="124">
        <f t="shared" si="28"/>
        <v>-0.09333333333333334</v>
      </c>
      <c r="EU48" s="124">
        <f t="shared" si="28"/>
        <v>-0.09333333333333334</v>
      </c>
      <c r="EV48" s="110">
        <f t="shared" si="28"/>
        <v>-0.09333333333333334</v>
      </c>
      <c r="EX48" s="120">
        <v>3</v>
      </c>
      <c r="EY48" s="89"/>
      <c r="EZ48" s="61"/>
      <c r="FA48" s="124">
        <f>$DR$10</f>
        <v>0.09333333333333334</v>
      </c>
      <c r="FB48" s="124">
        <f>-$DR$10</f>
        <v>-0.09333333333333334</v>
      </c>
      <c r="FC48" s="124">
        <f aca="true" t="shared" si="29" ref="FC48:FN48">-$DR$10</f>
        <v>-0.09333333333333334</v>
      </c>
      <c r="FD48" s="124">
        <f t="shared" si="29"/>
        <v>-0.09333333333333334</v>
      </c>
      <c r="FE48" s="124">
        <f t="shared" si="29"/>
        <v>-0.09333333333333334</v>
      </c>
      <c r="FF48" s="124">
        <f t="shared" si="29"/>
        <v>-0.09333333333333334</v>
      </c>
      <c r="FG48" s="124">
        <f t="shared" si="29"/>
        <v>-0.09333333333333334</v>
      </c>
      <c r="FH48" s="124">
        <f t="shared" si="29"/>
        <v>-0.09333333333333334</v>
      </c>
      <c r="FI48" s="124">
        <f t="shared" si="29"/>
        <v>-0.09333333333333334</v>
      </c>
      <c r="FJ48" s="124">
        <f t="shared" si="29"/>
        <v>-0.09333333333333334</v>
      </c>
      <c r="FK48" s="124">
        <f t="shared" si="29"/>
        <v>-0.09333333333333334</v>
      </c>
      <c r="FL48" s="124">
        <f t="shared" si="29"/>
        <v>-0.09333333333333334</v>
      </c>
      <c r="FM48" s="124">
        <f t="shared" si="29"/>
        <v>-0.09333333333333334</v>
      </c>
      <c r="FN48" s="110">
        <f t="shared" si="29"/>
        <v>-0.09333333333333334</v>
      </c>
    </row>
    <row r="49" spans="1:170" s="30" customFormat="1" ht="15.75" customHeight="1">
      <c r="A49" s="68"/>
      <c r="B49" s="1"/>
      <c r="C49" s="1"/>
      <c r="D49" s="1"/>
      <c r="E49" s="1"/>
      <c r="F49" s="1"/>
      <c r="G49" s="1"/>
      <c r="H49" s="1"/>
      <c r="I49" s="1"/>
      <c r="J49" s="1"/>
      <c r="K49" s="1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P49" s="52"/>
      <c r="BQ49" s="53" t="s">
        <v>161</v>
      </c>
      <c r="BR49" s="54"/>
      <c r="BS49" s="54"/>
      <c r="BT49" s="54"/>
      <c r="BU49" s="54"/>
      <c r="BV49" s="54"/>
      <c r="BW49" s="55">
        <f>IF(BW48&lt;=BW47,1,IF(BW48&gt;BW47,2))</f>
        <v>1</v>
      </c>
      <c r="CD49" s="48"/>
      <c r="CE49" s="37" t="s">
        <v>135</v>
      </c>
      <c r="CF49" s="37" t="s">
        <v>3</v>
      </c>
      <c r="CG49" s="60">
        <f>(M_2*100)/(fs*(d_1-CG9))</f>
        <v>-2.7383847997978563</v>
      </c>
      <c r="CI49" s="32"/>
      <c r="CJ49" s="32"/>
      <c r="CM49" s="32"/>
      <c r="CN49" s="67"/>
      <c r="CO49" s="37"/>
      <c r="CP49" s="37"/>
      <c r="CQ49" s="37"/>
      <c r="CR49" s="37"/>
      <c r="CS49" s="37" t="s">
        <v>166</v>
      </c>
      <c r="CT49" s="61" t="s">
        <v>3</v>
      </c>
      <c r="CU49" s="37">
        <f>Y41</f>
        <v>0</v>
      </c>
      <c r="CV49" s="37"/>
      <c r="CW49" s="37"/>
      <c r="CX49" s="37"/>
      <c r="CY49" s="37"/>
      <c r="CZ49" s="52"/>
      <c r="DP49" s="48">
        <v>14</v>
      </c>
      <c r="DQ49" s="124">
        <f>IF($DO$13&lt;=14,$EC$25,IF($DO$13&gt;14,EC22))</f>
        <v>0.09333333333333334</v>
      </c>
      <c r="DR49" s="124">
        <f t="shared" si="14"/>
        <v>-0.2933333333333334</v>
      </c>
      <c r="DS49" s="124" t="e">
        <f>IF($DO$12&lt;=14,$ED$25,IF($DO$12&gt;14,ED22))</f>
        <v>#N/A</v>
      </c>
      <c r="DT49" s="124">
        <f t="shared" si="15"/>
        <v>-0.2933333333333334</v>
      </c>
      <c r="DU49" s="124" t="e">
        <f>IF($DO$11&lt;=14,$EE$25,IF($DO$11&gt;14,EE22))</f>
        <v>#N/A</v>
      </c>
      <c r="DV49" s="110">
        <f t="shared" si="16"/>
        <v>-0.2933333333333334</v>
      </c>
      <c r="DX49" s="48">
        <v>11</v>
      </c>
      <c r="DY49" s="124">
        <f>IF($DO$8&lt;=11,$DZ$25,IF($DO$8&gt;11,DZ19))</f>
        <v>0.09333333333333334</v>
      </c>
      <c r="DZ49" s="124">
        <f t="shared" si="21"/>
        <v>0.2933333333333334</v>
      </c>
      <c r="EA49" s="124" t="e">
        <f>IF($DO$9&lt;=11,$EA$25,IF($DO$9&gt;11,EA19))</f>
        <v>#N/A</v>
      </c>
      <c r="EB49" s="124">
        <f t="shared" si="22"/>
        <v>0.2933333333333334</v>
      </c>
      <c r="EC49" s="124" t="e">
        <f>IF($DO$10&lt;=11,$EB$25,IF($DO$10&gt;11,EB19))</f>
        <v>#N/A</v>
      </c>
      <c r="ED49" s="110">
        <f t="shared" si="23"/>
        <v>0.2933333333333334</v>
      </c>
      <c r="EE49" s="37"/>
      <c r="EF49" s="120">
        <v>4</v>
      </c>
      <c r="EG49" s="89"/>
      <c r="EH49" s="61"/>
      <c r="EI49" s="61"/>
      <c r="EJ49" s="124">
        <f>$DR$11</f>
        <v>0.09333333333333334</v>
      </c>
      <c r="EK49" s="124">
        <f>$DP$11-$DP$11</f>
        <v>0</v>
      </c>
      <c r="EL49" s="124">
        <f>-$DR$11+$DQ$11</f>
        <v>-0.09333333333333334</v>
      </c>
      <c r="EM49" s="124">
        <f aca="true" t="shared" si="30" ref="EM49:EV49">-$DR$11+$DQ$11</f>
        <v>-0.09333333333333334</v>
      </c>
      <c r="EN49" s="124">
        <f t="shared" si="30"/>
        <v>-0.09333333333333334</v>
      </c>
      <c r="EO49" s="124">
        <f t="shared" si="30"/>
        <v>-0.09333333333333334</v>
      </c>
      <c r="EP49" s="124">
        <f t="shared" si="30"/>
        <v>-0.09333333333333334</v>
      </c>
      <c r="EQ49" s="124">
        <f t="shared" si="30"/>
        <v>-0.09333333333333334</v>
      </c>
      <c r="ER49" s="124">
        <f t="shared" si="30"/>
        <v>-0.09333333333333334</v>
      </c>
      <c r="ES49" s="124">
        <f t="shared" si="30"/>
        <v>-0.09333333333333334</v>
      </c>
      <c r="ET49" s="124">
        <f t="shared" si="30"/>
        <v>-0.09333333333333334</v>
      </c>
      <c r="EU49" s="124">
        <f t="shared" si="30"/>
        <v>-0.09333333333333334</v>
      </c>
      <c r="EV49" s="110">
        <f t="shared" si="30"/>
        <v>-0.09333333333333334</v>
      </c>
      <c r="EX49" s="120">
        <v>4</v>
      </c>
      <c r="EY49" s="89"/>
      <c r="EZ49" s="61"/>
      <c r="FA49" s="61"/>
      <c r="FB49" s="124">
        <f>$DR$10</f>
        <v>0.09333333333333334</v>
      </c>
      <c r="FC49" s="124">
        <f>$DP$10-$DP$10</f>
        <v>0</v>
      </c>
      <c r="FD49" s="124">
        <f>-$DR$10+$DQ$10</f>
        <v>-0.09333333333333334</v>
      </c>
      <c r="FE49" s="124">
        <f aca="true" t="shared" si="31" ref="FE49:FN49">-$DR$10+$DQ$10</f>
        <v>-0.09333333333333334</v>
      </c>
      <c r="FF49" s="124">
        <f t="shared" si="31"/>
        <v>-0.09333333333333334</v>
      </c>
      <c r="FG49" s="124">
        <f t="shared" si="31"/>
        <v>-0.09333333333333334</v>
      </c>
      <c r="FH49" s="124">
        <f t="shared" si="31"/>
        <v>-0.09333333333333334</v>
      </c>
      <c r="FI49" s="124">
        <f t="shared" si="31"/>
        <v>-0.09333333333333334</v>
      </c>
      <c r="FJ49" s="124">
        <f t="shared" si="31"/>
        <v>-0.09333333333333334</v>
      </c>
      <c r="FK49" s="124">
        <f t="shared" si="31"/>
        <v>-0.09333333333333334</v>
      </c>
      <c r="FL49" s="124">
        <f t="shared" si="31"/>
        <v>-0.09333333333333334</v>
      </c>
      <c r="FM49" s="124">
        <f t="shared" si="31"/>
        <v>-0.09333333333333334</v>
      </c>
      <c r="FN49" s="110">
        <f t="shared" si="31"/>
        <v>-0.09333333333333334</v>
      </c>
    </row>
    <row r="50" spans="1:170" s="30" customFormat="1" ht="15.75" customHeight="1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8"/>
      <c r="M50" s="1"/>
      <c r="N50" s="68"/>
      <c r="O50" s="1"/>
      <c r="P50" s="1"/>
      <c r="Q50" s="68"/>
      <c r="R50" s="1"/>
      <c r="S50" s="1"/>
      <c r="T50" s="1"/>
      <c r="U50" s="1"/>
      <c r="V50" s="26"/>
      <c r="W50" s="26"/>
      <c r="X50" s="26"/>
      <c r="Y50" s="26"/>
      <c r="Z50" s="26"/>
      <c r="AA50" s="26"/>
      <c r="AB50" s="1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CD50" s="48"/>
      <c r="CE50" s="37" t="s">
        <v>125</v>
      </c>
      <c r="CF50" s="37" t="s">
        <v>3</v>
      </c>
      <c r="CG50" s="60">
        <f>CG47+CG49</f>
        <v>-0.116688670653053</v>
      </c>
      <c r="CH50" s="30" t="s">
        <v>128</v>
      </c>
      <c r="CI50" s="32" t="s">
        <v>3</v>
      </c>
      <c r="CJ50" s="34">
        <f>IF(AND(CJ$43=1,CN$41=1),CZ23,IF(AND(CJ$43=1,CN$41=2),CZ17))</f>
        <v>2.26</v>
      </c>
      <c r="CM50" s="32"/>
      <c r="CN50" s="67"/>
      <c r="CO50" s="37"/>
      <c r="CP50" s="37"/>
      <c r="CQ50" s="37"/>
      <c r="CR50" s="37"/>
      <c r="CS50" s="69" t="s">
        <v>96</v>
      </c>
      <c r="CT50" s="37"/>
      <c r="CU50" s="37"/>
      <c r="CV50" s="37"/>
      <c r="CW50" s="37"/>
      <c r="CX50" s="37"/>
      <c r="CY50" s="37"/>
      <c r="CZ50" s="52"/>
      <c r="DP50" s="48"/>
      <c r="DQ50" s="124"/>
      <c r="DR50" s="124"/>
      <c r="DS50" s="124"/>
      <c r="DT50" s="124"/>
      <c r="DU50" s="124"/>
      <c r="DV50" s="110"/>
      <c r="DX50" s="48"/>
      <c r="DY50" s="124"/>
      <c r="DZ50" s="124"/>
      <c r="EA50" s="124"/>
      <c r="EB50" s="124"/>
      <c r="EC50" s="124"/>
      <c r="ED50" s="110"/>
      <c r="EE50" s="37"/>
      <c r="EF50" s="120">
        <v>5</v>
      </c>
      <c r="EG50" s="89"/>
      <c r="EH50" s="61"/>
      <c r="EI50" s="61"/>
      <c r="EJ50" s="61"/>
      <c r="EK50" s="124">
        <f>$DR$11</f>
        <v>0.09333333333333334</v>
      </c>
      <c r="EL50" s="124">
        <f>$DR$11-$DQ$11</f>
        <v>0.09333333333333334</v>
      </c>
      <c r="EM50" s="124">
        <f>$DP$11-$DP$11</f>
        <v>0</v>
      </c>
      <c r="EN50" s="124">
        <f>-$DR$11+($DQ$11*2)</f>
        <v>-0.09333333333333334</v>
      </c>
      <c r="EO50" s="124">
        <f aca="true" t="shared" si="32" ref="EO50:EV50">-$DR$11+($DQ$11*2)</f>
        <v>-0.09333333333333334</v>
      </c>
      <c r="EP50" s="124">
        <f t="shared" si="32"/>
        <v>-0.09333333333333334</v>
      </c>
      <c r="EQ50" s="124">
        <f t="shared" si="32"/>
        <v>-0.09333333333333334</v>
      </c>
      <c r="ER50" s="124">
        <f t="shared" si="32"/>
        <v>-0.09333333333333334</v>
      </c>
      <c r="ES50" s="124">
        <f t="shared" si="32"/>
        <v>-0.09333333333333334</v>
      </c>
      <c r="ET50" s="124">
        <f t="shared" si="32"/>
        <v>-0.09333333333333334</v>
      </c>
      <c r="EU50" s="124">
        <f t="shared" si="32"/>
        <v>-0.09333333333333334</v>
      </c>
      <c r="EV50" s="110">
        <f t="shared" si="32"/>
        <v>-0.09333333333333334</v>
      </c>
      <c r="EX50" s="120">
        <v>5</v>
      </c>
      <c r="EY50" s="89"/>
      <c r="EZ50" s="61"/>
      <c r="FA50" s="61"/>
      <c r="FB50" s="61"/>
      <c r="FC50" s="124">
        <f>$DR$10</f>
        <v>0.09333333333333334</v>
      </c>
      <c r="FD50" s="124">
        <f>$DR$10-$DQ$10</f>
        <v>0.09333333333333334</v>
      </c>
      <c r="FE50" s="124">
        <f>$DP$10-$DP$10</f>
        <v>0</v>
      </c>
      <c r="FF50" s="124">
        <f>-$DR$10+($DQ$10*2)</f>
        <v>-0.09333333333333334</v>
      </c>
      <c r="FG50" s="124">
        <f aca="true" t="shared" si="33" ref="FG50:FN50">-$DR$10+($DQ$10*2)</f>
        <v>-0.09333333333333334</v>
      </c>
      <c r="FH50" s="124">
        <f t="shared" si="33"/>
        <v>-0.09333333333333334</v>
      </c>
      <c r="FI50" s="124">
        <f t="shared" si="33"/>
        <v>-0.09333333333333334</v>
      </c>
      <c r="FJ50" s="124">
        <f t="shared" si="33"/>
        <v>-0.09333333333333334</v>
      </c>
      <c r="FK50" s="124">
        <f t="shared" si="33"/>
        <v>-0.09333333333333334</v>
      </c>
      <c r="FL50" s="124">
        <f t="shared" si="33"/>
        <v>-0.09333333333333334</v>
      </c>
      <c r="FM50" s="124">
        <f t="shared" si="33"/>
        <v>-0.09333333333333334</v>
      </c>
      <c r="FN50" s="110">
        <f t="shared" si="33"/>
        <v>-0.09333333333333334</v>
      </c>
    </row>
    <row r="51" spans="15:170" ht="15.75" customHeight="1">
      <c r="O51" s="32"/>
      <c r="U51" s="3" t="s">
        <v>203</v>
      </c>
      <c r="V51" s="186" t="str">
        <f>Cover!D10</f>
        <v>สมมุติ</v>
      </c>
      <c r="W51" s="186"/>
      <c r="X51" s="186"/>
      <c r="Y51" s="186"/>
      <c r="Z51" s="186"/>
      <c r="AA51" s="186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CD51" s="48"/>
      <c r="CE51" s="37" t="s">
        <v>137</v>
      </c>
      <c r="CF51" s="37" t="s">
        <v>3</v>
      </c>
      <c r="CG51" s="60">
        <f>0.5*As_2*((1-k)/(k-(CG9/d_1)))</f>
        <v>-5.691882101384725</v>
      </c>
      <c r="CH51" s="30"/>
      <c r="CI51" s="32"/>
      <c r="CJ51" s="30"/>
      <c r="CK51" s="30"/>
      <c r="CM51" s="28"/>
      <c r="CN51" s="70"/>
      <c r="CO51" s="68"/>
      <c r="CP51" s="68"/>
      <c r="CQ51" s="68"/>
      <c r="CR51" s="68"/>
      <c r="CS51" s="68" t="s">
        <v>163</v>
      </c>
      <c r="CT51" s="71" t="s">
        <v>3</v>
      </c>
      <c r="CU51" s="68">
        <f>IF(AC43&gt;0,Vd,IF(AC43=0,Y41))</f>
        <v>0</v>
      </c>
      <c r="CV51" s="68"/>
      <c r="CW51" s="68" t="s">
        <v>107</v>
      </c>
      <c r="CX51" s="71" t="s">
        <v>3</v>
      </c>
      <c r="CY51" s="68">
        <f>CW40*2*Y44</f>
        <v>0.56</v>
      </c>
      <c r="CZ51" s="72"/>
      <c r="DP51" s="80">
        <v>15</v>
      </c>
      <c r="DQ51" s="124">
        <f>IF($DO$13&lt;=15,$EC$25,IF($DO$13&gt;15,EC23))</f>
        <v>0.09333333333333334</v>
      </c>
      <c r="DR51" s="124">
        <f t="shared" si="14"/>
        <v>-0.2933333333333334</v>
      </c>
      <c r="DS51" s="124" t="e">
        <f>IF($DO$12&lt;=15,$ED$25,IF($DO$12&gt;15,ED23))</f>
        <v>#N/A</v>
      </c>
      <c r="DT51" s="124">
        <f t="shared" si="15"/>
        <v>-0.2933333333333334</v>
      </c>
      <c r="DU51" s="124" t="e">
        <f>IF($DO$11&lt;=15,$EE$25,IF($DO$11&gt;15,EE23))</f>
        <v>#N/A</v>
      </c>
      <c r="DV51" s="110">
        <f t="shared" si="16"/>
        <v>-0.2933333333333334</v>
      </c>
      <c r="DX51" s="48">
        <v>12</v>
      </c>
      <c r="DY51" s="124">
        <f>IF($DO$8&lt;=12,$DZ$25,IF($DO$8&gt;12,DZ20))</f>
        <v>0.09333333333333334</v>
      </c>
      <c r="DZ51" s="124">
        <f t="shared" si="21"/>
        <v>0.2933333333333334</v>
      </c>
      <c r="EA51" s="124" t="e">
        <f>IF($DO$9&lt;=12,$EA$25,IF($DO$9&gt;12,EA20))</f>
        <v>#N/A</v>
      </c>
      <c r="EB51" s="124">
        <f t="shared" si="22"/>
        <v>0.2933333333333334</v>
      </c>
      <c r="EC51" s="124" t="e">
        <f>IF($DO$10&lt;=12,$EB$25,IF($DO$10&gt;12,EB20))</f>
        <v>#N/A</v>
      </c>
      <c r="ED51" s="110">
        <f t="shared" si="23"/>
        <v>0.2933333333333334</v>
      </c>
      <c r="EE51" s="68"/>
      <c r="EF51" s="120">
        <v>6</v>
      </c>
      <c r="EG51" s="89"/>
      <c r="EH51" s="61"/>
      <c r="EI51" s="61"/>
      <c r="EJ51" s="61"/>
      <c r="EK51" s="61"/>
      <c r="EL51" s="124">
        <f>$DR$11</f>
        <v>0.09333333333333334</v>
      </c>
      <c r="EM51" s="124">
        <f>$DR$11-$DQ$11</f>
        <v>0.09333333333333334</v>
      </c>
      <c r="EN51" s="124">
        <f>$DR$11-($DQ$11*2)</f>
        <v>0.09333333333333334</v>
      </c>
      <c r="EO51" s="124">
        <f>$DP$11-$DP$11</f>
        <v>0</v>
      </c>
      <c r="EP51" s="124">
        <f>-$DR$11+($DQ$11*3)</f>
        <v>-0.09333333333333334</v>
      </c>
      <c r="EQ51" s="124">
        <f aca="true" t="shared" si="34" ref="EQ51:EV51">-$DR$11+($DQ$11*3)</f>
        <v>-0.09333333333333334</v>
      </c>
      <c r="ER51" s="124">
        <f t="shared" si="34"/>
        <v>-0.09333333333333334</v>
      </c>
      <c r="ES51" s="124">
        <f t="shared" si="34"/>
        <v>-0.09333333333333334</v>
      </c>
      <c r="ET51" s="124">
        <f t="shared" si="34"/>
        <v>-0.09333333333333334</v>
      </c>
      <c r="EU51" s="124">
        <f t="shared" si="34"/>
        <v>-0.09333333333333334</v>
      </c>
      <c r="EV51" s="110">
        <f t="shared" si="34"/>
        <v>-0.09333333333333334</v>
      </c>
      <c r="EX51" s="120">
        <v>6</v>
      </c>
      <c r="EY51" s="89"/>
      <c r="EZ51" s="61"/>
      <c r="FA51" s="61"/>
      <c r="FB51" s="61"/>
      <c r="FC51" s="61"/>
      <c r="FD51" s="124">
        <f>$DR$10</f>
        <v>0.09333333333333334</v>
      </c>
      <c r="FE51" s="124">
        <f>$DR$10-$DQ$10</f>
        <v>0.09333333333333334</v>
      </c>
      <c r="FF51" s="124">
        <f>$DR$10-($DQ$10*2)</f>
        <v>0.09333333333333334</v>
      </c>
      <c r="FG51" s="124">
        <f>$DP$10-$DP$10</f>
        <v>0</v>
      </c>
      <c r="FH51" s="124">
        <f>-$DR$10+($DQ$10*3)</f>
        <v>-0.09333333333333334</v>
      </c>
      <c r="FI51" s="124">
        <f aca="true" t="shared" si="35" ref="FI51:FN51">-$DR$10+($DQ$10*3)</f>
        <v>-0.09333333333333334</v>
      </c>
      <c r="FJ51" s="124">
        <f t="shared" si="35"/>
        <v>-0.09333333333333334</v>
      </c>
      <c r="FK51" s="124">
        <f t="shared" si="35"/>
        <v>-0.09333333333333334</v>
      </c>
      <c r="FL51" s="124">
        <f t="shared" si="35"/>
        <v>-0.09333333333333334</v>
      </c>
      <c r="FM51" s="124">
        <f t="shared" si="35"/>
        <v>-0.09333333333333334</v>
      </c>
      <c r="FN51" s="110">
        <f t="shared" si="35"/>
        <v>-0.09333333333333334</v>
      </c>
    </row>
    <row r="52" spans="21:170" ht="15.75" customHeight="1">
      <c r="U52" s="3" t="s">
        <v>204</v>
      </c>
      <c r="V52" s="189" t="str">
        <f>Cover!H10</f>
        <v>สย.0000</v>
      </c>
      <c r="W52" s="189"/>
      <c r="X52" s="189"/>
      <c r="Y52" s="189"/>
      <c r="Z52" s="189"/>
      <c r="AA52" s="189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CD52" s="48" t="s">
        <v>138</v>
      </c>
      <c r="CE52" s="37"/>
      <c r="CF52" s="37"/>
      <c r="CG52" s="60">
        <f>IF(As_2&gt;CG51,As_2,IF(As_2&lt;=CG51,CG51))</f>
        <v>-2.7383847997978563</v>
      </c>
      <c r="CH52" s="30" t="s">
        <v>141</v>
      </c>
      <c r="CI52" s="32" t="s">
        <v>3</v>
      </c>
      <c r="CJ52" s="32">
        <f>IF(AND(CJ$43=1,CN$41=1),CZ17,IF(AND(CJ$43=1,CN$41=2),CZ23))</f>
        <v>2.26</v>
      </c>
      <c r="CK52" s="30"/>
      <c r="CM52" s="28"/>
      <c r="CN52" s="70"/>
      <c r="CO52" s="68"/>
      <c r="CP52" s="68"/>
      <c r="CQ52" s="68"/>
      <c r="CR52" s="68"/>
      <c r="CS52" s="68" t="s">
        <v>165</v>
      </c>
      <c r="CT52" s="71" t="s">
        <v>3</v>
      </c>
      <c r="CU52" s="68">
        <f>Y42</f>
        <v>0</v>
      </c>
      <c r="CV52" s="68"/>
      <c r="CW52" s="68"/>
      <c r="CX52" s="71"/>
      <c r="CY52" s="68"/>
      <c r="CZ52" s="73"/>
      <c r="DP52" s="80"/>
      <c r="DQ52" s="71"/>
      <c r="DR52" s="71"/>
      <c r="DS52" s="71"/>
      <c r="DT52" s="124"/>
      <c r="DU52" s="71"/>
      <c r="DV52" s="110"/>
      <c r="DX52" s="48"/>
      <c r="DY52" s="124"/>
      <c r="DZ52" s="124"/>
      <c r="EA52" s="124"/>
      <c r="EB52" s="124"/>
      <c r="EC52" s="124"/>
      <c r="ED52" s="110"/>
      <c r="EE52" s="68"/>
      <c r="EF52" s="120">
        <v>7</v>
      </c>
      <c r="EG52" s="89"/>
      <c r="EH52" s="61"/>
      <c r="EI52" s="61"/>
      <c r="EJ52" s="61"/>
      <c r="EK52" s="61"/>
      <c r="EL52" s="37"/>
      <c r="EM52" s="124">
        <f>$DR$11</f>
        <v>0.09333333333333334</v>
      </c>
      <c r="EN52" s="124">
        <f>$DR$11-$DQ$11</f>
        <v>0.09333333333333334</v>
      </c>
      <c r="EO52" s="124">
        <f>$DR$11-($DQ$11*2)</f>
        <v>0.09333333333333334</v>
      </c>
      <c r="EP52" s="124">
        <f>$DR$11-($DQ$11*3)</f>
        <v>0.09333333333333334</v>
      </c>
      <c r="EQ52" s="124">
        <f>$DP$11-$DP$11</f>
        <v>0</v>
      </c>
      <c r="ER52" s="124">
        <f>-$DR$11+($DQ$11*4)</f>
        <v>-0.09333333333333334</v>
      </c>
      <c r="ES52" s="124">
        <f>-$DR$11+($DQ$11*4)</f>
        <v>-0.09333333333333334</v>
      </c>
      <c r="ET52" s="124">
        <f>-$DR$11+($DQ$11*4)</f>
        <v>-0.09333333333333334</v>
      </c>
      <c r="EU52" s="124">
        <f>-$DR$11+($DQ$11*4)</f>
        <v>-0.09333333333333334</v>
      </c>
      <c r="EV52" s="110">
        <f>-$DR$11+($DQ$11*4)</f>
        <v>-0.09333333333333334</v>
      </c>
      <c r="EX52" s="120">
        <v>7</v>
      </c>
      <c r="EY52" s="89"/>
      <c r="EZ52" s="61"/>
      <c r="FA52" s="61"/>
      <c r="FB52" s="61"/>
      <c r="FC52" s="61"/>
      <c r="FD52" s="37"/>
      <c r="FE52" s="124">
        <f>$DR$10</f>
        <v>0.09333333333333334</v>
      </c>
      <c r="FF52" s="124">
        <f>$DR$10-$DQ$10</f>
        <v>0.09333333333333334</v>
      </c>
      <c r="FG52" s="124">
        <f>$DR$10-($DQ$10*2)</f>
        <v>0.09333333333333334</v>
      </c>
      <c r="FH52" s="124">
        <f>$DR$10-($DQ$10*3)</f>
        <v>0.09333333333333334</v>
      </c>
      <c r="FI52" s="124">
        <f>$DP$10-$DP$10</f>
        <v>0</v>
      </c>
      <c r="FJ52" s="124">
        <f>-$DR$10+($DQ$10*4)</f>
        <v>-0.09333333333333334</v>
      </c>
      <c r="FK52" s="124">
        <f>-$DR$10+($DQ$10*4)</f>
        <v>-0.09333333333333334</v>
      </c>
      <c r="FL52" s="124">
        <f>-$DR$10+($DQ$10*4)</f>
        <v>-0.09333333333333334</v>
      </c>
      <c r="FM52" s="124">
        <f>-$DR$10+($DQ$10*4)</f>
        <v>-0.09333333333333334</v>
      </c>
      <c r="FN52" s="110">
        <f>-$DR$10+($DQ$10*4)</f>
        <v>-0.09333333333333334</v>
      </c>
    </row>
    <row r="53" spans="82:170" ht="15.75" customHeight="1">
      <c r="CD53" s="48"/>
      <c r="CE53" s="37"/>
      <c r="CF53" s="37"/>
      <c r="CG53" s="52"/>
      <c r="CH53" s="30"/>
      <c r="CI53" s="32"/>
      <c r="CJ53" s="30"/>
      <c r="CK53" s="30"/>
      <c r="CM53" s="28"/>
      <c r="CN53" s="74"/>
      <c r="CO53" s="68"/>
      <c r="CP53" s="68"/>
      <c r="CQ53" s="68"/>
      <c r="CR53" s="68"/>
      <c r="CS53" s="68" t="s">
        <v>167</v>
      </c>
      <c r="CT53" s="71" t="s">
        <v>3</v>
      </c>
      <c r="CU53" s="75">
        <f>0.29*SQRT(fc_)</f>
        <v>3.814354467010112</v>
      </c>
      <c r="CV53" s="68"/>
      <c r="CW53" s="68" t="s">
        <v>182</v>
      </c>
      <c r="CX53" s="71" t="s">
        <v>3</v>
      </c>
      <c r="CY53" s="76">
        <f>(D*100)/2</f>
        <v>15</v>
      </c>
      <c r="CZ53" s="273">
        <f>IF(CY55&lt;0,MIN(CY53:CY54),IF(CY55&gt;0,MIN(CY53:CY55)))</f>
        <v>15</v>
      </c>
      <c r="DP53" s="82">
        <v>16</v>
      </c>
      <c r="DQ53" s="184">
        <f>IF(DO13=1,EC8,IF(DO13&gt;1,DT18))</f>
        <v>0.09333333333333334</v>
      </c>
      <c r="DR53" s="184">
        <f>-DU18</f>
        <v>-0.2933333333333334</v>
      </c>
      <c r="DS53" s="184">
        <f>IF(DO15=1,EC8,IF(DO15=2,ED8,IF(DO15=3,DQ53,IF(DO15=4,ED8,IF(DO15=5,DT18)))))</f>
        <v>0.09333333333333334</v>
      </c>
      <c r="DT53" s="125">
        <f t="shared" si="15"/>
        <v>-0.2933333333333334</v>
      </c>
      <c r="DU53" s="184">
        <f>IF(DO16=1,EC8,IF(DO16=2,EE8,IF(DO16=3,DQ53,IF(DO16=4,EE8,IF(DO16=5,DT18)))))</f>
        <v>0.09333333333333334</v>
      </c>
      <c r="DV53" s="113">
        <f t="shared" si="16"/>
        <v>-0.2933333333333334</v>
      </c>
      <c r="DX53" s="48">
        <v>13</v>
      </c>
      <c r="DY53" s="124">
        <f>IF($DO$8&lt;=13,$DZ$25,IF($DO$8&gt;13,DZ21))</f>
        <v>0.09333333333333334</v>
      </c>
      <c r="DZ53" s="124">
        <f t="shared" si="21"/>
        <v>0.2933333333333334</v>
      </c>
      <c r="EA53" s="124" t="e">
        <f>IF($DO$9&lt;=13,$EA$25,IF($DO$9&gt;13,EA21))</f>
        <v>#N/A</v>
      </c>
      <c r="EB53" s="124">
        <f t="shared" si="22"/>
        <v>0.2933333333333334</v>
      </c>
      <c r="EC53" s="124" t="e">
        <f>IF($DO$10&lt;=13,$EB$25,IF($DO$10&gt;13,EB21))</f>
        <v>#N/A</v>
      </c>
      <c r="ED53" s="110">
        <f t="shared" si="23"/>
        <v>0.2933333333333334</v>
      </c>
      <c r="EE53" s="68"/>
      <c r="EF53" s="120">
        <v>8</v>
      </c>
      <c r="EG53" s="89"/>
      <c r="EH53" s="61"/>
      <c r="EI53" s="61"/>
      <c r="EJ53" s="61"/>
      <c r="EK53" s="61"/>
      <c r="EL53" s="61"/>
      <c r="EM53" s="61"/>
      <c r="EN53" s="124">
        <f>$DR$11</f>
        <v>0.09333333333333334</v>
      </c>
      <c r="EO53" s="124">
        <f>$DR$11-$DQ$11</f>
        <v>0.09333333333333334</v>
      </c>
      <c r="EP53" s="124">
        <f>$DR$11-($DQ$11*2)</f>
        <v>0.09333333333333334</v>
      </c>
      <c r="EQ53" s="124">
        <f>$DR$11-($DQ$11*3)</f>
        <v>0.09333333333333334</v>
      </c>
      <c r="ER53" s="124">
        <f>$DR$11-($DQ$11*4)</f>
        <v>0.09333333333333334</v>
      </c>
      <c r="ES53" s="124">
        <f>$DP$11-$DP$11</f>
        <v>0</v>
      </c>
      <c r="ET53" s="124">
        <f>-$DR$11+($DQ$11*5)</f>
        <v>-0.09333333333333334</v>
      </c>
      <c r="EU53" s="124">
        <f>-$DR$11+($DQ$11*5)</f>
        <v>-0.09333333333333334</v>
      </c>
      <c r="EV53" s="110">
        <f>-$DR$11+($DQ$11*5)</f>
        <v>-0.09333333333333334</v>
      </c>
      <c r="EX53" s="120">
        <v>8</v>
      </c>
      <c r="EY53" s="89"/>
      <c r="EZ53" s="61"/>
      <c r="FA53" s="61"/>
      <c r="FB53" s="61"/>
      <c r="FC53" s="61"/>
      <c r="FD53" s="61"/>
      <c r="FE53" s="61"/>
      <c r="FF53" s="124">
        <f>$DR$10</f>
        <v>0.09333333333333334</v>
      </c>
      <c r="FG53" s="124">
        <f>$DR$10-$DQ$10</f>
        <v>0.09333333333333334</v>
      </c>
      <c r="FH53" s="124">
        <f>$DR$10-($DQ$10*2)</f>
        <v>0.09333333333333334</v>
      </c>
      <c r="FI53" s="124">
        <f>$DR$10-($DQ$10*3)</f>
        <v>0.09333333333333334</v>
      </c>
      <c r="FJ53" s="124">
        <f>$DR$10-($DQ$10*4)</f>
        <v>0.09333333333333334</v>
      </c>
      <c r="FK53" s="124">
        <f>$DP$10-$DP$10</f>
        <v>0</v>
      </c>
      <c r="FL53" s="124">
        <f>-$DR$10+($DQ$10*5)</f>
        <v>-0.09333333333333334</v>
      </c>
      <c r="FM53" s="124">
        <f>-$DR$10+($DQ$10*5)</f>
        <v>-0.09333333333333334</v>
      </c>
      <c r="FN53" s="110">
        <f>-$DR$10+($DQ$10*5)</f>
        <v>-0.09333333333333334</v>
      </c>
    </row>
    <row r="54" spans="82:170" ht="15.75" customHeight="1">
      <c r="CD54" s="48"/>
      <c r="CE54" s="37" t="s">
        <v>104</v>
      </c>
      <c r="CF54" s="37" t="s">
        <v>3</v>
      </c>
      <c r="CG54" s="60">
        <f>(CJ52/CJ50)</f>
        <v>1</v>
      </c>
      <c r="CI54" s="32"/>
      <c r="CJ54" s="21">
        <f>IF(CJ43=1,CG34+(2*DD68),IF(CJ43=2,CG50+(2*DD68)))</f>
        <v>0</v>
      </c>
      <c r="CK54" s="28"/>
      <c r="CL54" s="21"/>
      <c r="CM54" s="28"/>
      <c r="CN54" s="70"/>
      <c r="CO54" s="68"/>
      <c r="CP54" s="68"/>
      <c r="CQ54" s="68"/>
      <c r="CR54" s="68"/>
      <c r="CS54" s="68" t="s">
        <v>168</v>
      </c>
      <c r="CT54" s="71" t="s">
        <v>3</v>
      </c>
      <c r="CU54" s="75" t="e">
        <f>(0.265*SQRT(fc_)+(91.4*Ρw*CU59))</f>
        <v>#DIV/0!</v>
      </c>
      <c r="CV54" s="68"/>
      <c r="CW54" s="68" t="s">
        <v>183</v>
      </c>
      <c r="CX54" s="71" t="s">
        <v>3</v>
      </c>
      <c r="CY54" s="76">
        <v>30</v>
      </c>
      <c r="CZ54" s="273"/>
      <c r="DX54" s="48"/>
      <c r="DY54" s="124"/>
      <c r="DZ54" s="124"/>
      <c r="EA54" s="124"/>
      <c r="EB54" s="124"/>
      <c r="EC54" s="124"/>
      <c r="ED54" s="110"/>
      <c r="EE54" s="68"/>
      <c r="EF54" s="120">
        <v>9</v>
      </c>
      <c r="EG54" s="89"/>
      <c r="EH54" s="61"/>
      <c r="EI54" s="61"/>
      <c r="EJ54" s="61"/>
      <c r="EK54" s="61"/>
      <c r="EL54" s="61"/>
      <c r="EM54" s="61"/>
      <c r="EN54" s="61"/>
      <c r="EO54" s="124">
        <f>$DR$11</f>
        <v>0.09333333333333334</v>
      </c>
      <c r="EP54" s="124">
        <f>$DR$11-$DQ$11</f>
        <v>0.09333333333333334</v>
      </c>
      <c r="EQ54" s="124">
        <f>$DR$11-($DQ$11*2)</f>
        <v>0.09333333333333334</v>
      </c>
      <c r="ER54" s="124">
        <f>$DR$11-($DQ$11*3)</f>
        <v>0.09333333333333334</v>
      </c>
      <c r="ES54" s="124">
        <f>$DR$11-($DQ$11*4)</f>
        <v>0.09333333333333334</v>
      </c>
      <c r="ET54" s="124">
        <f>$DR$11-($DQ$11*5)</f>
        <v>0.09333333333333334</v>
      </c>
      <c r="EU54" s="124">
        <f>$DP$11-$DP$11</f>
        <v>0</v>
      </c>
      <c r="EV54" s="110">
        <f>-$DR$11+($DQ$11*6)</f>
        <v>-0.09333333333333334</v>
      </c>
      <c r="EX54" s="120">
        <v>9</v>
      </c>
      <c r="EY54" s="89"/>
      <c r="EZ54" s="61"/>
      <c r="FA54" s="61"/>
      <c r="FB54" s="61"/>
      <c r="FC54" s="61"/>
      <c r="FD54" s="61"/>
      <c r="FE54" s="61"/>
      <c r="FF54" s="61"/>
      <c r="FG54" s="124">
        <f>$DR$10</f>
        <v>0.09333333333333334</v>
      </c>
      <c r="FH54" s="124">
        <f>$DR$10-$DQ$10</f>
        <v>0.09333333333333334</v>
      </c>
      <c r="FI54" s="124">
        <f>$DR$10-($DQ$10*2)</f>
        <v>0.09333333333333334</v>
      </c>
      <c r="FJ54" s="124">
        <f>$DR$10-($DQ$10*3)</f>
        <v>0.09333333333333334</v>
      </c>
      <c r="FK54" s="124">
        <f>$DR$10-($DQ$10*4)</f>
        <v>0.09333333333333334</v>
      </c>
      <c r="FL54" s="124">
        <f>$DR$10-($DQ$10*5)</f>
        <v>0.09333333333333334</v>
      </c>
      <c r="FM54" s="124">
        <f>$DP$10-$DP$10</f>
        <v>0</v>
      </c>
      <c r="FN54" s="110">
        <f>-$DR$10+($DQ$10*6)</f>
        <v>-0.09333333333333334</v>
      </c>
    </row>
    <row r="55" spans="82:170" ht="15.75" customHeight="1">
      <c r="CD55" s="48"/>
      <c r="CE55" s="37" t="s">
        <v>139</v>
      </c>
      <c r="CF55" s="37" t="s">
        <v>3</v>
      </c>
      <c r="CG55" s="60">
        <f>(1-k)/(2*(k-(CG8/d_1)))</f>
        <v>2.0785545193666324</v>
      </c>
      <c r="CH55" s="30"/>
      <c r="CI55" s="30"/>
      <c r="CJ55" s="30"/>
      <c r="CK55" s="30"/>
      <c r="CM55" s="28"/>
      <c r="CN55" s="77" t="s">
        <v>172</v>
      </c>
      <c r="CO55" s="68"/>
      <c r="CP55" s="68"/>
      <c r="CQ55" s="68"/>
      <c r="CR55" s="68"/>
      <c r="CS55" s="68"/>
      <c r="CT55" s="71" t="s">
        <v>3</v>
      </c>
      <c r="CU55" s="75">
        <f>0.464*SQRT(fc_*(1+0.057*(Nu/Ag)))</f>
        <v>6.10296714721618</v>
      </c>
      <c r="CV55" s="68"/>
      <c r="CW55" s="68" t="s">
        <v>184</v>
      </c>
      <c r="CX55" s="71" t="s">
        <v>3</v>
      </c>
      <c r="CY55" s="71">
        <f>CU66</f>
        <v>-11.745106645821659</v>
      </c>
      <c r="CZ55" s="273"/>
      <c r="DX55" s="48">
        <v>14</v>
      </c>
      <c r="DY55" s="124">
        <f>IF($DO$8&lt;=14,$DZ$25,IF($DO$8&gt;14,DZ22))</f>
        <v>0.09333333333333334</v>
      </c>
      <c r="DZ55" s="124">
        <f t="shared" si="21"/>
        <v>0.2933333333333334</v>
      </c>
      <c r="EA55" s="124" t="e">
        <f>IF($DO$9&lt;=14,$EA$25,IF($DO$9&gt;14,EA22))</f>
        <v>#N/A</v>
      </c>
      <c r="EB55" s="124">
        <f t="shared" si="22"/>
        <v>0.2933333333333334</v>
      </c>
      <c r="EC55" s="124" t="e">
        <f>IF($DO$10&lt;=14,$EB$25,IF($DO$10&gt;14,EB22))</f>
        <v>#N/A</v>
      </c>
      <c r="ED55" s="110">
        <f t="shared" si="23"/>
        <v>0.2933333333333334</v>
      </c>
      <c r="EE55" s="68"/>
      <c r="EF55" s="120">
        <v>10</v>
      </c>
      <c r="EG55" s="89"/>
      <c r="EH55" s="61"/>
      <c r="EI55" s="61"/>
      <c r="EJ55" s="61"/>
      <c r="EK55" s="61"/>
      <c r="EL55" s="61"/>
      <c r="EM55" s="61"/>
      <c r="EN55" s="61"/>
      <c r="EO55" s="61"/>
      <c r="EP55" s="124">
        <f>$DR$11</f>
        <v>0.09333333333333334</v>
      </c>
      <c r="EQ55" s="124">
        <f>$DR$11-$DQ$11</f>
        <v>0.09333333333333334</v>
      </c>
      <c r="ER55" s="124">
        <f>$DR$11-($DQ$11*2)</f>
        <v>0.09333333333333334</v>
      </c>
      <c r="ES55" s="124">
        <f>$DR$11-($DQ$11*3)</f>
        <v>0.09333333333333334</v>
      </c>
      <c r="ET55" s="124">
        <f>$DR$11-($DQ$11*4)</f>
        <v>0.09333333333333334</v>
      </c>
      <c r="EU55" s="124">
        <f>$DR$11-($DQ$11*5)</f>
        <v>0.09333333333333334</v>
      </c>
      <c r="EV55" s="110">
        <f>$DR$11-($DQ$11*6)</f>
        <v>0.09333333333333334</v>
      </c>
      <c r="EX55" s="120">
        <v>10</v>
      </c>
      <c r="EY55" s="89"/>
      <c r="EZ55" s="61"/>
      <c r="FA55" s="61"/>
      <c r="FB55" s="61"/>
      <c r="FC55" s="61"/>
      <c r="FD55" s="61"/>
      <c r="FE55" s="61"/>
      <c r="FF55" s="61"/>
      <c r="FG55" s="61"/>
      <c r="FH55" s="124">
        <f>$DR$10</f>
        <v>0.09333333333333334</v>
      </c>
      <c r="FI55" s="124">
        <f>$DR$10-$DQ$10</f>
        <v>0.09333333333333334</v>
      </c>
      <c r="FJ55" s="124">
        <f>$DR$10-($DQ$10*2)</f>
        <v>0.09333333333333334</v>
      </c>
      <c r="FK55" s="124">
        <f>$DR$10-($DQ$10*3)</f>
        <v>0.09333333333333334</v>
      </c>
      <c r="FL55" s="124">
        <f>$DR$10-($DQ$10*4)</f>
        <v>0.09333333333333334</v>
      </c>
      <c r="FM55" s="124">
        <f>$DR$10-($DQ$10*5)</f>
        <v>0.09333333333333334</v>
      </c>
      <c r="FN55" s="110">
        <f>$DR$10-($DQ$10*6)</f>
        <v>0.09333333333333334</v>
      </c>
    </row>
    <row r="56" spans="82:170" ht="15.75" customHeight="1">
      <c r="CD56" s="48"/>
      <c r="CE56" s="37" t="s">
        <v>140</v>
      </c>
      <c r="CF56" s="37" t="s">
        <v>3</v>
      </c>
      <c r="CG56" s="50">
        <f>R_+((X*R_)/(j*KK*(1-(X/KK))))*(1-(CG8/d_1))</f>
        <v>16.889421683541187</v>
      </c>
      <c r="CH56" s="30"/>
      <c r="CI56" s="30"/>
      <c r="CJ56" s="30"/>
      <c r="CK56" s="30"/>
      <c r="CM56" s="28"/>
      <c r="CN56" s="77" t="s">
        <v>173</v>
      </c>
      <c r="CO56" s="68"/>
      <c r="CP56" s="68"/>
      <c r="CQ56" s="68"/>
      <c r="CR56" s="68"/>
      <c r="CS56" s="68"/>
      <c r="CT56" s="68"/>
      <c r="CU56" s="68" t="e">
        <f>IF(CU54&lt;=CU55,1,IF(CU54&gt;CU55,2))</f>
        <v>#DIV/0!</v>
      </c>
      <c r="CV56" s="68"/>
      <c r="CW56" s="68"/>
      <c r="CX56" s="68"/>
      <c r="CY56" s="68"/>
      <c r="CZ56" s="72"/>
      <c r="DX56" s="48"/>
      <c r="DY56" s="124"/>
      <c r="DZ56" s="124"/>
      <c r="EA56" s="124"/>
      <c r="EB56" s="124"/>
      <c r="EC56" s="124"/>
      <c r="ED56" s="110"/>
      <c r="EE56" s="68"/>
      <c r="EF56" s="120">
        <v>11</v>
      </c>
      <c r="EG56" s="89"/>
      <c r="EH56" s="61"/>
      <c r="EI56" s="61"/>
      <c r="EJ56" s="61"/>
      <c r="EK56" s="61"/>
      <c r="EL56" s="61"/>
      <c r="EM56" s="61"/>
      <c r="EN56" s="61"/>
      <c r="EO56" s="61"/>
      <c r="EP56" s="61"/>
      <c r="EQ56" s="124">
        <f>$DR$11</f>
        <v>0.09333333333333334</v>
      </c>
      <c r="ER56" s="124">
        <f>$DR$11-$DQ$11</f>
        <v>0.09333333333333334</v>
      </c>
      <c r="ES56" s="124">
        <f>$DR$11-($DQ$11*2)</f>
        <v>0.09333333333333334</v>
      </c>
      <c r="ET56" s="124">
        <f>$DR$11-($DQ$11*3)</f>
        <v>0.09333333333333334</v>
      </c>
      <c r="EU56" s="124">
        <f>$DR$11-($DQ$11*4)</f>
        <v>0.09333333333333334</v>
      </c>
      <c r="EV56" s="110">
        <f>$DR$11-($DQ$11*5)</f>
        <v>0.09333333333333334</v>
      </c>
      <c r="EX56" s="120">
        <v>11</v>
      </c>
      <c r="EY56" s="89"/>
      <c r="EZ56" s="61"/>
      <c r="FA56" s="61"/>
      <c r="FB56" s="61"/>
      <c r="FC56" s="61"/>
      <c r="FD56" s="61"/>
      <c r="FE56" s="61"/>
      <c r="FF56" s="61"/>
      <c r="FG56" s="61"/>
      <c r="FH56" s="61"/>
      <c r="FI56" s="124">
        <f>$DR$10</f>
        <v>0.09333333333333334</v>
      </c>
      <c r="FJ56" s="124">
        <f>$DR$10-$DQ$10</f>
        <v>0.09333333333333334</v>
      </c>
      <c r="FK56" s="124">
        <f>$DR$10-($DQ$10*2)</f>
        <v>0.09333333333333334</v>
      </c>
      <c r="FL56" s="124">
        <f>$DR$10-($DQ$10*3)</f>
        <v>0.09333333333333334</v>
      </c>
      <c r="FM56" s="124">
        <f>$DR$10-($DQ$10*4)</f>
        <v>0.09333333333333334</v>
      </c>
      <c r="FN56" s="110">
        <f>$DR$10-($DQ$10*5)</f>
        <v>0.09333333333333334</v>
      </c>
    </row>
    <row r="57" spans="82:170" ht="15.75" customHeight="1">
      <c r="CD57" s="48"/>
      <c r="CE57" s="37" t="s">
        <v>142</v>
      </c>
      <c r="CF57" s="37" t="s">
        <v>3</v>
      </c>
      <c r="CG57" s="50">
        <f>2*fs*(((k*d_1)-CG8)/(d_1-(k*d_1)))</f>
        <v>721.6553552115021</v>
      </c>
      <c r="CH57" s="30"/>
      <c r="CI57" s="30"/>
      <c r="CJ57" s="30"/>
      <c r="CK57" s="30"/>
      <c r="CM57" s="28"/>
      <c r="CN57" s="70"/>
      <c r="CO57" s="68"/>
      <c r="CP57" s="68"/>
      <c r="CQ57" s="68"/>
      <c r="CR57" s="68"/>
      <c r="CS57" s="68" t="s">
        <v>169</v>
      </c>
      <c r="CT57" s="71" t="s">
        <v>3</v>
      </c>
      <c r="CU57" s="78">
        <f>CJ54/(B_1*d_1)</f>
        <v>0</v>
      </c>
      <c r="CV57" s="68"/>
      <c r="CW57" s="68" t="s">
        <v>182</v>
      </c>
      <c r="CX57" s="71" t="s">
        <v>3</v>
      </c>
      <c r="CY57" s="76">
        <f>(D*100)/4</f>
        <v>7.5</v>
      </c>
      <c r="CZ57" s="273">
        <f>MIN(CY57:CY59)</f>
        <v>-11.745106645821659</v>
      </c>
      <c r="DX57" s="80">
        <v>15</v>
      </c>
      <c r="DY57" s="124">
        <f>IF($DO$8&lt;=15,$DZ$25,IF($DO$8&gt;15,DZ23))</f>
        <v>0.09333333333333334</v>
      </c>
      <c r="DZ57" s="124">
        <f t="shared" si="21"/>
        <v>0.2933333333333334</v>
      </c>
      <c r="EA57" s="124" t="e">
        <f>IF($DO$9&lt;=15,$EA$25,IF($DO$9&gt;15,EA23))</f>
        <v>#N/A</v>
      </c>
      <c r="EB57" s="124">
        <f t="shared" si="22"/>
        <v>0.2933333333333334</v>
      </c>
      <c r="EC57" s="124" t="e">
        <f>IF($DO$10&lt;=15,$EB$25,IF($DO$10&gt;15,EB23))</f>
        <v>#N/A</v>
      </c>
      <c r="ED57" s="110">
        <f t="shared" si="23"/>
        <v>0.2933333333333334</v>
      </c>
      <c r="EE57" s="68"/>
      <c r="EF57" s="120">
        <v>12</v>
      </c>
      <c r="EG57" s="89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124">
        <f>$DR$11</f>
        <v>0.09333333333333334</v>
      </c>
      <c r="ES57" s="124">
        <f>$DR$11-$DQ$11</f>
        <v>0.09333333333333334</v>
      </c>
      <c r="ET57" s="124">
        <f>$DR$11-($DQ$11*2)</f>
        <v>0.09333333333333334</v>
      </c>
      <c r="EU57" s="124">
        <f>$DR$11-($DQ$11*3)</f>
        <v>0.09333333333333334</v>
      </c>
      <c r="EV57" s="110">
        <f>$DR$11-($DQ$11*4)</f>
        <v>0.09333333333333334</v>
      </c>
      <c r="EX57" s="120">
        <v>12</v>
      </c>
      <c r="EY57" s="89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124">
        <f>$DR$10</f>
        <v>0.09333333333333334</v>
      </c>
      <c r="FK57" s="124">
        <f>$DR$10-$DQ$10</f>
        <v>0.09333333333333334</v>
      </c>
      <c r="FL57" s="124">
        <f>$DR$10-($DQ$10*2)</f>
        <v>0.09333333333333334</v>
      </c>
      <c r="FM57" s="124">
        <f>$DR$10-($DQ$10*3)</f>
        <v>0.09333333333333334</v>
      </c>
      <c r="FN57" s="110">
        <f>$DR$10-($DQ$10*4)</f>
        <v>0.09333333333333334</v>
      </c>
    </row>
    <row r="58" spans="82:170" ht="15.75" customHeight="1">
      <c r="CD58" s="53"/>
      <c r="CE58" s="54" t="s">
        <v>143</v>
      </c>
      <c r="CF58" s="54" t="s">
        <v>3</v>
      </c>
      <c r="CG58" s="79">
        <f>SQRT((Mmax*100)/(R_1*B_1))</f>
        <v>0</v>
      </c>
      <c r="CH58" s="30"/>
      <c r="CI58" s="30"/>
      <c r="CJ58" s="30"/>
      <c r="CK58" s="30"/>
      <c r="CM58" s="28"/>
      <c r="CN58" s="70"/>
      <c r="CO58" s="68"/>
      <c r="CP58" s="68"/>
      <c r="CQ58" s="68"/>
      <c r="CR58" s="68"/>
      <c r="CS58" s="68" t="s">
        <v>170</v>
      </c>
      <c r="CT58" s="71" t="s">
        <v>3</v>
      </c>
      <c r="CU58" s="68">
        <f>Mmax-(Nu*(((4*D)-dd)/8))</f>
        <v>0</v>
      </c>
      <c r="CV58" s="68"/>
      <c r="CW58" s="68" t="s">
        <v>183</v>
      </c>
      <c r="CX58" s="71" t="s">
        <v>3</v>
      </c>
      <c r="CY58" s="76">
        <v>30</v>
      </c>
      <c r="CZ58" s="273"/>
      <c r="DX58" s="80"/>
      <c r="DY58" s="71"/>
      <c r="DZ58" s="124"/>
      <c r="EA58" s="71"/>
      <c r="EB58" s="124"/>
      <c r="EC58" s="71"/>
      <c r="ED58" s="110"/>
      <c r="EE58" s="68"/>
      <c r="EF58" s="120">
        <v>13</v>
      </c>
      <c r="EG58" s="89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124">
        <f>$DR$11</f>
        <v>0.09333333333333334</v>
      </c>
      <c r="ET58" s="124">
        <f>$DR$11-$DQ$11</f>
        <v>0.09333333333333334</v>
      </c>
      <c r="EU58" s="124">
        <f>$DR$11-($DQ$11*2)</f>
        <v>0.09333333333333334</v>
      </c>
      <c r="EV58" s="110">
        <f>$DR$11-($DQ$11*3)</f>
        <v>0.09333333333333334</v>
      </c>
      <c r="EX58" s="120">
        <v>13</v>
      </c>
      <c r="EY58" s="89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124">
        <f>$DR$10</f>
        <v>0.09333333333333334</v>
      </c>
      <c r="FL58" s="124">
        <f>$DR$10-$DQ$10</f>
        <v>0.09333333333333334</v>
      </c>
      <c r="FM58" s="124">
        <f>$DR$10-($DQ$10*2)</f>
        <v>0.09333333333333334</v>
      </c>
      <c r="FN58" s="110">
        <f>$DR$10-($DQ$10*3)</f>
        <v>0.09333333333333334</v>
      </c>
    </row>
    <row r="59" spans="82:170" ht="15.75" customHeight="1">
      <c r="CD59" s="30"/>
      <c r="CE59" s="30"/>
      <c r="CF59" s="30"/>
      <c r="CG59" s="30"/>
      <c r="CH59" s="30"/>
      <c r="CI59" s="30"/>
      <c r="CJ59" s="30"/>
      <c r="CK59" s="30"/>
      <c r="CN59" s="80"/>
      <c r="CO59" s="68"/>
      <c r="CP59" s="68"/>
      <c r="CQ59" s="68"/>
      <c r="CR59" s="68"/>
      <c r="CS59" s="68" t="s">
        <v>171</v>
      </c>
      <c r="CT59" s="71" t="s">
        <v>3</v>
      </c>
      <c r="CU59" s="68" t="e">
        <f>Vd/M_</f>
        <v>#DIV/0!</v>
      </c>
      <c r="CV59" s="68"/>
      <c r="CW59" s="68" t="s">
        <v>184</v>
      </c>
      <c r="CX59" s="71" t="s">
        <v>3</v>
      </c>
      <c r="CY59" s="71">
        <f>CU66</f>
        <v>-11.745106645821659</v>
      </c>
      <c r="CZ59" s="273"/>
      <c r="DB59" s="28"/>
      <c r="DX59" s="82">
        <v>16</v>
      </c>
      <c r="DY59" s="184">
        <f>IF(DO8=1,DZ8,IF(DO8&gt;1,DT18))</f>
        <v>0.09333333333333334</v>
      </c>
      <c r="DZ59" s="125">
        <f t="shared" si="21"/>
        <v>0.2933333333333334</v>
      </c>
      <c r="EA59" s="184">
        <f>IF(DO17=1,DZ8,IF(DO17=2,EA8,IF(DO17=3,DY29,IF(DO17=4,EA8,IF(DO17=5,DT18)))))</f>
        <v>-0.09333333333333334</v>
      </c>
      <c r="EB59" s="125">
        <f t="shared" si="22"/>
        <v>0.2933333333333334</v>
      </c>
      <c r="EC59" s="184">
        <f>IF(DO18=1,DZ8,IF(DO18=2,EB8,IF(DO18=3,DY59,IF(DO18=4,EB8,IF(DO18=5,DT18)))))</f>
        <v>0.09333333333333334</v>
      </c>
      <c r="ED59" s="113">
        <f t="shared" si="23"/>
        <v>0.2933333333333334</v>
      </c>
      <c r="EE59" s="68"/>
      <c r="EF59" s="120">
        <v>14</v>
      </c>
      <c r="EG59" s="89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124">
        <f>$DR$11</f>
        <v>0.09333333333333334</v>
      </c>
      <c r="EU59" s="124">
        <f>$DR$11-$DQ$11</f>
        <v>0.09333333333333334</v>
      </c>
      <c r="EV59" s="110">
        <f>$DR$11-($DQ$11*2)</f>
        <v>0.09333333333333334</v>
      </c>
      <c r="EX59" s="120">
        <v>14</v>
      </c>
      <c r="EY59" s="89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124">
        <f>$DR$10</f>
        <v>0.09333333333333334</v>
      </c>
      <c r="FM59" s="124">
        <f>$DR$10-$DQ$10</f>
        <v>0.09333333333333334</v>
      </c>
      <c r="FN59" s="110">
        <f>$DR$10-($DQ$10*2)</f>
        <v>0.09333333333333334</v>
      </c>
    </row>
    <row r="60" spans="23:170" ht="15.75" customHeight="1">
      <c r="W60" s="68"/>
      <c r="CD60" s="30" t="s">
        <v>237</v>
      </c>
      <c r="CE60" s="30"/>
      <c r="CF60" s="30"/>
      <c r="CG60" s="30"/>
      <c r="CH60" s="30"/>
      <c r="CI60" s="30"/>
      <c r="CJ60" s="30"/>
      <c r="CK60" s="30"/>
      <c r="CN60" s="80"/>
      <c r="CO60" s="68"/>
      <c r="CP60" s="76"/>
      <c r="CQ60" s="68"/>
      <c r="CR60" s="68"/>
      <c r="CS60" s="68" t="s">
        <v>97</v>
      </c>
      <c r="CT60" s="71" t="s">
        <v>3</v>
      </c>
      <c r="CU60" s="81">
        <f>B*D*10000</f>
        <v>450</v>
      </c>
      <c r="CV60" s="68"/>
      <c r="CW60" s="68"/>
      <c r="CX60" s="71"/>
      <c r="CY60" s="68"/>
      <c r="CZ60" s="68"/>
      <c r="DA60" s="85"/>
      <c r="DB60" s="86" t="s">
        <v>187</v>
      </c>
      <c r="DC60" s="86"/>
      <c r="DD60" s="86"/>
      <c r="DE60" s="86"/>
      <c r="DF60" s="86"/>
      <c r="DG60" s="87"/>
      <c r="EE60" s="68"/>
      <c r="EF60" s="120">
        <v>15</v>
      </c>
      <c r="EG60" s="89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124">
        <f>$DR$11</f>
        <v>0.09333333333333334</v>
      </c>
      <c r="EV60" s="110">
        <f>$DR$11-$DQ$11</f>
        <v>0.09333333333333334</v>
      </c>
      <c r="EX60" s="120">
        <v>15</v>
      </c>
      <c r="EY60" s="89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124">
        <f>$DR$10</f>
        <v>0.09333333333333334</v>
      </c>
      <c r="FN60" s="110">
        <f>$DR$10-$DQ$10</f>
        <v>0.09333333333333334</v>
      </c>
    </row>
    <row r="61" spans="82:170" ht="15.75" customHeight="1">
      <c r="CD61" s="30" t="s">
        <v>238</v>
      </c>
      <c r="CE61" s="30" t="s">
        <v>3</v>
      </c>
      <c r="CF61" s="30">
        <f>(V/(CF63*j*d_1))</f>
        <v>0</v>
      </c>
      <c r="CG61" s="30"/>
      <c r="CH61" s="30"/>
      <c r="CI61" s="30"/>
      <c r="CJ61" s="30"/>
      <c r="CK61" s="30"/>
      <c r="CN61" s="80"/>
      <c r="CO61" s="68"/>
      <c r="CP61" s="76"/>
      <c r="CQ61" s="68"/>
      <c r="CR61" s="68"/>
      <c r="CS61" s="68" t="s">
        <v>175</v>
      </c>
      <c r="CT61" s="71" t="s">
        <v>3</v>
      </c>
      <c r="CU61" s="75">
        <f>IF(CU48=1,vc1,IF(CU48=2,CU54))</f>
        <v>3.814354467010112</v>
      </c>
      <c r="CV61" s="68"/>
      <c r="CW61" s="68">
        <f>IF(AND(CU69=1,CU68=1),CZ53,IF(AND(CU69=2,CU68=1),CZ53,IF(AND(CU69=2,CU68=2),CZ57,IF(AND(CU69=2,CU68=3),"Chang Section"))))</f>
        <v>15</v>
      </c>
      <c r="CX61" s="71"/>
      <c r="CY61" s="68"/>
      <c r="CZ61" s="68"/>
      <c r="DA61" s="80"/>
      <c r="DB61" s="71" t="s">
        <v>188</v>
      </c>
      <c r="DC61" s="71" t="s">
        <v>3</v>
      </c>
      <c r="DD61" s="76">
        <f>((Torsion*100)*3.5)/DF61</f>
        <v>0</v>
      </c>
      <c r="DE61" s="68"/>
      <c r="DF61" s="68">
        <f>(B_1^2*(D*100))</f>
        <v>6750</v>
      </c>
      <c r="DG61" s="72">
        <f>IF(Vt&lt;=DD62,1,IF(Vt&gt;DD62,2))</f>
        <v>1</v>
      </c>
      <c r="EE61" s="68"/>
      <c r="EF61" s="63">
        <v>16</v>
      </c>
      <c r="EG61" s="12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3">
        <f>$DR$11</f>
        <v>0.09333333333333334</v>
      </c>
      <c r="EX61" s="63">
        <v>16</v>
      </c>
      <c r="EY61" s="12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3">
        <f>$DR$10</f>
        <v>0.09333333333333334</v>
      </c>
    </row>
    <row r="62" spans="82:170" ht="15.75" customHeight="1">
      <c r="CD62" s="30" t="s">
        <v>163</v>
      </c>
      <c r="CE62" s="30" t="s">
        <v>3</v>
      </c>
      <c r="CF62" s="30">
        <f>V</f>
        <v>0</v>
      </c>
      <c r="CG62" s="30"/>
      <c r="CH62" s="30"/>
      <c r="CI62" s="30"/>
      <c r="CJ62" s="30"/>
      <c r="CK62" s="30"/>
      <c r="CN62" s="80"/>
      <c r="CO62" s="68"/>
      <c r="CP62" s="68"/>
      <c r="CQ62" s="68"/>
      <c r="CR62" s="68"/>
      <c r="CS62" s="68" t="s">
        <v>174</v>
      </c>
      <c r="CT62" s="71" t="s">
        <v>3</v>
      </c>
      <c r="CU62" s="81">
        <f>vc_small*B_1*d_1</f>
        <v>1504.7628372354893</v>
      </c>
      <c r="CV62" s="68"/>
      <c r="CW62" s="75" t="e">
        <f>DD70</f>
        <v>#DIV/0!</v>
      </c>
      <c r="CX62" s="71"/>
      <c r="CY62" s="68"/>
      <c r="CZ62" s="68"/>
      <c r="DA62" s="80" t="s">
        <v>189</v>
      </c>
      <c r="DB62" s="68"/>
      <c r="DC62" s="71" t="s">
        <v>3</v>
      </c>
      <c r="DD62" s="75">
        <f>1.32*SQRT(fc_)</f>
        <v>17.361889298114995</v>
      </c>
      <c r="DE62" s="68"/>
      <c r="DF62" s="68"/>
      <c r="DG62" s="72"/>
      <c r="FN62" s="86"/>
    </row>
    <row r="63" spans="82:170" ht="15.75" customHeight="1">
      <c r="CD63" s="185" t="s">
        <v>239</v>
      </c>
      <c r="CE63" s="30" t="s">
        <v>3</v>
      </c>
      <c r="CF63" s="38">
        <f>IF(CN41=1,CA26,IF(CN41=2,CA20))</f>
        <v>7.5398223686155035</v>
      </c>
      <c r="CG63" s="30"/>
      <c r="CH63" s="30"/>
      <c r="CI63" s="30"/>
      <c r="CJ63" s="30"/>
      <c r="CK63" s="30"/>
      <c r="CN63" s="80"/>
      <c r="CO63" s="68"/>
      <c r="CP63" s="68" t="s">
        <v>176</v>
      </c>
      <c r="CQ63" s="68"/>
      <c r="CR63" s="68"/>
      <c r="CS63" s="68"/>
      <c r="CT63" s="71" t="s">
        <v>3</v>
      </c>
      <c r="CU63" s="81">
        <f>1.32*SQRT(fc_)*B_1*d_1</f>
        <v>6849.265328106366</v>
      </c>
      <c r="CV63" s="68"/>
      <c r="CW63" s="68">
        <f>IF(Torsion&lt;=0,1,IF(Torsion&gt;0,2))</f>
        <v>1</v>
      </c>
      <c r="CX63" s="71">
        <f>IF(AND(CW63=1,DG70=1),CW61/100,IF(AND(CW63=2,DG70=1),MIN(CW61:CW62)/100,IF(AND(CW63=2,DG70=2),"Chang Section")))</f>
        <v>0.15</v>
      </c>
      <c r="CY63" s="68"/>
      <c r="CZ63" s="68"/>
      <c r="DA63" s="80"/>
      <c r="DB63" s="68" t="s">
        <v>190</v>
      </c>
      <c r="DC63" s="71" t="s">
        <v>3</v>
      </c>
      <c r="DD63" s="75">
        <f>Vt+vc_small</f>
        <v>3.814354467010112</v>
      </c>
      <c r="DE63" s="68"/>
      <c r="DF63" s="68"/>
      <c r="DG63" s="72">
        <f>IF(DD63&lt;=DD64,1,IF(DD63&gt;DD64,2))</f>
        <v>1</v>
      </c>
      <c r="FN63" s="68"/>
    </row>
    <row r="64" spans="82:111" ht="15.75" customHeight="1">
      <c r="CD64" s="30"/>
      <c r="CE64" s="30"/>
      <c r="CF64" s="30"/>
      <c r="CG64" s="30"/>
      <c r="CH64" s="30"/>
      <c r="CI64" s="30"/>
      <c r="CJ64" s="30"/>
      <c r="CK64" s="30"/>
      <c r="CN64" s="80"/>
      <c r="CO64" s="68"/>
      <c r="CP64" s="68" t="s">
        <v>177</v>
      </c>
      <c r="CQ64" s="68"/>
      <c r="CR64" s="68"/>
      <c r="CS64" s="68"/>
      <c r="CT64" s="71" t="s">
        <v>3</v>
      </c>
      <c r="CU64" s="68">
        <f>0.795*SQRT(fc_)*B_1*d_1</f>
        <v>4125.125708973152</v>
      </c>
      <c r="CV64" s="68"/>
      <c r="CW64" s="68"/>
      <c r="CX64" s="68"/>
      <c r="CY64" s="68"/>
      <c r="CZ64" s="68"/>
      <c r="DA64" s="80" t="s">
        <v>191</v>
      </c>
      <c r="DB64" s="68"/>
      <c r="DC64" s="71" t="s">
        <v>3</v>
      </c>
      <c r="DD64" s="75">
        <f>1.65*SQRT(fc_)</f>
        <v>21.702361622643743</v>
      </c>
      <c r="DE64" s="68"/>
      <c r="DF64" s="68"/>
      <c r="DG64" s="72"/>
    </row>
    <row r="65" spans="82:111" ht="15.75" customHeight="1">
      <c r="CD65" s="30"/>
      <c r="CE65" s="30"/>
      <c r="CF65" s="30"/>
      <c r="CG65" s="30"/>
      <c r="CH65" s="30"/>
      <c r="CI65" s="30"/>
      <c r="CJ65" s="30"/>
      <c r="CK65" s="30"/>
      <c r="CN65" s="80"/>
      <c r="CO65" s="68"/>
      <c r="CP65" s="68"/>
      <c r="CQ65" s="68"/>
      <c r="CR65" s="68"/>
      <c r="CS65" s="68" t="s">
        <v>178</v>
      </c>
      <c r="CT65" s="71" t="s">
        <v>3</v>
      </c>
      <c r="CU65" s="68">
        <f>IF(fy_shear&gt;3000,1500,IF(fy_shear&lt;=3000,K42*fy_shear))</f>
        <v>1200</v>
      </c>
      <c r="CV65" s="68"/>
      <c r="CW65" s="68"/>
      <c r="CX65" s="68"/>
      <c r="CY65" s="68"/>
      <c r="CZ65" s="68"/>
      <c r="DA65" s="80"/>
      <c r="DB65" s="68" t="s">
        <v>192</v>
      </c>
      <c r="DC65" s="71" t="s">
        <v>3</v>
      </c>
      <c r="DD65" s="68">
        <f>(Torsion*100)/(2*Ac*fv)</f>
        <v>0</v>
      </c>
      <c r="DE65" s="68"/>
      <c r="DF65" s="68"/>
      <c r="DG65" s="72"/>
    </row>
    <row r="66" spans="82:111" ht="15.75" customHeight="1">
      <c r="CD66" s="30"/>
      <c r="CE66" s="30"/>
      <c r="CF66" s="30"/>
      <c r="CG66" s="30"/>
      <c r="CH66" s="30"/>
      <c r="CI66" s="30"/>
      <c r="CJ66" s="30"/>
      <c r="CK66" s="30"/>
      <c r="CN66" s="80"/>
      <c r="CO66" s="68"/>
      <c r="CP66" s="68"/>
      <c r="CQ66" s="68"/>
      <c r="CR66" s="68"/>
      <c r="CS66" s="68" t="s">
        <v>179</v>
      </c>
      <c r="CT66" s="71" t="s">
        <v>3</v>
      </c>
      <c r="CU66" s="68">
        <f>((Av*fv*d_1)/(V-Vc))</f>
        <v>-11.745106645821659</v>
      </c>
      <c r="CV66" s="68"/>
      <c r="CW66" s="68"/>
      <c r="CX66" s="68"/>
      <c r="CY66" s="68"/>
      <c r="CZ66" s="68"/>
      <c r="DA66" s="80"/>
      <c r="DB66" s="68" t="s">
        <v>193</v>
      </c>
      <c r="DC66" s="71" t="s">
        <v>3</v>
      </c>
      <c r="DD66" s="68">
        <f>(B_1-(Covering*100*2)-(CW39*2))*(d_1-(Covering*100*2)-(CW39*2))</f>
        <v>176.88000000000002</v>
      </c>
      <c r="DE66" s="68"/>
      <c r="DF66" s="68"/>
      <c r="DG66" s="72"/>
    </row>
    <row r="67" spans="82:111" ht="15.75" customHeight="1">
      <c r="CD67" s="30"/>
      <c r="CE67" s="30"/>
      <c r="CF67" s="30"/>
      <c r="CG67" s="30"/>
      <c r="CH67" s="30"/>
      <c r="CI67" s="30"/>
      <c r="CJ67" s="30"/>
      <c r="CK67" s="30"/>
      <c r="CN67" s="80"/>
      <c r="CO67" s="68"/>
      <c r="CP67" s="68"/>
      <c r="CQ67" s="68"/>
      <c r="CR67" s="68"/>
      <c r="CS67" s="68" t="s">
        <v>180</v>
      </c>
      <c r="CT67" s="71" t="s">
        <v>3</v>
      </c>
      <c r="CU67" s="68">
        <f>V-Vc</f>
        <v>-1504.7628372354893</v>
      </c>
      <c r="CV67" s="68"/>
      <c r="CW67" s="68"/>
      <c r="CX67" s="68"/>
      <c r="CY67" s="68"/>
      <c r="CZ67" s="68"/>
      <c r="DA67" s="80"/>
      <c r="DB67" s="68" t="s">
        <v>194</v>
      </c>
      <c r="DC67" s="71" t="s">
        <v>3</v>
      </c>
      <c r="DD67" s="68">
        <f>((B_1-(Covering*100*2)-(CW39*2))+(d_1-(Covering*100*2)-(CW39*2)))/2</f>
        <v>14.450000000000001</v>
      </c>
      <c r="DE67" s="68"/>
      <c r="DF67" s="68"/>
      <c r="DG67" s="72"/>
    </row>
    <row r="68" spans="82:111" ht="15.75" customHeight="1">
      <c r="CD68" s="30"/>
      <c r="CE68" s="30"/>
      <c r="CF68" s="30"/>
      <c r="CG68" s="30"/>
      <c r="CH68" s="30"/>
      <c r="CI68" s="30"/>
      <c r="CJ68" s="30"/>
      <c r="CK68" s="30"/>
      <c r="CN68" s="80"/>
      <c r="CO68" s="68"/>
      <c r="CP68" s="68"/>
      <c r="CQ68" s="68"/>
      <c r="CR68" s="68"/>
      <c r="CS68" s="68" t="s">
        <v>181</v>
      </c>
      <c r="CT68" s="279" t="s">
        <v>3</v>
      </c>
      <c r="CU68" s="68">
        <f>IF(V_Vc&lt;CU64,1,IF(V_Vc&lt;=CU63,2,IF(V_Vc&gt;CU63,3)))</f>
        <v>1</v>
      </c>
      <c r="CV68" s="68"/>
      <c r="CW68" s="68"/>
      <c r="CX68" s="68"/>
      <c r="CY68" s="68"/>
      <c r="CZ68" s="68"/>
      <c r="DA68" s="80"/>
      <c r="DB68" s="68" t="s">
        <v>195</v>
      </c>
      <c r="DC68" s="71" t="s">
        <v>3</v>
      </c>
      <c r="DD68" s="68">
        <f>(Torsion*100*z)/(2*Ac*fs)</f>
        <v>0</v>
      </c>
      <c r="DE68" s="68"/>
      <c r="DF68" s="68"/>
      <c r="DG68" s="72"/>
    </row>
    <row r="69" spans="82:111" ht="15.75" customHeight="1">
      <c r="CD69" s="30"/>
      <c r="CE69" s="30"/>
      <c r="CF69" s="30"/>
      <c r="CG69" s="30"/>
      <c r="CH69" s="30"/>
      <c r="CI69" s="30"/>
      <c r="CJ69" s="30"/>
      <c r="CK69" s="30"/>
      <c r="CN69" s="82"/>
      <c r="CO69" s="83"/>
      <c r="CP69" s="83"/>
      <c r="CQ69" s="83"/>
      <c r="CR69" s="83"/>
      <c r="CS69" s="83"/>
      <c r="CT69" s="280"/>
      <c r="CU69" s="83">
        <f>IF(V&lt;=Vc,1,IF(V&gt;Vc,2))</f>
        <v>1</v>
      </c>
      <c r="CV69" s="83"/>
      <c r="CW69" s="83"/>
      <c r="CX69" s="83"/>
      <c r="CY69" s="83"/>
      <c r="CZ69" s="83"/>
      <c r="DA69" s="80"/>
      <c r="DB69" s="68" t="s">
        <v>196</v>
      </c>
      <c r="DC69" s="71" t="s">
        <v>3</v>
      </c>
      <c r="DD69" s="68">
        <f>CU71+At</f>
        <v>0</v>
      </c>
      <c r="DE69" s="68"/>
      <c r="DF69" s="68"/>
      <c r="DG69" s="72"/>
    </row>
    <row r="70" spans="82:111" ht="15.75" customHeight="1">
      <c r="CD70" s="30"/>
      <c r="CE70" s="30"/>
      <c r="CF70" s="30"/>
      <c r="CG70" s="30"/>
      <c r="CH70" s="30"/>
      <c r="CI70" s="30"/>
      <c r="CJ70" s="30"/>
      <c r="CK70" s="30"/>
      <c r="CS70" s="1" t="s">
        <v>107</v>
      </c>
      <c r="CT70" s="28" t="s">
        <v>3</v>
      </c>
      <c r="CU70" s="1">
        <f>(V_Vc/(2*fv*d_1))</f>
        <v>-0.023839715418813204</v>
      </c>
      <c r="DA70" s="80"/>
      <c r="DB70" s="68" t="s">
        <v>145</v>
      </c>
      <c r="DC70" s="71" t="s">
        <v>3</v>
      </c>
      <c r="DD70" s="75" t="e">
        <f>CW40/Av_At</f>
        <v>#DIV/0!</v>
      </c>
      <c r="DE70" s="68"/>
      <c r="DF70" s="68"/>
      <c r="DG70" s="72">
        <f>IF(AND(DG61=1,DG63=1),1,IF(OR(AND(DG61=2,DG63=1),AND(DG61=2,DG63=1),AND(DG61=2,DG63=2)),2))</f>
        <v>1</v>
      </c>
    </row>
    <row r="71" spans="82:111" ht="15.75" customHeight="1">
      <c r="CD71" s="30"/>
      <c r="CE71" s="30"/>
      <c r="CF71" s="30"/>
      <c r="CG71" s="30"/>
      <c r="CH71" s="30"/>
      <c r="CI71" s="30"/>
      <c r="CJ71" s="30"/>
      <c r="CK71" s="30"/>
      <c r="CT71" s="28"/>
      <c r="CU71" s="1">
        <f>IF(CU70&lt;=0,0,IF(CU70&gt;0,CU70))</f>
        <v>0</v>
      </c>
      <c r="DA71" s="80" t="s">
        <v>197</v>
      </c>
      <c r="DB71" s="68"/>
      <c r="DC71" s="71" t="s">
        <v>3</v>
      </c>
      <c r="DD71" s="68" t="e">
        <f>0.0015*(B_1*DD70)</f>
        <v>#DIV/0!</v>
      </c>
      <c r="DE71" s="68"/>
      <c r="DF71" s="68"/>
      <c r="DG71" s="72"/>
    </row>
    <row r="72" spans="82:111" ht="15.75" customHeight="1">
      <c r="CD72" s="30"/>
      <c r="CE72" s="30"/>
      <c r="CF72" s="30"/>
      <c r="CG72" s="30"/>
      <c r="CH72" s="30"/>
      <c r="CI72" s="30"/>
      <c r="CJ72" s="30"/>
      <c r="CK72" s="30"/>
      <c r="CT72" s="28"/>
      <c r="CU72" s="1">
        <f>(V_Vc/(fv*d_1))</f>
        <v>-0.04767943083762641</v>
      </c>
      <c r="DA72" s="82"/>
      <c r="DB72" s="83"/>
      <c r="DC72" s="83"/>
      <c r="DD72" s="83" t="e">
        <f>IF(DD71&lt;CW40,1,IF(DD71&gt;CW40,2))</f>
        <v>#DIV/0!</v>
      </c>
      <c r="DE72" s="83"/>
      <c r="DF72" s="83"/>
      <c r="DG72" s="84"/>
    </row>
  </sheetData>
  <sheetProtection password="DA3E" sheet="1"/>
  <mergeCells count="180">
    <mergeCell ref="F32:H34"/>
    <mergeCell ref="F36:H38"/>
    <mergeCell ref="I35:K35"/>
    <mergeCell ref="F35:H35"/>
    <mergeCell ref="L36:O36"/>
    <mergeCell ref="L32:O32"/>
    <mergeCell ref="I36:K38"/>
    <mergeCell ref="I32:K34"/>
    <mergeCell ref="L37:O37"/>
    <mergeCell ref="L35:O35"/>
    <mergeCell ref="K43:M43"/>
    <mergeCell ref="AM31:AP31"/>
    <mergeCell ref="AH31:AL31"/>
    <mergeCell ref="AC31:AG31"/>
    <mergeCell ref="AC43:AE43"/>
    <mergeCell ref="AB14:AB34"/>
    <mergeCell ref="J29:K29"/>
    <mergeCell ref="Y42:AA42"/>
    <mergeCell ref="Y37:Z37"/>
    <mergeCell ref="V37:W37"/>
    <mergeCell ref="CT68:CT69"/>
    <mergeCell ref="V52:AA52"/>
    <mergeCell ref="CE43:CF43"/>
    <mergeCell ref="V51:AA51"/>
    <mergeCell ref="Y41:AA41"/>
    <mergeCell ref="V44:W44"/>
    <mergeCell ref="V39:W39"/>
    <mergeCell ref="V38:W38"/>
    <mergeCell ref="Y39:Z39"/>
    <mergeCell ref="Y38:Z38"/>
    <mergeCell ref="CH19:CH20"/>
    <mergeCell ref="CJ19:CJ20"/>
    <mergeCell ref="CE40:CF40"/>
    <mergeCell ref="CE41:CF41"/>
    <mergeCell ref="CG19:CG20"/>
    <mergeCell ref="CZ57:CZ59"/>
    <mergeCell ref="CZ53:CZ55"/>
    <mergeCell ref="CE42:CF42"/>
    <mergeCell ref="P19:P20"/>
    <mergeCell ref="CU36:CV36"/>
    <mergeCell ref="CU37:CV37"/>
    <mergeCell ref="CU34:CV34"/>
    <mergeCell ref="CU33:CV33"/>
    <mergeCell ref="CV19:CV20"/>
    <mergeCell ref="CT19:CT20"/>
    <mergeCell ref="K19:O19"/>
    <mergeCell ref="M9:O9"/>
    <mergeCell ref="M10:O10"/>
    <mergeCell ref="M11:O11"/>
    <mergeCell ref="M12:O12"/>
    <mergeCell ref="M13:O13"/>
    <mergeCell ref="M14:O14"/>
    <mergeCell ref="M15:O15"/>
    <mergeCell ref="M16:O16"/>
    <mergeCell ref="F17:P17"/>
    <mergeCell ref="F18:P18"/>
    <mergeCell ref="E3:U3"/>
    <mergeCell ref="E4:U4"/>
    <mergeCell ref="E5:U5"/>
    <mergeCell ref="B7:AA7"/>
    <mergeCell ref="V4:X4"/>
    <mergeCell ref="V3:X3"/>
    <mergeCell ref="Y3:AA3"/>
    <mergeCell ref="Y4:AA4"/>
    <mergeCell ref="Y5:AA5"/>
    <mergeCell ref="V5:X5"/>
    <mergeCell ref="W9:Z9"/>
    <mergeCell ref="W10:Z10"/>
    <mergeCell ref="W11:Z11"/>
    <mergeCell ref="W12:Z12"/>
    <mergeCell ref="CL7:CM7"/>
    <mergeCell ref="CL8:CM8"/>
    <mergeCell ref="CL12:CM12"/>
    <mergeCell ref="CL9:CM9"/>
    <mergeCell ref="CL13:CM13"/>
    <mergeCell ref="CL14:CM14"/>
    <mergeCell ref="CL11:CM11"/>
    <mergeCell ref="CL10:CM10"/>
    <mergeCell ref="CL15:CM15"/>
    <mergeCell ref="CK16:CN16"/>
    <mergeCell ref="CN19:CN20"/>
    <mergeCell ref="CM19:CM20"/>
    <mergeCell ref="CK19:CK20"/>
    <mergeCell ref="CO16:CR16"/>
    <mergeCell ref="CL19:CL20"/>
    <mergeCell ref="L38:O38"/>
    <mergeCell ref="CS16:CV16"/>
    <mergeCell ref="CU32:CV32"/>
    <mergeCell ref="CS19:CS20"/>
    <mergeCell ref="CO19:CO20"/>
    <mergeCell ref="CP19:CP20"/>
    <mergeCell ref="CR19:CR20"/>
    <mergeCell ref="CQ19:CQ20"/>
    <mergeCell ref="DJ16:DK16"/>
    <mergeCell ref="DJ17:DK25"/>
    <mergeCell ref="CX16:DA16"/>
    <mergeCell ref="CZ23:DA25"/>
    <mergeCell ref="DG17:DI20"/>
    <mergeCell ref="DG23:DI25"/>
    <mergeCell ref="DG16:DI16"/>
    <mergeCell ref="CY19:CY20"/>
    <mergeCell ref="DB16:DF16"/>
    <mergeCell ref="DE23:DF25"/>
    <mergeCell ref="DE17:DF20"/>
    <mergeCell ref="DB19:DB20"/>
    <mergeCell ref="DC19:DC20"/>
    <mergeCell ref="DD19:DD20"/>
    <mergeCell ref="BZ31:CB31"/>
    <mergeCell ref="DL17:DM25"/>
    <mergeCell ref="CU35:CV35"/>
    <mergeCell ref="CW19:CW20"/>
    <mergeCell ref="CU19:CU20"/>
    <mergeCell ref="CX19:CX20"/>
    <mergeCell ref="CZ17:DA20"/>
    <mergeCell ref="CW30:CY30"/>
    <mergeCell ref="CU31:CV31"/>
    <mergeCell ref="CU30:CV30"/>
    <mergeCell ref="M20:O20"/>
    <mergeCell ref="DQ21:DR21"/>
    <mergeCell ref="DY27:DZ27"/>
    <mergeCell ref="EA27:EB27"/>
    <mergeCell ref="M26:O26"/>
    <mergeCell ref="M23:O23"/>
    <mergeCell ref="M22:O22"/>
    <mergeCell ref="M21:O21"/>
    <mergeCell ref="M25:O25"/>
    <mergeCell ref="M24:O24"/>
    <mergeCell ref="EC27:ED27"/>
    <mergeCell ref="DS21:DT21"/>
    <mergeCell ref="DU21:DV21"/>
    <mergeCell ref="AC30:AP30"/>
    <mergeCell ref="AC22:AF22"/>
    <mergeCell ref="AC23:AF23"/>
    <mergeCell ref="DL26:DM26"/>
    <mergeCell ref="DL27:DM27"/>
    <mergeCell ref="CA26:CD26"/>
    <mergeCell ref="CA24:CB24"/>
    <mergeCell ref="K42:M42"/>
    <mergeCell ref="K41:M41"/>
    <mergeCell ref="X46:AA46"/>
    <mergeCell ref="U46:W46"/>
    <mergeCell ref="R46:T46"/>
    <mergeCell ref="O46:Q46"/>
    <mergeCell ref="L46:N46"/>
    <mergeCell ref="I46:K46"/>
    <mergeCell ref="Y44:Z44"/>
    <mergeCell ref="Y43:AA43"/>
    <mergeCell ref="F46:H46"/>
    <mergeCell ref="C46:E46"/>
    <mergeCell ref="F47:H47"/>
    <mergeCell ref="I47:K47"/>
    <mergeCell ref="C47:E47"/>
    <mergeCell ref="L47:N47"/>
    <mergeCell ref="X47:AA47"/>
    <mergeCell ref="U47:W47"/>
    <mergeCell ref="R47:T47"/>
    <mergeCell ref="O47:Q47"/>
    <mergeCell ref="M27:O27"/>
    <mergeCell ref="B35:E35"/>
    <mergeCell ref="L31:O31"/>
    <mergeCell ref="I31:K31"/>
    <mergeCell ref="F31:H31"/>
    <mergeCell ref="B31:E31"/>
    <mergeCell ref="L34:O34"/>
    <mergeCell ref="L33:O33"/>
    <mergeCell ref="G29:H29"/>
    <mergeCell ref="L29:N29"/>
    <mergeCell ref="CC24:CD24"/>
    <mergeCell ref="CA25:CB25"/>
    <mergeCell ref="CC25:CD25"/>
    <mergeCell ref="CA19:CB19"/>
    <mergeCell ref="CC19:CD19"/>
    <mergeCell ref="CA20:CD20"/>
    <mergeCell ref="CA23:CB23"/>
    <mergeCell ref="CC23:CD23"/>
    <mergeCell ref="CC17:CD17"/>
    <mergeCell ref="CA16:CD16"/>
    <mergeCell ref="CA18:CB18"/>
    <mergeCell ref="CC18:CD18"/>
    <mergeCell ref="CA17:CB17"/>
  </mergeCells>
  <conditionalFormatting sqref="N44:O44">
    <cfRule type="expression" priority="1" dxfId="1" stopIfTrue="1">
      <formula>IF(K43&lt;27,"Ok.")</formula>
    </cfRule>
    <cfRule type="expression" priority="2" dxfId="0" stopIfTrue="1">
      <formula>IF(K43&gt;27,"Not Ok.")</formula>
    </cfRule>
  </conditionalFormatting>
  <conditionalFormatting sqref="X47">
    <cfRule type="expression" priority="3" dxfId="0" stopIfTrue="1">
      <formula>IF($DG$70=2,1)</formula>
    </cfRule>
  </conditionalFormatting>
  <conditionalFormatting sqref="Y37:Z37">
    <cfRule type="cellIs" priority="7" dxfId="0" operator="greaterThan" stopIfTrue="1">
      <formula>$V$37</formula>
    </cfRule>
  </conditionalFormatting>
  <conditionalFormatting sqref="V38:W38">
    <cfRule type="cellIs" priority="9" dxfId="0" operator="lessThan" stopIfTrue="1">
      <formula>$Y$38</formula>
    </cfRule>
  </conditionalFormatting>
  <conditionalFormatting sqref="Y39">
    <cfRule type="cellIs" priority="11" dxfId="0" operator="lessThan" stopIfTrue="1">
      <formula>$V$39</formula>
    </cfRule>
  </conditionalFormatting>
  <conditionalFormatting sqref="I32">
    <cfRule type="cellIs" priority="4" dxfId="1" operator="greaterThan" stopIfTrue="1">
      <formula>$F$32</formula>
    </cfRule>
  </conditionalFormatting>
  <conditionalFormatting sqref="I36">
    <cfRule type="cellIs" priority="5" dxfId="1" operator="greaterThan" stopIfTrue="1">
      <formula>$F$36</formula>
    </cfRule>
  </conditionalFormatting>
  <conditionalFormatting sqref="L36:L38 L32:L34">
    <cfRule type="cellIs" priority="6" dxfId="0" operator="lessThan" stopIfTrue="1">
      <formula>$CF$17</formula>
    </cfRule>
  </conditionalFormatting>
  <conditionalFormatting sqref="AB38 AA37">
    <cfRule type="expression" priority="8" dxfId="0" stopIfTrue="1">
      <formula>IF($V$37&lt;$Y$37,1)</formula>
    </cfRule>
  </conditionalFormatting>
  <conditionalFormatting sqref="AB39 AA38">
    <cfRule type="expression" priority="10" dxfId="0" stopIfTrue="1">
      <formula>IF($V$38&lt;$Y$38,1)</formula>
    </cfRule>
  </conditionalFormatting>
  <conditionalFormatting sqref="AB40 AA39">
    <cfRule type="expression" priority="12" dxfId="0" stopIfTrue="1">
      <formula>IF($Y$39&lt;$V$39,1)</formula>
    </cfRule>
  </conditionalFormatting>
  <dataValidations count="7">
    <dataValidation type="list" allowBlank="1" showInputMessage="1" showErrorMessage="1" errorTitle="Allowble Shear Stress" error="คุณใช้ Yeild Stress มากกว่าที่ ว.ส.ท. กำหนด " sqref="K41:M41">
      <formula1>"2400,3000,4000,4200"</formula1>
    </dataValidation>
    <dataValidation type="list" allowBlank="1" showInputMessage="1" showErrorMessage="1" sqref="V44:W44">
      <formula1>"RB6,RB9,DB10,RB12,DB12,RB15"</formula1>
    </dataValidation>
    <dataValidation type="list" allowBlank="1" showInputMessage="1" showErrorMessage="1" sqref="Y44">
      <formula1>"1,2,3,4,5"</formula1>
    </dataValidation>
    <dataValidation type="list" allowBlank="1" showInputMessage="1" showErrorMessage="1" sqref="M9:O9">
      <formula1>"3000,4000,5000"</formula1>
    </dataValidation>
    <dataValidation type="list" allowBlank="1" showInputMessage="1" sqref="M12:O12">
      <formula1>"173,210,240,280,320,380"</formula1>
    </dataValidation>
    <dataValidation type="list" allowBlank="1" showInputMessage="1" showErrorMessage="1" sqref="K19:O19">
      <formula1>"Simply,One end continuous,Both ends continuous,Cantilever"</formula1>
    </dataValidation>
    <dataValidation type="list" allowBlank="1" showInputMessage="1" showErrorMessage="1" sqref="Y5:AA5">
      <formula1>"Midspan,Endspan"</formula1>
    </dataValidation>
  </dataValidations>
  <printOptions/>
  <pageMargins left="0.35433070866141736" right="0.1968503937007874" top="0.3937007874015748" bottom="0.5905511811023623" header="0.9055118110236221" footer="0.5118110236220472"/>
  <pageSetup orientation="portrait" paperSize="9" scale="96" r:id="rId3"/>
  <rowBreaks count="1" manualBreakCount="1">
    <brk id="56" max="118" man="1"/>
  </rowBreaks>
  <colBreaks count="1" manualBreakCount="1">
    <brk id="28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CasperX</cp:lastModifiedBy>
  <cp:lastPrinted>2009-09-15T10:16:11Z</cp:lastPrinted>
  <dcterms:created xsi:type="dcterms:W3CDTF">2008-11-21T07:11:45Z</dcterms:created>
  <dcterms:modified xsi:type="dcterms:W3CDTF">2010-04-09T12:13:51Z</dcterms:modified>
  <cp:category/>
  <cp:version/>
  <cp:contentType/>
  <cp:contentStatus/>
</cp:coreProperties>
</file>